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practicalaction-my.sharepoint.com/personal/chartay_practicalaction_org_uk/Documents/Documents/"/>
    </mc:Choice>
  </mc:AlternateContent>
  <xr:revisionPtr revIDLastSave="2" documentId="8_{6B03C8F1-E2D6-42B8-BD80-77A9E1481D3C}" xr6:coauthVersionLast="47" xr6:coauthVersionMax="47" xr10:uidLastSave="{52673F4E-4B86-479F-8817-B9BB2B51FC85}"/>
  <bookViews>
    <workbookView xWindow="-108" yWindow="-108" windowWidth="23256" windowHeight="12576" tabRatio="898" xr2:uid="{00000000-000D-0000-FFFF-FFFF00000000}"/>
  </bookViews>
  <sheets>
    <sheet name="Cover page" sheetId="8" r:id="rId1"/>
    <sheet name="Dashboard" sheetId="12" r:id="rId2"/>
    <sheet name="Model Assumptions" sheetId="3" r:id="rId3"/>
    <sheet name="Model Assumptions - Scenarios" sheetId="17" r:id="rId4"/>
    <sheet name="List" sheetId="18" state="hidden" r:id="rId5"/>
    <sheet name="Flags" sheetId="10" r:id="rId6"/>
    <sheet name="Financing" sheetId="7" r:id="rId7"/>
    <sheet name="Cost of capital" sheetId="23" r:id="rId8"/>
    <sheet name="Detailed Model (LCY)" sheetId="11" r:id="rId9"/>
    <sheet name="Macro Model (LCY)" sheetId="2" r:id="rId10"/>
    <sheet name="Macro Model (USD)" sheetId="28" r:id="rId11"/>
    <sheet name="Unit economics (LCY)" sheetId="14" r:id="rId12"/>
    <sheet name="Sensitivity analysis (USD)" sheetId="19" r:id="rId13"/>
    <sheet name="Master error check" sheetId="30" r:id="rId14"/>
  </sheets>
  <definedNames>
    <definedName name="_activeinstallationsBoPP1">'Detailed Model (LCY)'!$J$39:$XFD$39</definedName>
    <definedName name="_activeinstallationsBoPP2">'Detailed Model (LCY)'!$J$51:$XFD$51</definedName>
    <definedName name="_activeinstallationsBoPP3">'Detailed Model (LCY)'!$J$63:$XFD$63</definedName>
    <definedName name="_activeinstallationsBoPP4">'Detailed Model (LCY)'!$J$75:$XFD$75</definedName>
    <definedName name="_activeinstallationsBoPP5">'Detailed Model (LCY)'!$J$87:$XFD$87</definedName>
    <definedName name="_activeinstallationsEoP">'Detailed Model (LCY)'!$J$31:$XFD$31</definedName>
    <definedName name="_activeinstallationsEoPP1">'Detailed Model (LCY)'!$J$45:$XFD$45</definedName>
    <definedName name="_activeinstallationsEoPP2">'Detailed Model (LCY)'!$J$57:$XFD$57</definedName>
    <definedName name="_activeinstallationsEoPP3">'Detailed Model (LCY)'!$J$69:$XFD$69</definedName>
    <definedName name="_activeinstallationsEoPP4">'Detailed Model (LCY)'!$J$81:$XFD$81</definedName>
    <definedName name="_activeinstallationsEoPP5">'Detailed Model (LCY)'!$J$93:$XFD$93</definedName>
    <definedName name="_arpuP1">'Model Assumptions'!$G$37</definedName>
    <definedName name="_arpuP2">'Model Assumptions'!$H$37</definedName>
    <definedName name="_arpuP3">'Model Assumptions'!$I$38</definedName>
    <definedName name="_arpuP4">'Model Assumptions'!$J$37</definedName>
    <definedName name="_arpuP5">'Model Assumptions'!$K$37</definedName>
    <definedName name="_averagelife">'Model Assumptions'!$F$31</definedName>
    <definedName name="_averagenumbermonthlypayments">'Detailed Model (LCY)'!$J$36:$XFD$36</definedName>
    <definedName name="_Avg.ARPU">'Model Assumptions'!$N$37</definedName>
    <definedName name="_Avg.CapCost">'Model Assumptions'!$N$48</definedName>
    <definedName name="_Avg.DP">'Model Assumptions'!$N$30</definedName>
    <definedName name="_bsAccumProfit">'Detailed Model (LCY)'!$J$262:$XFD$262</definedName>
    <definedName name="_bsCash">'Detailed Model (LCY)'!$J$249:$XFD$249</definedName>
    <definedName name="_bsDebt">'Detailed Model (LCY)'!$J$257:$XFD$257</definedName>
    <definedName name="_bsEquity">'Detailed Model (LCY)'!$J$261:$XFD$261</definedName>
    <definedName name="_bsFixedAssets">'Detailed Model (LCY)'!$J$253:$XFD$253</definedName>
    <definedName name="_bsInventory">'Detailed Model (LCY)'!$J$250:$XFD$250</definedName>
    <definedName name="_bsReceivables">'Detailed Model (LCY)'!$J$251:$XFD$251</definedName>
    <definedName name="_bsReserve">'Detailed Model (LCY)'!#REF!</definedName>
    <definedName name="_bsTotalAssets">'Detailed Model (LCY)'!$J$254:$XFD$254</definedName>
    <definedName name="_bsTotalCurrentAssets">'Detailed Model (LCY)'!$J$252:$XFD$252</definedName>
    <definedName name="_CapCostP1">'Model Assumptions'!$G$48</definedName>
    <definedName name="_CapCostP2">'Model Assumptions'!$H$48</definedName>
    <definedName name="_CapCostP3">'Model Assumptions'!$I$48</definedName>
    <definedName name="_CapCostP4">'Model Assumptions'!$J$48</definedName>
    <definedName name="_CapCostP5">'Model Assumptions'!$K$48</definedName>
    <definedName name="_CashBoP">'Detailed Model (LCY)'!$J$201:$XFD$201</definedName>
    <definedName name="_CashEoP">'Detailed Model (LCY)'!$J$220:$XFD$220</definedName>
    <definedName name="_CCcost">'Model Assumptions'!$F$68</definedName>
    <definedName name="_cfCapex">'Detailed Model (LCY)'!$J$210:$XFD$210</definedName>
    <definedName name="_cfDebt">'Detailed Model (LCY)'!$J$215:$XFD$215</definedName>
    <definedName name="_cfDebtRepayment">'Detailed Model (LCY)'!$J$216:$XFD$216</definedName>
    <definedName name="_cfDepreciation">'Detailed Model (LCY)'!$J$205:$XFD$205</definedName>
    <definedName name="_cfEquity">'Detailed Model (LCY)'!$J$214:$XFD$214</definedName>
    <definedName name="_cfNetIncomeCash">'Detailed Model (LCY)'!$J$204:$XFD$204</definedName>
    <definedName name="_cfStockExpenses">'Detailed Model (LCY)'!$J$206:$XFD$206</definedName>
    <definedName name="_Churn">'Model Assumptions'!$G$83</definedName>
    <definedName name="_CO2saved">'Model Assumptions'!$G$156</definedName>
    <definedName name="_Coll.rate">'Detailed Model (LCY)'!$J$35:$XFD$35</definedName>
    <definedName name="_collectionrate">'Model Assumptions'!$G$79:$P$80</definedName>
    <definedName name="_ContractPriceP1">'Model Assumptions'!$G$35</definedName>
    <definedName name="_ContractPriceP2">'Model Assumptions'!$H$35</definedName>
    <definedName name="_ContractPriceP3">'Model Assumptions'!$I$35</definedName>
    <definedName name="_ContractPriceP4">'Model Assumptions'!$J$35</definedName>
    <definedName name="_ContractpriceP5">'Model Assumptions'!$K$35</definedName>
    <definedName name="_Corp.Tax.r">'Model Assumptions'!$F$109</definedName>
    <definedName name="_CorporateTax">'Detailed Model (LCY)'!$J$194:$XFD$194</definedName>
    <definedName name="_corporatetaxbasis">'Model Assumptions'!$F$111</definedName>
    <definedName name="_currencyeffect">Flags!$J$29:$XFD$29</definedName>
    <definedName name="_Depreciation">'Detailed Model (LCY)'!$J$186:$XFD$186</definedName>
    <definedName name="_discountfactorPVcalc">'Detailed Model (LCY)'!$G$309</definedName>
    <definedName name="_DMYear">'Detailed Model (LCY)'!$J$4:$XFD$4</definedName>
    <definedName name="_DP_P1">'Model Assumptions'!$G$30</definedName>
    <definedName name="_DP_P2">'Model Assumptions'!$H$30</definedName>
    <definedName name="_DP_P3">'Model Assumptions'!$I$30</definedName>
    <definedName name="_DP_P4">'Model Assumptions'!$J$30</definedName>
    <definedName name="_DP_P5">'Model Assumptions'!$K$30</definedName>
    <definedName name="_EBITDAAcc">'Detailed Model (LCY)'!$J$182:$XFD$182</definedName>
    <definedName name="_EBITDAcash">'Detailed Model (LCY)'!$J$181:$XFD$181</definedName>
    <definedName name="_EBTAcc">'Detailed Model (LCY)'!$J$189:$XFD$189</definedName>
    <definedName name="_EBTcash">'Detailed Model (LCY)'!$J$188:$XFD$188</definedName>
    <definedName name="_EndingContractP1">'Detailed Model (LCY)'!$J$42:$XFD$42</definedName>
    <definedName name="_EndingContractP2">'Detailed Model (LCY)'!$J$54:$XFD$54</definedName>
    <definedName name="_EndingContractP3">'Detailed Model (LCY)'!$J$66:$XFD$66</definedName>
    <definedName name="_EndingContractP4">'Detailed Model (LCY)'!$J$78:$XFD$78</definedName>
    <definedName name="_EndingContractP5">'Detailed Model (LCY)'!$J$90:$XFD$90</definedName>
    <definedName name="_Fixedsalary.agent">'Model Assumptions'!$F$65</definedName>
    <definedName name="_FXlossgain">'Detailed Model (LCY)'!$J$185:$XFD$185</definedName>
    <definedName name="_GrantsRaised">Financing!$J$7:$XFD$7</definedName>
    <definedName name="_Growthprojections">'Model Assumptions'!$C$72:$P$77</definedName>
    <definedName name="_InstalledAssetsP1">'Detailed Model (LCY)'!$J$48:$XFD$48</definedName>
    <definedName name="_InstalledAssetsP2">'Detailed Model (LCY)'!$J$60:$XFD$60</definedName>
    <definedName name="_InstalledAssetsP3">'Detailed Model (LCY)'!$J$72:$XFD$72</definedName>
    <definedName name="_InstalledAssetsP4">'Detailed Model (LCY)'!$J$84:$XFD$84</definedName>
    <definedName name="_InstalledAssetsP5">'Detailed Model (LCY)'!$J$96:$XFD$96</definedName>
    <definedName name="_Interest">'Detailed Model (LCY)'!$J$184:$XFD$184</definedName>
    <definedName name="_lifelyhoodspersystem">'Model Assumptions'!$G$157</definedName>
    <definedName name="_LostP1">'Detailed Model (LCY)'!$J$44:$XFD$44</definedName>
    <definedName name="_LostP2">'Detailed Model (LCY)'!$J$56:$XFD$56</definedName>
    <definedName name="_LostP3">'Detailed Model (LCY)'!$J$68:$XFD$68</definedName>
    <definedName name="_LostP4">'Detailed Model (LCY)'!$J$80:$XFD$80</definedName>
    <definedName name="_LostP5">'Detailed Model (LCY)'!$J$92:$XFD$92</definedName>
    <definedName name="_MaintenanceP1">'Model Assumptions'!$G$62</definedName>
    <definedName name="_MaintenanceP2">'Model Assumptions'!$H$62</definedName>
    <definedName name="_MaintenanceP3">'Model Assumptions'!$I$62</definedName>
    <definedName name="_MaintenanceP4">'Model Assumptions'!$J$62</definedName>
    <definedName name="_MaintenanceP5">'Model Assumptions'!$K$62</definedName>
    <definedName name="_monthsinyear">'Model Assumptions'!$D$13</definedName>
    <definedName name="_NetincomeAcc">'Detailed Model (LCY)'!$J$197:$XFD$197</definedName>
    <definedName name="_NetIncomeCash">'Detailed Model (LCY)'!$J$196:$XFD$196</definedName>
    <definedName name="_NetRevenueAccrual">'Detailed Model (LCY)'!$J$128:$XFD$128</definedName>
    <definedName name="_NetRevenueCash">'Detailed Model (LCY)'!$J$127:$XFD$127</definedName>
    <definedName name="_NewinstallationsP1">'Detailed Model (LCY)'!$J$47:$XFD$47</definedName>
    <definedName name="_NewinstallationsP2">'Detailed Model (LCY)'!$J$59:$XFD$59</definedName>
    <definedName name="_NewinstallationsP3">'Detailed Model (LCY)'!$J$71:$XFD$71</definedName>
    <definedName name="_NewinstallationsP4">'Detailed Model (LCY)'!$J$83:$XFD$83</definedName>
    <definedName name="_NewinstallationsP5">'Detailed Model (LCY)'!$J$95:$XFD$95</definedName>
    <definedName name="_NewSalesGrowth">'Model Assumptions'!$G$72:$P$73</definedName>
    <definedName name="_NewSalesP1">'Detailed Model (LCY)'!$J$40:$XFD$40</definedName>
    <definedName name="_NewSalesP2">'Detailed Model (LCY)'!$J$52:$XFD$52</definedName>
    <definedName name="_NewSalesP3">'Detailed Model (LCY)'!$J$64:$XFD$64</definedName>
    <definedName name="_NewSalesP4">'Detailed Model (LCY)'!$J$76:$XFD$76</definedName>
    <definedName name="_NewSalesP5">'Detailed Model (LCY)'!$J$88:$XFD$88</definedName>
    <definedName name="_newsalesperagent">'Model Assumptions'!$F$64</definedName>
    <definedName name="_NonOperatingIncome">'Detailed Model (LCY)'!$J$131:$XFD$131</definedName>
    <definedName name="_NrInstallmentsP1">'Model Assumptions'!$G$31</definedName>
    <definedName name="_NrInstallmentsP2">'Model Assumptions'!$H$31</definedName>
    <definedName name="_NrInstallmentsP3">'Model Assumptions'!$I$31</definedName>
    <definedName name="_NrInstallmentsP4">'Model Assumptions'!$J$31</definedName>
    <definedName name="_NrInstallmentsP5">'Model Assumptions'!$K$31</definedName>
    <definedName name="_OpexP1">'Model Assumptions'!$G$60</definedName>
    <definedName name="_OpexP2">'Model Assumptions'!$H$60</definedName>
    <definedName name="_OpexP3">'Model Assumptions'!$I$60</definedName>
    <definedName name="_OpexP4">'Model Assumptions'!$J$60</definedName>
    <definedName name="_OpexP5">'Model Assumptions'!$K$60</definedName>
    <definedName name="_Overhead">'Model Assumptions'!$G$98</definedName>
    <definedName name="_OverheadMoMgrowth">'Model Assumptions'!$F$95:$P$103</definedName>
    <definedName name="_p.lost">'Model Assumptions'!$G$85</definedName>
    <definedName name="_p.repossessed">'Model Assumptions'!$G$84</definedName>
    <definedName name="_p.retention">'Detailed Model (LCY)'!$D$20</definedName>
    <definedName name="_percentnondeductable">'Model Assumptions'!$F$110</definedName>
    <definedName name="_PLIT">'Detailed Model (LCY)'!$J$176:$XFD$176</definedName>
    <definedName name="_PLMarketing">'Detailed Model (LCY)'!$J$175:$XFD$175</definedName>
    <definedName name="_PLMgmtcost">'Detailed Model (LCY)'!$J$171:$XFD$171</definedName>
    <definedName name="_PLOffice">'Detailed Model (LCY)'!$J$176:$XFD$176</definedName>
    <definedName name="_PLOtherOverhead">'Detailed Model (LCY)'!$J$177:$XFD$177</definedName>
    <definedName name="_PLSalaries">'Detailed Model (LCY)'!$J$174:$XFD$174</definedName>
    <definedName name="_PLTravel">'Detailed Model (LCY)'!$J$175:$XFD$175</definedName>
    <definedName name="_r.systdepP1">'Model Assumptions'!$G$53</definedName>
    <definedName name="_r.systdepP2">'Model Assumptions'!$H$53</definedName>
    <definedName name="_r.systdepP3">'Model Assumptions'!$I$53</definedName>
    <definedName name="_r.systdepP4">'Model Assumptions'!$J$53</definedName>
    <definedName name="_r.systdepP5">'Model Assumptions'!$K$53</definedName>
    <definedName name="_Receivablewriteoffrate">'Detailed Model (LCY)'!$J$115:$XFD$115</definedName>
    <definedName name="_receivablewriteoffs">'Detailed Model (LCY)'!$J$121:$XFD$121</definedName>
    <definedName name="_ReposessionP1">'Model Assumptions'!$G$61</definedName>
    <definedName name="_ReposessionP2">'Model Assumptions'!$H$61</definedName>
    <definedName name="_ReposessionP3">'Model Assumptions'!$I$61</definedName>
    <definedName name="_ReposessionP4">'Model Assumptions'!$J$61</definedName>
    <definedName name="_ReposessionP5">'Model Assumptions'!$K$61</definedName>
    <definedName name="_RepossessedP1">'Detailed Model (LCY)'!$J$43:$XFD$43</definedName>
    <definedName name="_RepossessedP2">'Detailed Model (LCY)'!$J$55:$XFD$55</definedName>
    <definedName name="_RepossessedP3">'Detailed Model (LCY)'!$J$67:$XFD$67</definedName>
    <definedName name="_RepossessedP4">'Detailed Model (LCY)'!$J$79:$XFD$79</definedName>
    <definedName name="_RepossessedP5">'Detailed Model (LCY)'!$J$91:$XFD$91</definedName>
    <definedName name="_reservestartofmodel">'Model Assumptions'!#REF!</definedName>
    <definedName name="_RetainedSalesP1">'Detailed Model (LCY)'!$J$41:$XFD$41</definedName>
    <definedName name="_RetainedSalesP2">'Detailed Model (LCY)'!$J$53:$XFD$53</definedName>
    <definedName name="_RetainedSalesP3">'Detailed Model (LCY)'!$J$65:$XFD$65</definedName>
    <definedName name="_RetainedSalesP4">'Detailed Model (LCY)'!$J$77:$XFD$77</definedName>
    <definedName name="_RetainedSalesP5">'Detailed Model (LCY)'!$J$89:$XFD$89</definedName>
    <definedName name="_RetentionRate">'Model Assumptions'!$G$91</definedName>
    <definedName name="_RetentionRateP1">'Model Assumptions'!#REF!</definedName>
    <definedName name="_RetentionRateP2">'Model Assumptions'!#REF!</definedName>
    <definedName name="_RetentionRateP3">'Model Assumptions'!#REF!</definedName>
    <definedName name="_RetentionRateP4">'Model Assumptions'!#REF!</definedName>
    <definedName name="_RetentionrateP5">'Model Assumptions'!#REF!</definedName>
    <definedName name="_Seasonalityeffect">Flags!$J$48:$XFD$48</definedName>
    <definedName name="_systdep.perP1">'Model Assumptions'!$G$52</definedName>
    <definedName name="_systdep.perP2">'Model Assumptions'!$H$52</definedName>
    <definedName name="_systdep.perP3">'Model Assumptions'!$I$52</definedName>
    <definedName name="_systdep.perP4">'Model Assumptions'!$J$52</definedName>
    <definedName name="_systdep.perP5">'Model Assumptions'!$K$52</definedName>
    <definedName name="_Taxes">'Detailed Model (LCY)'!$J$194:$XFD$194</definedName>
    <definedName name="_TotalActiveInstallationsBoP">'Detailed Model (LCY)'!$J$25:$XFD$25</definedName>
    <definedName name="_TotalactiveinstallationsEoP">'Detailed Model (LCY)'!$J$31:$XFD$31</definedName>
    <definedName name="_TotalCFFinancing">'Detailed Model (LCY)'!$J$218:$XFD$218</definedName>
    <definedName name="_TotalCFInvesting">'Detailed Model (LCY)'!$J$211:$XFD$211</definedName>
    <definedName name="_TotalCFOperating">'Detailed Model (LCY)'!$J$207:$XFD$207</definedName>
    <definedName name="_TotalCOGSAcc">'Detailed Model (LCY)'!$J$157:$XFD$157</definedName>
    <definedName name="_TotalCOGSCash">'Detailed Model (LCY)'!$J$144:$XFD$144</definedName>
    <definedName name="_TotalEndingContract">'Detailed Model (LCY)'!$J$28:$XFD$28</definedName>
    <definedName name="_TotalInstalledAssets">'Detailed Model (LCY)'!$J$34:$XFD$34</definedName>
    <definedName name="_TotalLost">'Detailed Model (LCY)'!$J$30:$XFD$30</definedName>
    <definedName name="_TotalNewInstallations">'Detailed Model (LCY)'!$J$33:$XFD$33</definedName>
    <definedName name="_TotalNewSales">'Detailed Model (LCY)'!$J$26:$XFD$26</definedName>
    <definedName name="_TotalOpex">'Detailed Model (LCY)'!$J$179:$XFD$179</definedName>
    <definedName name="_TotalOverhead">'Detailed Model (LCY)'!$J$178:$XFD$178</definedName>
    <definedName name="_TotalRepossessed">'Detailed Model (LCY)'!$J$29:$XFD$29</definedName>
    <definedName name="_TotalRetainedSales">'Detailed Model (LCY)'!$J$27:$XFD$27</definedName>
    <definedName name="_TotalRevAccExWriteOff">'Detailed Model (LCY)'!$J$123:$XFD$123</definedName>
    <definedName name="_TotalRevenueAcc">'Detailed Model (LCY)'!$J$113:$XFD$113</definedName>
    <definedName name="_TotalRevenueCash">'Detailed Model (LCY)'!$J$106:$XFD$106</definedName>
    <definedName name="_TotalVariableCost">'Detailed Model (LCY)'!$J$169:$XFD$169</definedName>
    <definedName name="_VAT">'Detailed Model (LCY)'!$J$125:$XFD$125</definedName>
    <definedName name="_VATonCOGS">'Model Assumptions'!$F$49</definedName>
    <definedName name="_VATonsales">'Model Assumptions'!$F$33</definedName>
    <definedName name="_VATtaxbasis">'Model Assumptions'!$F$112</definedName>
    <definedName name="_WomenInJobs">'Model Assumptions'!$F$155</definedName>
    <definedName name="_Writeoff">'Model Assumptions'!$G$85</definedName>
    <definedName name="_Year">'Model Assumptions'!$G$72:$P$72</definedName>
    <definedName name="ActiveInstallation_2025" localSheetId="10">'Macro Model (USD)'!$M$18</definedName>
    <definedName name="ActiveInstallation_2025">'Macro Model (LCY)'!$M$18</definedName>
    <definedName name="bankcharge">'Model Assumptions'!$F$67</definedName>
    <definedName name="CO2saved_2025" localSheetId="10">'Macro Model (USD)'!$M$236</definedName>
    <definedName name="CO2saved_2025">'Macro Model (LCY)'!$M$236</definedName>
    <definedName name="COGS_2025" localSheetId="10">'Macro Model (USD)'!$M$62</definedName>
    <definedName name="COGS_2025">'Macro Model (LCY)'!$M$62</definedName>
    <definedName name="Costs">'Model Assumptions'!$C$95:$P$104</definedName>
    <definedName name="EBITDA_2025" localSheetId="10">'Macro Model (USD)'!$M$101</definedName>
    <definedName name="EBITDA_2025">'Macro Model (LCY)'!$M$101</definedName>
    <definedName name="HouseholdPowered_2025" localSheetId="10">'Macro Model (USD)'!$M$232</definedName>
    <definedName name="HouseholdPowered_2025">'Macro Model (LCY)'!$M$232</definedName>
    <definedName name="MasterCheck">'Master error check'!$E$6</definedName>
    <definedName name="MM">'Model Assumptions'!$F$66</definedName>
    <definedName name="NetIncome_2025" localSheetId="10">'Macro Model (USD)'!$M$115</definedName>
    <definedName name="NetIncome_2025">'Macro Model (LCY)'!$M$115</definedName>
    <definedName name="OperatingExpenses_2025" localSheetId="10">'Macro Model (USD)'!$M$99</definedName>
    <definedName name="OperatingExpenses_2025">'Macro Model (LCY)'!$M$99</definedName>
    <definedName name="_xlnm.Print_Area" localSheetId="1">Dashboard!$A$1:$AB$66</definedName>
    <definedName name="_xlnm.Print_Area" localSheetId="5">Flags!$1:$51</definedName>
    <definedName name="_xlnm.Print_Area" localSheetId="9">'Macro Model (LCY)'!$A$1:$M$238</definedName>
    <definedName name="_xlnm.Print_Area" localSheetId="10">'Macro Model (USD)'!$A$1:$M$238</definedName>
    <definedName name="_xlnm.Print_Area" localSheetId="2">'Model Assumptions'!$A$1:$R$177</definedName>
    <definedName name="_xlnm.Print_Area" localSheetId="3">'Model Assumptions - Scenarios'!$A$1:$AG$60</definedName>
    <definedName name="Revenue_2025" localSheetId="10">'Macro Model (USD)'!$M$33</definedName>
    <definedName name="Revenue_2025">'Macro Model (LCY)'!$M$33</definedName>
    <definedName name="startP1">'Model Assumptions'!$G$26</definedName>
    <definedName name="startP2">'Model Assumptions'!$H$26</definedName>
    <definedName name="startP3">'Model Assumptions'!$I$26</definedName>
    <definedName name="startP4">'Model Assumptions'!$J$26</definedName>
    <definedName name="startP5">'Model Assumptions'!$K$26</definedName>
    <definedName name="tolerance">'Model Assumptions'!$F$174</definedName>
  </definedNames>
  <calcPr calcId="191029" calcMode="autoNoTable"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9" l="1"/>
  <c r="C12" i="23"/>
  <c r="I8" i="11"/>
  <c r="I53" i="3" l="1"/>
  <c r="I52" i="3"/>
  <c r="H52" i="3"/>
  <c r="G52" i="3"/>
  <c r="F127" i="3" l="1"/>
  <c r="H127" i="3"/>
  <c r="E65" i="14" l="1"/>
  <c r="L138" i="3" l="1"/>
  <c r="K138" i="3"/>
  <c r="J138" i="3"/>
  <c r="I138" i="3"/>
  <c r="G147" i="2" l="1"/>
  <c r="C77" i="3" l="1"/>
  <c r="E18" i="17" s="1"/>
  <c r="C76" i="3"/>
  <c r="E17" i="17" s="1"/>
  <c r="C75" i="3"/>
  <c r="E16" i="17" s="1"/>
  <c r="C74" i="3"/>
  <c r="E15" i="17" s="1"/>
  <c r="C73" i="3"/>
  <c r="E14" i="17" s="1"/>
  <c r="G91" i="3"/>
  <c r="Z35" i="17"/>
  <c r="Y35" i="17"/>
  <c r="X35" i="17"/>
  <c r="W35" i="17"/>
  <c r="V35" i="17"/>
  <c r="U35" i="17"/>
  <c r="T35" i="17"/>
  <c r="S35" i="17"/>
  <c r="R35" i="17"/>
  <c r="E33" i="17"/>
  <c r="E12" i="17"/>
  <c r="AF14" i="17"/>
  <c r="AE14" i="17"/>
  <c r="AD14" i="17"/>
  <c r="AC14" i="17"/>
  <c r="AF18" i="17"/>
  <c r="AE18" i="17"/>
  <c r="AD18" i="17"/>
  <c r="AC18" i="17"/>
  <c r="AB18" i="17"/>
  <c r="AF17" i="17"/>
  <c r="AE17" i="17"/>
  <c r="AD17" i="17"/>
  <c r="AC17" i="17"/>
  <c r="AB17" i="17"/>
  <c r="AF16" i="17"/>
  <c r="AE16" i="17"/>
  <c r="AD16" i="17"/>
  <c r="AC16" i="17"/>
  <c r="AB16" i="17"/>
  <c r="AF15" i="17"/>
  <c r="AE15" i="17"/>
  <c r="AD15" i="17"/>
  <c r="AC15" i="17"/>
  <c r="AB15" i="17"/>
  <c r="J14" i="17"/>
  <c r="I14" i="17"/>
  <c r="H14" i="17"/>
  <c r="G14" i="17"/>
  <c r="J18" i="17"/>
  <c r="I18" i="17"/>
  <c r="H18" i="17"/>
  <c r="G18" i="17"/>
  <c r="F18" i="17"/>
  <c r="J17" i="17"/>
  <c r="I17" i="17"/>
  <c r="H17" i="17"/>
  <c r="G17" i="17"/>
  <c r="F17" i="17"/>
  <c r="J16" i="17"/>
  <c r="I16" i="17"/>
  <c r="H16" i="17"/>
  <c r="G16" i="17"/>
  <c r="F16" i="17"/>
  <c r="J15" i="17"/>
  <c r="I15" i="17"/>
  <c r="H15" i="17"/>
  <c r="G15" i="17"/>
  <c r="F15" i="17"/>
  <c r="AB13" i="17"/>
  <c r="AC13" i="17" s="1"/>
  <c r="AD13" i="17" s="1"/>
  <c r="AE13" i="17" s="1"/>
  <c r="AF13" i="17" s="1"/>
  <c r="AG13" i="17" s="1"/>
  <c r="AH13" i="17" s="1"/>
  <c r="AI13" i="17" s="1"/>
  <c r="AJ13" i="17" s="1"/>
  <c r="AK13" i="17" s="1"/>
  <c r="Q13" i="17"/>
  <c r="R13" i="17" s="1"/>
  <c r="S13" i="17" s="1"/>
  <c r="T13" i="17" s="1"/>
  <c r="U13" i="17" s="1"/>
  <c r="V13" i="17" s="1"/>
  <c r="W13" i="17" s="1"/>
  <c r="X13" i="17" s="1"/>
  <c r="Y13" i="17" s="1"/>
  <c r="Z13" i="17" s="1"/>
  <c r="F13" i="17"/>
  <c r="G13" i="17" s="1"/>
  <c r="H13" i="17" s="1"/>
  <c r="I13" i="17" s="1"/>
  <c r="J13" i="17" s="1"/>
  <c r="K13" i="17" s="1"/>
  <c r="L13" i="17" s="1"/>
  <c r="M13" i="17" s="1"/>
  <c r="N13" i="17" s="1"/>
  <c r="O13" i="17" s="1"/>
  <c r="R37" i="17" l="1"/>
  <c r="Z37" i="17"/>
  <c r="Q37" i="17"/>
  <c r="Y37" i="17"/>
  <c r="X37" i="17"/>
  <c r="F37" i="17"/>
  <c r="V37" i="17"/>
  <c r="U37" i="17"/>
  <c r="T37" i="17"/>
  <c r="S37" i="17"/>
  <c r="W37" i="17"/>
  <c r="AG25" i="17"/>
  <c r="AI24" i="17"/>
  <c r="AK23" i="17"/>
  <c r="AC23" i="17"/>
  <c r="AE22" i="17"/>
  <c r="AG21" i="17"/>
  <c r="W25" i="17"/>
  <c r="Y24" i="17"/>
  <c r="Q24" i="17"/>
  <c r="S23" i="17"/>
  <c r="U22" i="17"/>
  <c r="W21" i="17"/>
  <c r="M25" i="17"/>
  <c r="O24" i="17"/>
  <c r="G24" i="17"/>
  <c r="I23" i="17"/>
  <c r="K22" i="17"/>
  <c r="M21" i="17"/>
  <c r="AF25" i="17"/>
  <c r="AH24" i="17"/>
  <c r="AJ23" i="17"/>
  <c r="AB23" i="17"/>
  <c r="AD22" i="17"/>
  <c r="AF21" i="17"/>
  <c r="V25" i="17"/>
  <c r="X24" i="17"/>
  <c r="Z23" i="17"/>
  <c r="R23" i="17"/>
  <c r="T22" i="17"/>
  <c r="V21" i="17"/>
  <c r="L25" i="17"/>
  <c r="N24" i="17"/>
  <c r="F24" i="17"/>
  <c r="H23" i="17"/>
  <c r="J22" i="17"/>
  <c r="L21" i="17"/>
  <c r="AE25" i="17"/>
  <c r="AG24" i="17"/>
  <c r="AI23" i="17"/>
  <c r="AK22" i="17"/>
  <c r="AC22" i="17"/>
  <c r="AE21" i="17"/>
  <c r="U25" i="17"/>
  <c r="W24" i="17"/>
  <c r="Y23" i="17"/>
  <c r="Q23" i="17"/>
  <c r="S22" i="17"/>
  <c r="U21" i="17"/>
  <c r="K25" i="17"/>
  <c r="M24" i="17"/>
  <c r="O23" i="17"/>
  <c r="G23" i="17"/>
  <c r="I22" i="17"/>
  <c r="K21" i="17"/>
  <c r="AD25" i="17"/>
  <c r="AF24" i="17"/>
  <c r="AH23" i="17"/>
  <c r="AJ22" i="17"/>
  <c r="AB22" i="17"/>
  <c r="AD21" i="17"/>
  <c r="T25" i="17"/>
  <c r="V24" i="17"/>
  <c r="X23" i="17"/>
  <c r="Z22" i="17"/>
  <c r="R22" i="17"/>
  <c r="T21" i="17"/>
  <c r="J25" i="17"/>
  <c r="L24" i="17"/>
  <c r="N23" i="17"/>
  <c r="F23" i="17"/>
  <c r="H22" i="17"/>
  <c r="AK25" i="17"/>
  <c r="AC25" i="17"/>
  <c r="AE24" i="17"/>
  <c r="AG23" i="17"/>
  <c r="AI22" i="17"/>
  <c r="AK21" i="17"/>
  <c r="AC21" i="17"/>
  <c r="S25" i="17"/>
  <c r="U24" i="17"/>
  <c r="W23" i="17"/>
  <c r="Y22" i="17"/>
  <c r="Q22" i="17"/>
  <c r="S21" i="17"/>
  <c r="I25" i="17"/>
  <c r="K24" i="17"/>
  <c r="M23" i="17"/>
  <c r="O22" i="17"/>
  <c r="G22" i="17"/>
  <c r="I21" i="17"/>
  <c r="AJ25" i="17"/>
  <c r="AB25" i="17"/>
  <c r="AD24" i="17"/>
  <c r="AF23" i="17"/>
  <c r="AH22" i="17"/>
  <c r="AJ21" i="17"/>
  <c r="Z25" i="17"/>
  <c r="R25" i="17"/>
  <c r="T24" i="17"/>
  <c r="V23" i="17"/>
  <c r="X22" i="17"/>
  <c r="Z21" i="17"/>
  <c r="R21" i="17"/>
  <c r="H25" i="17"/>
  <c r="J24" i="17"/>
  <c r="L23" i="17"/>
  <c r="N22" i="17"/>
  <c r="F22" i="17"/>
  <c r="H21" i="17"/>
  <c r="AI25" i="17"/>
  <c r="AK24" i="17"/>
  <c r="AC24" i="17"/>
  <c r="AE23" i="17"/>
  <c r="AG22" i="17"/>
  <c r="AI21" i="17"/>
  <c r="Y25" i="17"/>
  <c r="Q25" i="17"/>
  <c r="S24" i="17"/>
  <c r="U23" i="17"/>
  <c r="W22" i="17"/>
  <c r="Y21" i="17"/>
  <c r="O25" i="17"/>
  <c r="G25" i="17"/>
  <c r="I24" i="17"/>
  <c r="K23" i="17"/>
  <c r="M22" i="17"/>
  <c r="O21" i="17"/>
  <c r="G21" i="17"/>
  <c r="AH25" i="17"/>
  <c r="AJ24" i="17"/>
  <c r="AB24" i="17"/>
  <c r="AD23" i="17"/>
  <c r="AF22" i="17"/>
  <c r="AH21" i="17"/>
  <c r="X25" i="17"/>
  <c r="Z24" i="17"/>
  <c r="R24" i="17"/>
  <c r="T23" i="17"/>
  <c r="V22" i="17"/>
  <c r="X21" i="17"/>
  <c r="N25" i="17"/>
  <c r="F25" i="17"/>
  <c r="H24" i="17"/>
  <c r="J21" i="17"/>
  <c r="J23" i="17"/>
  <c r="L22" i="17"/>
  <c r="N21" i="17"/>
  <c r="AB37" i="17"/>
  <c r="AB21" i="17"/>
  <c r="Q21" i="17"/>
  <c r="G73" i="3" s="1"/>
  <c r="F21" i="17"/>
  <c r="G80" i="3" l="1"/>
  <c r="O53" i="17" l="1"/>
  <c r="N53" i="17"/>
  <c r="M53" i="17"/>
  <c r="L53" i="17"/>
  <c r="K53" i="17"/>
  <c r="J53" i="17"/>
  <c r="I53" i="17"/>
  <c r="H53" i="17"/>
  <c r="G53" i="17"/>
  <c r="G52" i="17"/>
  <c r="I286" i="11" l="1"/>
  <c r="G195" i="2" s="1"/>
  <c r="F59" i="14" l="1"/>
  <c r="H43" i="3"/>
  <c r="G43" i="3"/>
  <c r="H329" i="11" l="1"/>
  <c r="H326" i="11"/>
  <c r="I325" i="11" l="1"/>
  <c r="I96" i="11" l="1"/>
  <c r="I84" i="11"/>
  <c r="I72" i="11"/>
  <c r="I48" i="11"/>
  <c r="I60" i="11"/>
  <c r="I57" i="11"/>
  <c r="I253" i="11" l="1"/>
  <c r="G186" i="2" s="1"/>
  <c r="K128" i="3"/>
  <c r="I285" i="11"/>
  <c r="G194" i="2" s="1"/>
  <c r="G196" i="2" s="1"/>
  <c r="I281" i="11"/>
  <c r="G190" i="2" s="1"/>
  <c r="G191" i="2" s="1"/>
  <c r="I277" i="11"/>
  <c r="I273" i="11"/>
  <c r="G182" i="2" s="1"/>
  <c r="G197" i="2" l="1"/>
  <c r="D127" i="3"/>
  <c r="E9" i="30" s="1"/>
  <c r="I251" i="11"/>
  <c r="J251" i="11" s="1"/>
  <c r="K251" i="11" s="1"/>
  <c r="L251" i="11" s="1"/>
  <c r="M251" i="11" s="1"/>
  <c r="N251" i="11" s="1"/>
  <c r="O251" i="11" s="1"/>
  <c r="P251" i="11" s="1"/>
  <c r="Q251" i="11" s="1"/>
  <c r="R251" i="11" s="1"/>
  <c r="S251" i="11" s="1"/>
  <c r="T251" i="11" s="1"/>
  <c r="U251" i="11" s="1"/>
  <c r="V251" i="11" s="1"/>
  <c r="W251" i="11" s="1"/>
  <c r="X251" i="11" s="1"/>
  <c r="Y251" i="11" s="1"/>
  <c r="Z251" i="11" s="1"/>
  <c r="AA251" i="11" s="1"/>
  <c r="AB251" i="11" s="1"/>
  <c r="AC251" i="11" s="1"/>
  <c r="AD251" i="11" s="1"/>
  <c r="AE251" i="11" s="1"/>
  <c r="AF251" i="11" s="1"/>
  <c r="AG251" i="11" s="1"/>
  <c r="AH251" i="11" s="1"/>
  <c r="AI251" i="11" s="1"/>
  <c r="AJ251" i="11" s="1"/>
  <c r="AK251" i="11" s="1"/>
  <c r="AL251" i="11" s="1"/>
  <c r="AM251" i="11" s="1"/>
  <c r="AN251" i="11" s="1"/>
  <c r="AO251" i="11" s="1"/>
  <c r="AP251" i="11" s="1"/>
  <c r="AQ251" i="11" s="1"/>
  <c r="AR251" i="11" s="1"/>
  <c r="AS251" i="11" s="1"/>
  <c r="AT251" i="11" s="1"/>
  <c r="AU251" i="11" s="1"/>
  <c r="AV251" i="11" s="1"/>
  <c r="AW251" i="11" s="1"/>
  <c r="AX251" i="11" s="1"/>
  <c r="AY251" i="11" s="1"/>
  <c r="AZ251" i="11" s="1"/>
  <c r="BA251" i="11" s="1"/>
  <c r="BB251" i="11" s="1"/>
  <c r="BC251" i="11" s="1"/>
  <c r="BD251" i="11" s="1"/>
  <c r="BE251" i="11" s="1"/>
  <c r="BF251" i="11" s="1"/>
  <c r="BG251" i="11" s="1"/>
  <c r="BH251" i="11" s="1"/>
  <c r="BI251" i="11" s="1"/>
  <c r="BJ251" i="11" s="1"/>
  <c r="BK251" i="11" s="1"/>
  <c r="BL251" i="11" s="1"/>
  <c r="BM251" i="11" s="1"/>
  <c r="BN251" i="11" s="1"/>
  <c r="BO251" i="11" s="1"/>
  <c r="BP251" i="11" s="1"/>
  <c r="BQ251" i="11" s="1"/>
  <c r="BR251" i="11" s="1"/>
  <c r="BS251" i="11" s="1"/>
  <c r="BT251" i="11" s="1"/>
  <c r="BU251" i="11" s="1"/>
  <c r="BV251" i="11" s="1"/>
  <c r="BW251" i="11" s="1"/>
  <c r="BX251" i="11" s="1"/>
  <c r="BY251" i="11" s="1"/>
  <c r="BZ251" i="11" s="1"/>
  <c r="CA251" i="11" s="1"/>
  <c r="CB251" i="11" s="1"/>
  <c r="CC251" i="11" s="1"/>
  <c r="CD251" i="11" s="1"/>
  <c r="CE251" i="11" s="1"/>
  <c r="CF251" i="11" s="1"/>
  <c r="CG251" i="11" s="1"/>
  <c r="CH251" i="11" s="1"/>
  <c r="CI251" i="11" s="1"/>
  <c r="CJ251" i="11" s="1"/>
  <c r="CK251" i="11" s="1"/>
  <c r="CL251" i="11" s="1"/>
  <c r="CM251" i="11" s="1"/>
  <c r="CN251" i="11" s="1"/>
  <c r="CO251" i="11" s="1"/>
  <c r="CP251" i="11" s="1"/>
  <c r="CQ251" i="11" s="1"/>
  <c r="CR251" i="11" s="1"/>
  <c r="CS251" i="11" s="1"/>
  <c r="CT251" i="11" s="1"/>
  <c r="CU251" i="11" s="1"/>
  <c r="CV251" i="11" s="1"/>
  <c r="CW251" i="11" s="1"/>
  <c r="CX251" i="11" s="1"/>
  <c r="CY251" i="11" s="1"/>
  <c r="CZ251" i="11" s="1"/>
  <c r="DA251" i="11" s="1"/>
  <c r="DB251" i="11" s="1"/>
  <c r="DC251" i="11" s="1"/>
  <c r="DD251" i="11" s="1"/>
  <c r="DE251" i="11" s="1"/>
  <c r="DF251" i="11" s="1"/>
  <c r="DG251" i="11" s="1"/>
  <c r="DH251" i="11" s="1"/>
  <c r="DI251" i="11" s="1"/>
  <c r="DJ251" i="11" s="1"/>
  <c r="DK251" i="11" s="1"/>
  <c r="DL251" i="11" s="1"/>
  <c r="DM251" i="11" s="1"/>
  <c r="DN251" i="11" s="1"/>
  <c r="DO251" i="11" s="1"/>
  <c r="DP251" i="11" s="1"/>
  <c r="DQ251" i="11" s="1"/>
  <c r="DR251" i="11" s="1"/>
  <c r="DS251" i="11" s="1"/>
  <c r="DT251" i="11" s="1"/>
  <c r="DU251" i="11" s="1"/>
  <c r="DV251" i="11" s="1"/>
  <c r="DW251" i="11" s="1"/>
  <c r="DX251" i="11" s="1"/>
  <c r="DY251" i="11" s="1"/>
  <c r="I8" i="7" l="1"/>
  <c r="I274" i="11"/>
  <c r="G183" i="2" s="1"/>
  <c r="I262" i="11"/>
  <c r="I261" i="11"/>
  <c r="I257" i="11"/>
  <c r="I250" i="11"/>
  <c r="I275" i="11"/>
  <c r="G184" i="2" s="1"/>
  <c r="G185" i="2" l="1"/>
  <c r="G187" i="2" s="1"/>
  <c r="I288" i="11"/>
  <c r="E177" i="7" l="1"/>
  <c r="E162" i="7"/>
  <c r="E147" i="7"/>
  <c r="E132" i="7"/>
  <c r="E117" i="7"/>
  <c r="E102" i="7"/>
  <c r="E87" i="7"/>
  <c r="E72" i="7"/>
  <c r="E57" i="7"/>
  <c r="E42" i="7"/>
  <c r="K29" i="3" l="1"/>
  <c r="K41" i="3" s="1"/>
  <c r="K56" i="3" s="1"/>
  <c r="J29" i="3"/>
  <c r="J41" i="3" s="1"/>
  <c r="J56" i="3" s="1"/>
  <c r="I29" i="3"/>
  <c r="I41" i="3" s="1"/>
  <c r="I56" i="3" s="1"/>
  <c r="H29" i="3"/>
  <c r="H41" i="3" s="1"/>
  <c r="H56" i="3" s="1"/>
  <c r="G29" i="3"/>
  <c r="G41" i="3" s="1"/>
  <c r="G56" i="3" s="1"/>
  <c r="E25" i="17" l="1"/>
  <c r="E24" i="17"/>
  <c r="E23" i="17" l="1"/>
  <c r="E22" i="17"/>
  <c r="E21" i="17"/>
  <c r="C6" i="28"/>
  <c r="C137" i="11" l="1"/>
  <c r="C55" i="2" s="1"/>
  <c r="C136" i="11"/>
  <c r="C135" i="11"/>
  <c r="C134" i="11"/>
  <c r="C133" i="11"/>
  <c r="C142" i="11"/>
  <c r="C60" i="2" s="1"/>
  <c r="C141" i="11"/>
  <c r="C59" i="2" s="1"/>
  <c r="C140" i="11"/>
  <c r="C58" i="28" s="1"/>
  <c r="C139" i="11"/>
  <c r="C57" i="2" s="1"/>
  <c r="C138" i="11"/>
  <c r="C56" i="2" s="1"/>
  <c r="C155" i="11"/>
  <c r="C73" i="28" s="1"/>
  <c r="C154" i="11"/>
  <c r="C72" i="28" s="1"/>
  <c r="C153" i="11"/>
  <c r="C71" i="28" s="1"/>
  <c r="C152" i="11"/>
  <c r="C70" i="28" s="1"/>
  <c r="C151" i="11"/>
  <c r="C69" i="28" s="1"/>
  <c r="C150" i="11"/>
  <c r="C68" i="28" s="1"/>
  <c r="C149" i="11"/>
  <c r="C67" i="28" s="1"/>
  <c r="C148" i="11"/>
  <c r="C66" i="2" s="1"/>
  <c r="C147" i="11"/>
  <c r="C65" i="28" s="1"/>
  <c r="C146" i="11"/>
  <c r="C55" i="28" l="1"/>
  <c r="C72" i="2"/>
  <c r="C58" i="2"/>
  <c r="C60" i="28"/>
  <c r="C67" i="2"/>
  <c r="C57" i="28"/>
  <c r="C69" i="2"/>
  <c r="C66" i="28"/>
  <c r="C56" i="28"/>
  <c r="C68" i="2"/>
  <c r="C70" i="2"/>
  <c r="C59" i="28"/>
  <c r="C71" i="2"/>
  <c r="C65" i="2"/>
  <c r="C73" i="2"/>
  <c r="I15" i="11"/>
  <c r="I10" i="11"/>
  <c r="M100" i="3" l="1"/>
  <c r="P99" i="3"/>
  <c r="O99" i="3"/>
  <c r="N99" i="3"/>
  <c r="M99" i="3"/>
  <c r="AK57" i="17"/>
  <c r="AJ57" i="17"/>
  <c r="AI57" i="17"/>
  <c r="AH57" i="17"/>
  <c r="AK55" i="17"/>
  <c r="AJ55" i="17"/>
  <c r="AI55" i="17"/>
  <c r="AH55" i="17"/>
  <c r="P100" i="3"/>
  <c r="O100" i="3"/>
  <c r="N100" i="3"/>
  <c r="P98" i="3"/>
  <c r="O98" i="3"/>
  <c r="N98" i="3"/>
  <c r="M98" i="3"/>
  <c r="AK50" i="17"/>
  <c r="AJ50" i="17"/>
  <c r="AI50" i="17"/>
  <c r="AH50" i="17"/>
  <c r="AK35" i="17"/>
  <c r="AK37" i="17" s="1"/>
  <c r="AJ35" i="17"/>
  <c r="AJ37" i="17" s="1"/>
  <c r="AI35" i="17"/>
  <c r="AI37" i="17" s="1"/>
  <c r="AH35" i="17"/>
  <c r="AH37" i="17" s="1"/>
  <c r="Z57" i="17"/>
  <c r="P103" i="3" s="1"/>
  <c r="Y57" i="17"/>
  <c r="O103" i="3" s="1"/>
  <c r="X57" i="17"/>
  <c r="W57" i="17"/>
  <c r="M103" i="3" s="1"/>
  <c r="Z56" i="17"/>
  <c r="P102" i="3" s="1"/>
  <c r="Y56" i="17"/>
  <c r="O102" i="3" s="1"/>
  <c r="X56" i="17"/>
  <c r="W56" i="17"/>
  <c r="M102" i="3" s="1"/>
  <c r="Z55" i="17"/>
  <c r="P101" i="3" s="1"/>
  <c r="Y55" i="17"/>
  <c r="O101" i="3" s="1"/>
  <c r="X55" i="17"/>
  <c r="N101" i="3" s="1"/>
  <c r="W55" i="17"/>
  <c r="M101" i="3" s="1"/>
  <c r="Z51" i="17"/>
  <c r="P97" i="3" s="1"/>
  <c r="Y51" i="17"/>
  <c r="O97" i="3" s="1"/>
  <c r="X51" i="17"/>
  <c r="N97" i="3" s="1"/>
  <c r="W51" i="17"/>
  <c r="M97" i="3" s="1"/>
  <c r="Z50" i="17"/>
  <c r="P96" i="3" s="1"/>
  <c r="Y50" i="17"/>
  <c r="O96" i="3" s="1"/>
  <c r="X50" i="17"/>
  <c r="N96" i="3" s="1"/>
  <c r="W50" i="17"/>
  <c r="M96" i="3" s="1"/>
  <c r="O57" i="17"/>
  <c r="N57" i="17"/>
  <c r="M57" i="17"/>
  <c r="L57" i="17"/>
  <c r="O56" i="17"/>
  <c r="N56" i="17"/>
  <c r="M56" i="17"/>
  <c r="L56" i="17"/>
  <c r="O55" i="17"/>
  <c r="N55" i="17"/>
  <c r="M55" i="17"/>
  <c r="L55" i="17"/>
  <c r="O54" i="17"/>
  <c r="N54" i="17"/>
  <c r="M54" i="17"/>
  <c r="L54" i="17"/>
  <c r="O52" i="17"/>
  <c r="N52" i="17"/>
  <c r="M52" i="17"/>
  <c r="L52" i="17"/>
  <c r="O51" i="17"/>
  <c r="N51" i="17"/>
  <c r="M51" i="17"/>
  <c r="L51" i="17"/>
  <c r="O50" i="17"/>
  <c r="N50" i="17"/>
  <c r="M50" i="17"/>
  <c r="L50" i="17"/>
  <c r="O35" i="17"/>
  <c r="O37" i="17" s="1"/>
  <c r="N35" i="17"/>
  <c r="N37" i="17" s="1"/>
  <c r="M35" i="17"/>
  <c r="M37" i="17" s="1"/>
  <c r="L35" i="17"/>
  <c r="L37" i="17" s="1"/>
  <c r="D18" i="10"/>
  <c r="N102" i="3" l="1"/>
  <c r="N103" i="3"/>
  <c r="G96" i="3"/>
  <c r="V51" i="17"/>
  <c r="F138" i="3" l="1"/>
  <c r="D42" i="3" l="1"/>
  <c r="G47" i="3" l="1"/>
  <c r="E25" i="7"/>
  <c r="E23" i="7" l="1"/>
  <c r="I35" i="3" l="1"/>
  <c r="I36" i="3" s="1"/>
  <c r="H35" i="3"/>
  <c r="H37" i="3" s="1"/>
  <c r="G35" i="3"/>
  <c r="G37" i="3" l="1"/>
  <c r="G36" i="3"/>
  <c r="DS41" i="11" l="1"/>
  <c r="DK41" i="11"/>
  <c r="DC41" i="11"/>
  <c r="CU41" i="11"/>
  <c r="CM41" i="11"/>
  <c r="CE41" i="11"/>
  <c r="BW41" i="11"/>
  <c r="BO41" i="11"/>
  <c r="BG41" i="11"/>
  <c r="AY41" i="11"/>
  <c r="AQ41" i="11"/>
  <c r="AI41" i="11"/>
  <c r="AA41" i="11"/>
  <c r="S41" i="11"/>
  <c r="K41" i="11"/>
  <c r="DR41" i="11"/>
  <c r="DJ41" i="11"/>
  <c r="DB41" i="11"/>
  <c r="CT41" i="11"/>
  <c r="CL41" i="11"/>
  <c r="CD41" i="11"/>
  <c r="BV41" i="11"/>
  <c r="BN41" i="11"/>
  <c r="BF41" i="11"/>
  <c r="AX41" i="11"/>
  <c r="AP41" i="11"/>
  <c r="AH41" i="11"/>
  <c r="Z41" i="11"/>
  <c r="R41" i="11"/>
  <c r="J41" i="11"/>
  <c r="DY41" i="11"/>
  <c r="DQ41" i="11"/>
  <c r="DI41" i="11"/>
  <c r="CS41" i="11"/>
  <c r="CK41" i="11"/>
  <c r="CC41" i="11"/>
  <c r="BU41" i="11"/>
  <c r="BM41" i="11"/>
  <c r="BE41" i="11"/>
  <c r="AW41" i="11"/>
  <c r="AO41" i="11"/>
  <c r="Y41" i="11"/>
  <c r="Q41" i="11"/>
  <c r="DA41" i="11"/>
  <c r="AG41" i="11"/>
  <c r="AJ41" i="11"/>
  <c r="DX41" i="11"/>
  <c r="DP41" i="11"/>
  <c r="DH41" i="11"/>
  <c r="CZ41" i="11"/>
  <c r="CR41" i="11"/>
  <c r="CJ41" i="11"/>
  <c r="CB41" i="11"/>
  <c r="BT41" i="11"/>
  <c r="BL41" i="11"/>
  <c r="BD41" i="11"/>
  <c r="AV41" i="11"/>
  <c r="AN41" i="11"/>
  <c r="AF41" i="11"/>
  <c r="X41" i="11"/>
  <c r="P41" i="11"/>
  <c r="BY41" i="11"/>
  <c r="U41" i="11"/>
  <c r="DT41" i="11"/>
  <c r="CV41" i="11"/>
  <c r="CF41" i="11"/>
  <c r="BH41" i="11"/>
  <c r="AR41" i="11"/>
  <c r="T41" i="11"/>
  <c r="DW41" i="11"/>
  <c r="DO41" i="11"/>
  <c r="DG41" i="11"/>
  <c r="CY41" i="11"/>
  <c r="CQ41" i="11"/>
  <c r="CI41" i="11"/>
  <c r="CA41" i="11"/>
  <c r="BS41" i="11"/>
  <c r="BK41" i="11"/>
  <c r="BC41" i="11"/>
  <c r="AU41" i="11"/>
  <c r="AM41" i="11"/>
  <c r="AE41" i="11"/>
  <c r="W41" i="11"/>
  <c r="O41" i="11"/>
  <c r="DU41" i="11"/>
  <c r="DE41" i="11"/>
  <c r="CO41" i="11"/>
  <c r="BQ41" i="11"/>
  <c r="BA41" i="11"/>
  <c r="AC41" i="11"/>
  <c r="DV41" i="11"/>
  <c r="DN41" i="11"/>
  <c r="DF41" i="11"/>
  <c r="CX41" i="11"/>
  <c r="CP41" i="11"/>
  <c r="CH41" i="11"/>
  <c r="BZ41" i="11"/>
  <c r="BR41" i="11"/>
  <c r="BJ41" i="11"/>
  <c r="BB41" i="11"/>
  <c r="AT41" i="11"/>
  <c r="AL41" i="11"/>
  <c r="AD41" i="11"/>
  <c r="V41" i="11"/>
  <c r="N41" i="11"/>
  <c r="DM41" i="11"/>
  <c r="CW41" i="11"/>
  <c r="CG41" i="11"/>
  <c r="BI41" i="11"/>
  <c r="AS41" i="11"/>
  <c r="AK41" i="11"/>
  <c r="M41" i="11"/>
  <c r="DL41" i="11"/>
  <c r="DD41" i="11"/>
  <c r="CN41" i="11"/>
  <c r="BX41" i="11"/>
  <c r="BP41" i="11"/>
  <c r="AZ41" i="11"/>
  <c r="AB41" i="11"/>
  <c r="L41" i="11"/>
  <c r="J20" i="10" l="1"/>
  <c r="I52" i="14"/>
  <c r="H52" i="14"/>
  <c r="G52" i="14"/>
  <c r="F52" i="14"/>
  <c r="E52" i="14"/>
  <c r="E54" i="14"/>
  <c r="K20" i="10" l="1"/>
  <c r="H167" i="11"/>
  <c r="O138" i="3" l="1"/>
  <c r="N138" i="3"/>
  <c r="E46" i="7"/>
  <c r="I43" i="3" l="1"/>
  <c r="K43" i="3"/>
  <c r="J43" i="3"/>
  <c r="I44" i="3" l="1"/>
  <c r="I45" i="3" s="1"/>
  <c r="H44" i="3"/>
  <c r="H45" i="3" s="1"/>
  <c r="G44" i="3"/>
  <c r="K44" i="3"/>
  <c r="J44" i="3"/>
  <c r="G45" i="3" l="1"/>
  <c r="B14" i="14"/>
  <c r="B13" i="14"/>
  <c r="B12" i="14"/>
  <c r="B11" i="14"/>
  <c r="B10" i="14"/>
  <c r="B19" i="14"/>
  <c r="B18" i="14"/>
  <c r="B17" i="14"/>
  <c r="B16" i="14"/>
  <c r="B15" i="14"/>
  <c r="G48" i="3" l="1"/>
  <c r="G99" i="3"/>
  <c r="H99" i="3"/>
  <c r="B26" i="14"/>
  <c r="B31" i="14" s="1"/>
  <c r="B25" i="14"/>
  <c r="B30" i="14" s="1"/>
  <c r="B24" i="14"/>
  <c r="B29" i="14" s="1"/>
  <c r="B23" i="14"/>
  <c r="B28" i="14" s="1"/>
  <c r="B22" i="14"/>
  <c r="B27" i="14" s="1"/>
  <c r="G49" i="3" l="1"/>
  <c r="F43" i="28"/>
  <c r="F43" i="2"/>
  <c r="H125" i="11"/>
  <c r="F113" i="28"/>
  <c r="F113" i="2"/>
  <c r="H194" i="11"/>
  <c r="D179" i="28"/>
  <c r="G104" i="3" l="1"/>
  <c r="G103" i="3"/>
  <c r="J210" i="11" s="1"/>
  <c r="G102" i="3"/>
  <c r="G101" i="3"/>
  <c r="G100" i="3"/>
  <c r="L99" i="3"/>
  <c r="K99" i="3"/>
  <c r="J99" i="3"/>
  <c r="I99" i="3"/>
  <c r="G98" i="3"/>
  <c r="G97" i="3"/>
  <c r="D15" i="3" l="1"/>
  <c r="I13" i="11" l="1"/>
  <c r="C12" i="11"/>
  <c r="C11" i="11"/>
  <c r="C10" i="11"/>
  <c r="C9" i="11"/>
  <c r="C8" i="11"/>
  <c r="I12" i="11"/>
  <c r="I11" i="11"/>
  <c r="I9" i="11"/>
  <c r="B2" i="17" l="1"/>
  <c r="AG57" i="17" l="1"/>
  <c r="AF57" i="17"/>
  <c r="AE57" i="17"/>
  <c r="AD57" i="17"/>
  <c r="AC57" i="17"/>
  <c r="AG55" i="17"/>
  <c r="AF55" i="17"/>
  <c r="AE55" i="17"/>
  <c r="AD55" i="17"/>
  <c r="AC55" i="17"/>
  <c r="J97" i="3"/>
  <c r="AG50" i="17"/>
  <c r="AF50" i="17"/>
  <c r="AE50" i="17"/>
  <c r="AD50" i="17"/>
  <c r="AC50" i="17"/>
  <c r="S52" i="17"/>
  <c r="I98" i="3" s="1"/>
  <c r="R52" i="17"/>
  <c r="H98" i="3" s="1"/>
  <c r="K97" i="3"/>
  <c r="S51" i="17"/>
  <c r="I97" i="3" s="1"/>
  <c r="R51" i="17"/>
  <c r="V50" i="17"/>
  <c r="U50" i="17"/>
  <c r="T50" i="17"/>
  <c r="J96" i="3" s="1"/>
  <c r="S50" i="17"/>
  <c r="R50" i="17"/>
  <c r="H96" i="3" s="1"/>
  <c r="R54" i="17"/>
  <c r="V57" i="17"/>
  <c r="L103" i="3" s="1"/>
  <c r="U57" i="17"/>
  <c r="T57" i="17"/>
  <c r="J103" i="3" s="1"/>
  <c r="S57" i="17"/>
  <c r="I103" i="3" s="1"/>
  <c r="R57" i="17"/>
  <c r="H103" i="3" s="1"/>
  <c r="V56" i="17"/>
  <c r="U56" i="17"/>
  <c r="T56" i="17"/>
  <c r="S56" i="17"/>
  <c r="I102" i="3" s="1"/>
  <c r="R56" i="17"/>
  <c r="V55" i="17"/>
  <c r="L101" i="3" s="1"/>
  <c r="U55" i="17"/>
  <c r="K101" i="3" s="1"/>
  <c r="T55" i="17"/>
  <c r="J101" i="3" s="1"/>
  <c r="S55" i="17"/>
  <c r="R55" i="17"/>
  <c r="K100" i="3"/>
  <c r="J100" i="3"/>
  <c r="S54" i="17"/>
  <c r="I100" i="3" s="1"/>
  <c r="G55" i="17"/>
  <c r="G56" i="17"/>
  <c r="K57" i="17"/>
  <c r="J57" i="17"/>
  <c r="I57" i="17"/>
  <c r="H57" i="17"/>
  <c r="G57" i="17"/>
  <c r="K56" i="17"/>
  <c r="J56" i="17"/>
  <c r="I56" i="17"/>
  <c r="H56" i="17"/>
  <c r="K55" i="17"/>
  <c r="J55" i="17"/>
  <c r="I55" i="17"/>
  <c r="H55" i="17"/>
  <c r="K54" i="17"/>
  <c r="J54" i="17"/>
  <c r="I54" i="17"/>
  <c r="H54" i="17"/>
  <c r="G54" i="17"/>
  <c r="K52" i="17"/>
  <c r="J52" i="17"/>
  <c r="I52" i="17"/>
  <c r="H52" i="17"/>
  <c r="K51" i="17"/>
  <c r="J51" i="17"/>
  <c r="I51" i="17"/>
  <c r="H51" i="17"/>
  <c r="G51" i="17"/>
  <c r="K50" i="17"/>
  <c r="J50" i="17"/>
  <c r="I50" i="17"/>
  <c r="H50" i="17"/>
  <c r="G50" i="17"/>
  <c r="K35" i="17"/>
  <c r="K37" i="17" s="1"/>
  <c r="J35" i="17"/>
  <c r="J37" i="17" s="1"/>
  <c r="I35" i="17"/>
  <c r="I37" i="17" s="1"/>
  <c r="H35" i="17"/>
  <c r="H37" i="17" s="1"/>
  <c r="G35" i="17"/>
  <c r="G37" i="17" s="1"/>
  <c r="AG35" i="17"/>
  <c r="AG37" i="17" s="1"/>
  <c r="AF35" i="17"/>
  <c r="AF37" i="17" s="1"/>
  <c r="AE35" i="17"/>
  <c r="AE37" i="17" s="1"/>
  <c r="AD35" i="17"/>
  <c r="AD37" i="17" s="1"/>
  <c r="AC35" i="17"/>
  <c r="AC37" i="17" s="1"/>
  <c r="AB41" i="17"/>
  <c r="Q41" i="17"/>
  <c r="G83" i="3" s="1"/>
  <c r="F41" i="17"/>
  <c r="H100" i="3" l="1"/>
  <c r="K96" i="3"/>
  <c r="H102" i="3"/>
  <c r="K103" i="3"/>
  <c r="H97" i="3"/>
  <c r="K98" i="3"/>
  <c r="J98" i="3"/>
  <c r="L98" i="3"/>
  <c r="L96" i="3"/>
  <c r="L100" i="3"/>
  <c r="J102" i="3"/>
  <c r="H101" i="3"/>
  <c r="K102" i="3"/>
  <c r="I101" i="3"/>
  <c r="L102" i="3"/>
  <c r="I96" i="3"/>
  <c r="L97" i="3"/>
  <c r="L20" i="10"/>
  <c r="K60" i="3" l="1"/>
  <c r="I67" i="14" s="1"/>
  <c r="J60" i="3"/>
  <c r="H67" i="14" s="1"/>
  <c r="I60" i="3"/>
  <c r="G67" i="14" s="1"/>
  <c r="H60" i="3"/>
  <c r="F67" i="14" s="1"/>
  <c r="G60" i="3"/>
  <c r="E67" i="14" s="1"/>
  <c r="B2" i="30" l="1"/>
  <c r="C159" i="11" l="1"/>
  <c r="H168" i="11"/>
  <c r="P73" i="3" l="1"/>
  <c r="O76" i="3"/>
  <c r="O74" i="3"/>
  <c r="N76" i="3"/>
  <c r="N74" i="3"/>
  <c r="M76" i="3"/>
  <c r="M74" i="3"/>
  <c r="P77" i="3"/>
  <c r="P75" i="3"/>
  <c r="O73" i="3"/>
  <c r="O77" i="3"/>
  <c r="O75" i="3"/>
  <c r="N73" i="3"/>
  <c r="N77" i="3"/>
  <c r="N75" i="3"/>
  <c r="M73" i="3"/>
  <c r="M77" i="3"/>
  <c r="M75" i="3"/>
  <c r="P76" i="3"/>
  <c r="P74" i="3"/>
  <c r="H166" i="11" l="1"/>
  <c r="I59" i="14" l="1"/>
  <c r="C212" i="28" l="1"/>
  <c r="C211" i="28"/>
  <c r="C9" i="28"/>
  <c r="C8" i="28"/>
  <c r="C7" i="28"/>
  <c r="F3" i="28"/>
  <c r="F2" i="28"/>
  <c r="B2" i="28"/>
  <c r="F1" i="28"/>
  <c r="D31" i="10"/>
  <c r="J13" i="7"/>
  <c r="J185" i="11" s="1"/>
  <c r="J217" i="11" s="1"/>
  <c r="E31" i="7"/>
  <c r="J28" i="10" l="1"/>
  <c r="J29" i="10" s="1"/>
  <c r="G53" i="3" l="1"/>
  <c r="E60" i="7"/>
  <c r="E61" i="7"/>
  <c r="E66" i="7"/>
  <c r="E67" i="7"/>
  <c r="E69" i="7"/>
  <c r="E166" i="7"/>
  <c r="E151" i="7"/>
  <c r="E136" i="7"/>
  <c r="E121" i="7"/>
  <c r="E106" i="7"/>
  <c r="E91" i="7"/>
  <c r="E76" i="7"/>
  <c r="D29" i="10"/>
  <c r="J30" i="10" s="1"/>
  <c r="AB49" i="17"/>
  <c r="AC49" i="17" s="1"/>
  <c r="AD49" i="17" s="1"/>
  <c r="AE49" i="17" s="1"/>
  <c r="AF49" i="17" s="1"/>
  <c r="AG49" i="17" s="1"/>
  <c r="AH49" i="17" s="1"/>
  <c r="AI49" i="17" s="1"/>
  <c r="AJ49" i="17" s="1"/>
  <c r="AK49" i="17" s="1"/>
  <c r="Q49" i="17"/>
  <c r="R49" i="17" s="1"/>
  <c r="S49" i="17" s="1"/>
  <c r="T49" i="17" s="1"/>
  <c r="U49" i="17" s="1"/>
  <c r="V49" i="17" s="1"/>
  <c r="W49" i="17" s="1"/>
  <c r="X49" i="17" s="1"/>
  <c r="Y49" i="17" s="1"/>
  <c r="Z49" i="17" s="1"/>
  <c r="F49" i="17"/>
  <c r="G49" i="17" s="1"/>
  <c r="H49" i="17" s="1"/>
  <c r="I49" i="17" s="1"/>
  <c r="J49" i="17" s="1"/>
  <c r="K49" i="17" s="1"/>
  <c r="L49" i="17" s="1"/>
  <c r="M49" i="17" s="1"/>
  <c r="N49" i="17" s="1"/>
  <c r="O49" i="17" s="1"/>
  <c r="AB34" i="17"/>
  <c r="AC34" i="17" s="1"/>
  <c r="AD34" i="17" s="1"/>
  <c r="AE34" i="17" s="1"/>
  <c r="AF34" i="17" s="1"/>
  <c r="AG34" i="17" s="1"/>
  <c r="AH34" i="17" s="1"/>
  <c r="AI34" i="17" s="1"/>
  <c r="AJ34" i="17" s="1"/>
  <c r="AK34" i="17" s="1"/>
  <c r="Q34" i="17"/>
  <c r="R34" i="17" s="1"/>
  <c r="S34" i="17" s="1"/>
  <c r="T34" i="17" s="1"/>
  <c r="U34" i="17" s="1"/>
  <c r="V34" i="17" s="1"/>
  <c r="W34" i="17" s="1"/>
  <c r="X34" i="17" s="1"/>
  <c r="Y34" i="17" s="1"/>
  <c r="Z34" i="17" s="1"/>
  <c r="F34" i="17"/>
  <c r="G34" i="17" s="1"/>
  <c r="H34" i="17" s="1"/>
  <c r="I34" i="17" s="1"/>
  <c r="J34" i="17" s="1"/>
  <c r="K34" i="17" s="1"/>
  <c r="L34" i="17" s="1"/>
  <c r="M34" i="17" s="1"/>
  <c r="N34" i="17" s="1"/>
  <c r="O34" i="17" s="1"/>
  <c r="AB20" i="17"/>
  <c r="AC20" i="17" s="1"/>
  <c r="AD20" i="17" s="1"/>
  <c r="AE20" i="17" s="1"/>
  <c r="AF20" i="17" s="1"/>
  <c r="AG20" i="17" s="1"/>
  <c r="AH20" i="17" s="1"/>
  <c r="AI20" i="17" s="1"/>
  <c r="AJ20" i="17" s="1"/>
  <c r="AK20" i="17" s="1"/>
  <c r="Q20" i="17"/>
  <c r="R20" i="17" s="1"/>
  <c r="S20" i="17" s="1"/>
  <c r="T20" i="17" s="1"/>
  <c r="U20" i="17" s="1"/>
  <c r="V20" i="17" s="1"/>
  <c r="W20" i="17" s="1"/>
  <c r="X20" i="17" s="1"/>
  <c r="Y20" i="17" s="1"/>
  <c r="Z20" i="17" s="1"/>
  <c r="F20" i="17"/>
  <c r="G20" i="17" s="1"/>
  <c r="H20" i="17" s="1"/>
  <c r="I20" i="17" s="1"/>
  <c r="J20" i="17" s="1"/>
  <c r="K20" i="17" s="1"/>
  <c r="L20" i="17" s="1"/>
  <c r="M20" i="17" s="1"/>
  <c r="N20" i="17" s="1"/>
  <c r="O20" i="17" s="1"/>
  <c r="G154" i="3"/>
  <c r="H154" i="3" s="1"/>
  <c r="I154" i="3" s="1"/>
  <c r="J154" i="3" s="1"/>
  <c r="K154" i="3" s="1"/>
  <c r="L154" i="3" s="1"/>
  <c r="M154" i="3" s="1"/>
  <c r="N154" i="3" s="1"/>
  <c r="O154" i="3" s="1"/>
  <c r="P154" i="3" s="1"/>
  <c r="G95" i="3"/>
  <c r="G87" i="3"/>
  <c r="G79" i="3"/>
  <c r="H79" i="3" s="1"/>
  <c r="I79" i="3" s="1"/>
  <c r="J79" i="3" s="1"/>
  <c r="K79" i="3" s="1"/>
  <c r="L79" i="3" s="1"/>
  <c r="M79" i="3" s="1"/>
  <c r="N79" i="3" s="1"/>
  <c r="O79" i="3" s="1"/>
  <c r="P79" i="3" s="1"/>
  <c r="G72" i="3"/>
  <c r="H47" i="3"/>
  <c r="I47" i="3"/>
  <c r="J45" i="3"/>
  <c r="K45" i="3"/>
  <c r="DY161" i="7" l="1"/>
  <c r="DQ161" i="7"/>
  <c r="DI161" i="7"/>
  <c r="DA161" i="7"/>
  <c r="CS161" i="7"/>
  <c r="CK161" i="7"/>
  <c r="DB161" i="7"/>
  <c r="DX161" i="7"/>
  <c r="DP161" i="7"/>
  <c r="DH161" i="7"/>
  <c r="CZ161" i="7"/>
  <c r="CR161" i="7"/>
  <c r="CJ161" i="7"/>
  <c r="CD161" i="7"/>
  <c r="DW161" i="7"/>
  <c r="DO161" i="7"/>
  <c r="DG161" i="7"/>
  <c r="CY161" i="7"/>
  <c r="CQ161" i="7"/>
  <c r="CI161" i="7"/>
  <c r="DJ161" i="7"/>
  <c r="DV161" i="7"/>
  <c r="DN161" i="7"/>
  <c r="DF161" i="7"/>
  <c r="CX161" i="7"/>
  <c r="CP161" i="7"/>
  <c r="CH161" i="7"/>
  <c r="CM161" i="7"/>
  <c r="DU161" i="7"/>
  <c r="DM161" i="7"/>
  <c r="DE161" i="7"/>
  <c r="CW161" i="7"/>
  <c r="CO161" i="7"/>
  <c r="CG161" i="7"/>
  <c r="DS161" i="7"/>
  <c r="CU161" i="7"/>
  <c r="DR161" i="7"/>
  <c r="CL161" i="7"/>
  <c r="DT161" i="7"/>
  <c r="DL161" i="7"/>
  <c r="DD161" i="7"/>
  <c r="CV161" i="7"/>
  <c r="CN161" i="7"/>
  <c r="CF161" i="7"/>
  <c r="DK161" i="7"/>
  <c r="DC161" i="7"/>
  <c r="CE161" i="7"/>
  <c r="CT161" i="7"/>
  <c r="DY176" i="7"/>
  <c r="DQ176" i="7"/>
  <c r="DI176" i="7"/>
  <c r="DA176" i="7"/>
  <c r="CS176" i="7"/>
  <c r="CK176" i="7"/>
  <c r="DR176" i="7"/>
  <c r="DX176" i="7"/>
  <c r="DP176" i="7"/>
  <c r="DH176" i="7"/>
  <c r="CZ176" i="7"/>
  <c r="CR176" i="7"/>
  <c r="CJ176" i="7"/>
  <c r="DO176" i="7"/>
  <c r="DB176" i="7"/>
  <c r="CD176" i="7"/>
  <c r="DW176" i="7"/>
  <c r="DG176" i="7"/>
  <c r="CY176" i="7"/>
  <c r="CQ176" i="7"/>
  <c r="CI176" i="7"/>
  <c r="DJ176" i="7"/>
  <c r="DV176" i="7"/>
  <c r="DN176" i="7"/>
  <c r="DF176" i="7"/>
  <c r="CX176" i="7"/>
  <c r="CP176" i="7"/>
  <c r="CH176" i="7"/>
  <c r="DK176" i="7"/>
  <c r="CE176" i="7"/>
  <c r="DU176" i="7"/>
  <c r="DM176" i="7"/>
  <c r="DE176" i="7"/>
  <c r="CW176" i="7"/>
  <c r="CO176" i="7"/>
  <c r="CG176" i="7"/>
  <c r="DC176" i="7"/>
  <c r="CL176" i="7"/>
  <c r="DT176" i="7"/>
  <c r="DL176" i="7"/>
  <c r="DD176" i="7"/>
  <c r="CV176" i="7"/>
  <c r="CN176" i="7"/>
  <c r="CF176" i="7"/>
  <c r="DS176" i="7"/>
  <c r="CU176" i="7"/>
  <c r="CM176" i="7"/>
  <c r="CT176" i="7"/>
  <c r="DY146" i="7"/>
  <c r="DQ146" i="7"/>
  <c r="DI146" i="7"/>
  <c r="DA146" i="7"/>
  <c r="CS146" i="7"/>
  <c r="CK146" i="7"/>
  <c r="CT146" i="7"/>
  <c r="DX146" i="7"/>
  <c r="DP146" i="7"/>
  <c r="DH146" i="7"/>
  <c r="CZ146" i="7"/>
  <c r="CR146" i="7"/>
  <c r="CJ146" i="7"/>
  <c r="DW146" i="7"/>
  <c r="DS146" i="7"/>
  <c r="CL146" i="7"/>
  <c r="DO146" i="7"/>
  <c r="DG146" i="7"/>
  <c r="CY146" i="7"/>
  <c r="CQ146" i="7"/>
  <c r="CI146" i="7"/>
  <c r="CE146" i="7"/>
  <c r="DJ146" i="7"/>
  <c r="DV146" i="7"/>
  <c r="DN146" i="7"/>
  <c r="DF146" i="7"/>
  <c r="CX146" i="7"/>
  <c r="CP146" i="7"/>
  <c r="CH146" i="7"/>
  <c r="CU146" i="7"/>
  <c r="DU146" i="7"/>
  <c r="DM146" i="7"/>
  <c r="DE146" i="7"/>
  <c r="CW146" i="7"/>
  <c r="CO146" i="7"/>
  <c r="CG146" i="7"/>
  <c r="DK146" i="7"/>
  <c r="CM146" i="7"/>
  <c r="DB146" i="7"/>
  <c r="DT146" i="7"/>
  <c r="DL146" i="7"/>
  <c r="DD146" i="7"/>
  <c r="CV146" i="7"/>
  <c r="CN146" i="7"/>
  <c r="CF146" i="7"/>
  <c r="DC146" i="7"/>
  <c r="DR146" i="7"/>
  <c r="CD146" i="7"/>
  <c r="H95" i="3"/>
  <c r="I95" i="3" s="1"/>
  <c r="J95" i="3" s="1"/>
  <c r="K95" i="3" s="1"/>
  <c r="L95" i="3" s="1"/>
  <c r="M95" i="3" s="1"/>
  <c r="N95" i="3" s="1"/>
  <c r="O95" i="3" s="1"/>
  <c r="P95" i="3" s="1"/>
  <c r="H72" i="3"/>
  <c r="I72" i="3" s="1"/>
  <c r="J72" i="3" s="1"/>
  <c r="K72" i="3" s="1"/>
  <c r="L72" i="3" s="1"/>
  <c r="M72" i="3" s="1"/>
  <c r="N72" i="3" s="1"/>
  <c r="O72" i="3" s="1"/>
  <c r="P72" i="3" s="1"/>
  <c r="H87" i="3"/>
  <c r="I87" i="3" s="1"/>
  <c r="J87" i="3" s="1"/>
  <c r="K87" i="3" s="1"/>
  <c r="L87" i="3" s="1"/>
  <c r="M87" i="3" s="1"/>
  <c r="N87" i="3" s="1"/>
  <c r="O87" i="3" s="1"/>
  <c r="P87" i="3" s="1"/>
  <c r="D30" i="10"/>
  <c r="BW146" i="7"/>
  <c r="BO146" i="7"/>
  <c r="BG146" i="7"/>
  <c r="AY146" i="7"/>
  <c r="AQ146" i="7"/>
  <c r="AI146" i="7"/>
  <c r="AA146" i="7"/>
  <c r="S146" i="7"/>
  <c r="K146" i="7"/>
  <c r="BI146" i="7"/>
  <c r="M146" i="7"/>
  <c r="BH146" i="7"/>
  <c r="AR146" i="7"/>
  <c r="BV146" i="7"/>
  <c r="BN146" i="7"/>
  <c r="BF146" i="7"/>
  <c r="AX146" i="7"/>
  <c r="AP146" i="7"/>
  <c r="AH146" i="7"/>
  <c r="Z146" i="7"/>
  <c r="R146" i="7"/>
  <c r="J146" i="7"/>
  <c r="BA146" i="7"/>
  <c r="U146" i="7"/>
  <c r="BP146" i="7"/>
  <c r="L146" i="7"/>
  <c r="CC146" i="7"/>
  <c r="BU146" i="7"/>
  <c r="BM146" i="7"/>
  <c r="BE146" i="7"/>
  <c r="AW146" i="7"/>
  <c r="AO146" i="7"/>
  <c r="AG146" i="7"/>
  <c r="Y146" i="7"/>
  <c r="Q146" i="7"/>
  <c r="BY146" i="7"/>
  <c r="AJ146" i="7"/>
  <c r="CB146" i="7"/>
  <c r="BT146" i="7"/>
  <c r="BL146" i="7"/>
  <c r="BD146" i="7"/>
  <c r="AV146" i="7"/>
  <c r="AN146" i="7"/>
  <c r="AF146" i="7"/>
  <c r="X146" i="7"/>
  <c r="P146" i="7"/>
  <c r="AK146" i="7"/>
  <c r="T146" i="7"/>
  <c r="CA146" i="7"/>
  <c r="BS146" i="7"/>
  <c r="BK146" i="7"/>
  <c r="BC146" i="7"/>
  <c r="AU146" i="7"/>
  <c r="AM146" i="7"/>
  <c r="AE146" i="7"/>
  <c r="W146" i="7"/>
  <c r="O146" i="7"/>
  <c r="AS146" i="7"/>
  <c r="AZ146" i="7"/>
  <c r="BZ146" i="7"/>
  <c r="BR146" i="7"/>
  <c r="BJ146" i="7"/>
  <c r="BB146" i="7"/>
  <c r="AT146" i="7"/>
  <c r="AL146" i="7"/>
  <c r="AD146" i="7"/>
  <c r="V146" i="7"/>
  <c r="N146" i="7"/>
  <c r="BQ146" i="7"/>
  <c r="AC146" i="7"/>
  <c r="BX146" i="7"/>
  <c r="AB146" i="7"/>
  <c r="BW161" i="7"/>
  <c r="BO161" i="7"/>
  <c r="BG161" i="7"/>
  <c r="AY161" i="7"/>
  <c r="AQ161" i="7"/>
  <c r="AI161" i="7"/>
  <c r="AA161" i="7"/>
  <c r="S161" i="7"/>
  <c r="K161" i="7"/>
  <c r="BY161" i="7"/>
  <c r="AK161" i="7"/>
  <c r="BP161" i="7"/>
  <c r="AJ161" i="7"/>
  <c r="BV161" i="7"/>
  <c r="BN161" i="7"/>
  <c r="BF161" i="7"/>
  <c r="AX161" i="7"/>
  <c r="AP161" i="7"/>
  <c r="AH161" i="7"/>
  <c r="Z161" i="7"/>
  <c r="R161" i="7"/>
  <c r="J161" i="7"/>
  <c r="BQ161" i="7"/>
  <c r="AC161" i="7"/>
  <c r="AZ161" i="7"/>
  <c r="CC161" i="7"/>
  <c r="BU161" i="7"/>
  <c r="BM161" i="7"/>
  <c r="BE161" i="7"/>
  <c r="AW161" i="7"/>
  <c r="AO161" i="7"/>
  <c r="AG161" i="7"/>
  <c r="Y161" i="7"/>
  <c r="Q161" i="7"/>
  <c r="AB161" i="7"/>
  <c r="CB161" i="7"/>
  <c r="BT161" i="7"/>
  <c r="BL161" i="7"/>
  <c r="BD161" i="7"/>
  <c r="AV161" i="7"/>
  <c r="AN161" i="7"/>
  <c r="AF161" i="7"/>
  <c r="X161" i="7"/>
  <c r="P161" i="7"/>
  <c r="AS161" i="7"/>
  <c r="T161" i="7"/>
  <c r="CA161" i="7"/>
  <c r="BS161" i="7"/>
  <c r="BK161" i="7"/>
  <c r="BC161" i="7"/>
  <c r="AU161" i="7"/>
  <c r="AM161" i="7"/>
  <c r="AE161" i="7"/>
  <c r="W161" i="7"/>
  <c r="O161" i="7"/>
  <c r="BA161" i="7"/>
  <c r="M161" i="7"/>
  <c r="BX161" i="7"/>
  <c r="AR161" i="7"/>
  <c r="L161" i="7"/>
  <c r="BZ161" i="7"/>
  <c r="BR161" i="7"/>
  <c r="BJ161" i="7"/>
  <c r="BB161" i="7"/>
  <c r="AT161" i="7"/>
  <c r="AL161" i="7"/>
  <c r="AD161" i="7"/>
  <c r="V161" i="7"/>
  <c r="N161" i="7"/>
  <c r="BI161" i="7"/>
  <c r="U161" i="7"/>
  <c r="BH161" i="7"/>
  <c r="J47" i="3"/>
  <c r="K47" i="3"/>
  <c r="K48" i="3" s="1"/>
  <c r="I48" i="3"/>
  <c r="H48" i="3"/>
  <c r="F65" i="14" s="1"/>
  <c r="I65" i="14" l="1"/>
  <c r="K49" i="3"/>
  <c r="H50" i="3"/>
  <c r="H49" i="3"/>
  <c r="I50" i="3"/>
  <c r="I49" i="3"/>
  <c r="J48" i="3"/>
  <c r="J49" i="3" s="1"/>
  <c r="G50" i="3" l="1"/>
  <c r="B1" i="10"/>
  <c r="B1" i="17" l="1"/>
  <c r="B1" i="28"/>
  <c r="B1" i="30"/>
  <c r="B2" i="23"/>
  <c r="B1" i="23"/>
  <c r="C163" i="11" l="1"/>
  <c r="C162" i="11"/>
  <c r="C82" i="28" s="1"/>
  <c r="C161" i="11"/>
  <c r="C81" i="28" s="1"/>
  <c r="C160" i="11"/>
  <c r="C80" i="28" s="1"/>
  <c r="C79" i="28"/>
  <c r="C64" i="28"/>
  <c r="C54" i="28"/>
  <c r="C53" i="28"/>
  <c r="C52" i="28"/>
  <c r="C51" i="28"/>
  <c r="C120" i="11"/>
  <c r="C119" i="11"/>
  <c r="C118" i="11"/>
  <c r="C117" i="11"/>
  <c r="C116" i="11"/>
  <c r="C112" i="11"/>
  <c r="C111" i="11"/>
  <c r="C38" i="28" s="1"/>
  <c r="C110" i="11"/>
  <c r="C37" i="28" s="1"/>
  <c r="C109" i="11"/>
  <c r="C36" i="28" s="1"/>
  <c r="C108" i="11"/>
  <c r="C35" i="28" s="1"/>
  <c r="C105" i="11"/>
  <c r="C104" i="11"/>
  <c r="C31" i="28" s="1"/>
  <c r="C103" i="11"/>
  <c r="C30" i="28" s="1"/>
  <c r="C102" i="11"/>
  <c r="C29" i="28" s="1"/>
  <c r="C101" i="11"/>
  <c r="C28" i="28" s="1"/>
  <c r="C17" i="11"/>
  <c r="C16" i="11"/>
  <c r="C15" i="11"/>
  <c r="C14" i="11"/>
  <c r="C13" i="11"/>
  <c r="J80" i="3" l="1"/>
  <c r="K80" i="3"/>
  <c r="I80" i="3"/>
  <c r="H80" i="3"/>
  <c r="L80" i="3"/>
  <c r="E174" i="7"/>
  <c r="E172" i="7"/>
  <c r="E171" i="7"/>
  <c r="E167" i="7"/>
  <c r="E165" i="7"/>
  <c r="E159" i="7"/>
  <c r="E157" i="7"/>
  <c r="E156" i="7"/>
  <c r="E152" i="7"/>
  <c r="E150" i="7"/>
  <c r="E144" i="7"/>
  <c r="E142" i="7"/>
  <c r="E141" i="7"/>
  <c r="E135" i="7"/>
  <c r="E129" i="7"/>
  <c r="E127" i="7"/>
  <c r="E126" i="7"/>
  <c r="E122" i="7"/>
  <c r="E120" i="7"/>
  <c r="E170" i="7"/>
  <c r="E155" i="7"/>
  <c r="E125" i="7"/>
  <c r="O80" i="3" l="1"/>
  <c r="P22" i="2" s="1"/>
  <c r="N80" i="3"/>
  <c r="O22" i="2" s="1"/>
  <c r="M80" i="3"/>
  <c r="N22" i="2" s="1"/>
  <c r="P80" i="3"/>
  <c r="Q22" i="2" s="1"/>
  <c r="H22" i="28"/>
  <c r="E55" i="14"/>
  <c r="E56" i="14" s="1"/>
  <c r="E57" i="14" s="1"/>
  <c r="I14" i="11"/>
  <c r="B2" i="19"/>
  <c r="B1" i="19"/>
  <c r="P22" i="28" l="1"/>
  <c r="O22" i="28"/>
  <c r="Q22" i="28"/>
  <c r="N22" i="28"/>
  <c r="I22" i="28" l="1"/>
  <c r="C9" i="2"/>
  <c r="C8" i="2"/>
  <c r="C7" i="2"/>
  <c r="C6" i="2"/>
  <c r="G85" i="3" l="1"/>
  <c r="G84" i="3"/>
  <c r="J55" i="11" s="1"/>
  <c r="L76" i="3"/>
  <c r="K76" i="3"/>
  <c r="J75" i="3"/>
  <c r="I75" i="3"/>
  <c r="H74" i="3"/>
  <c r="G74" i="3"/>
  <c r="J73" i="3"/>
  <c r="L77" i="3"/>
  <c r="K77" i="3"/>
  <c r="J77" i="3"/>
  <c r="I77" i="3"/>
  <c r="H77" i="3"/>
  <c r="G77" i="3"/>
  <c r="J76" i="3"/>
  <c r="I76" i="3"/>
  <c r="H76" i="3"/>
  <c r="G76" i="3"/>
  <c r="L75" i="3"/>
  <c r="K75" i="3"/>
  <c r="H75" i="3"/>
  <c r="G75" i="3"/>
  <c r="L74" i="3"/>
  <c r="K74" i="3"/>
  <c r="J74" i="3"/>
  <c r="I74" i="3"/>
  <c r="L73" i="3"/>
  <c r="K73" i="3"/>
  <c r="I73" i="3"/>
  <c r="H73" i="3"/>
  <c r="J22" i="28" l="1"/>
  <c r="L22" i="28"/>
  <c r="M22" i="28"/>
  <c r="K22" i="28"/>
  <c r="H59" i="14"/>
  <c r="G59" i="14"/>
  <c r="E59" i="14"/>
  <c r="E60" i="14" s="1"/>
  <c r="E68" i="14" l="1"/>
  <c r="I17" i="11"/>
  <c r="I16" i="11"/>
  <c r="I55" i="14" l="1"/>
  <c r="H55" i="14"/>
  <c r="G55" i="14"/>
  <c r="F55" i="14"/>
  <c r="M22" i="2" l="1"/>
  <c r="L22" i="2"/>
  <c r="K22" i="2"/>
  <c r="J22" i="2"/>
  <c r="I22" i="2"/>
  <c r="H22" i="2"/>
  <c r="J186" i="11" l="1"/>
  <c r="I37" i="14" l="1"/>
  <c r="H37" i="14"/>
  <c r="G37" i="14"/>
  <c r="F37" i="14"/>
  <c r="E37" i="14"/>
  <c r="B2" i="14"/>
  <c r="B1" i="14"/>
  <c r="K52" i="3" l="1"/>
  <c r="I93" i="11"/>
  <c r="I81" i="11"/>
  <c r="J75" i="11" s="1"/>
  <c r="I69" i="11"/>
  <c r="I45" i="11"/>
  <c r="J39" i="11" s="1"/>
  <c r="J87" i="11" l="1"/>
  <c r="J63" i="11"/>
  <c r="J51" i="11"/>
  <c r="J25" i="11" l="1"/>
  <c r="H12" i="2" s="1"/>
  <c r="H12" i="28" l="1"/>
  <c r="J52" i="3"/>
  <c r="I54" i="14"/>
  <c r="I56" i="14" s="1"/>
  <c r="H54" i="14"/>
  <c r="H56" i="14" s="1"/>
  <c r="H57" i="14" s="1"/>
  <c r="H60" i="14" s="1"/>
  <c r="G54" i="14"/>
  <c r="G56" i="14" l="1"/>
  <c r="G57" i="14" s="1"/>
  <c r="G60" i="14" s="1"/>
  <c r="I57" i="14"/>
  <c r="G38" i="3"/>
  <c r="F54" i="14"/>
  <c r="F56" i="14" s="1"/>
  <c r="K35" i="3"/>
  <c r="J35" i="3"/>
  <c r="F57" i="14" l="1"/>
  <c r="F60" i="14" s="1"/>
  <c r="H68" i="14"/>
  <c r="I60" i="14"/>
  <c r="DU138" i="11"/>
  <c r="DM138" i="11"/>
  <c r="DE138" i="11"/>
  <c r="CW138" i="11"/>
  <c r="CO138" i="11"/>
  <c r="CG138" i="11"/>
  <c r="BY138" i="11"/>
  <c r="BQ138" i="11"/>
  <c r="BI138" i="11"/>
  <c r="BA138" i="11"/>
  <c r="AS138" i="11"/>
  <c r="AK138" i="11"/>
  <c r="U138" i="11"/>
  <c r="BX138" i="11"/>
  <c r="AJ138" i="11"/>
  <c r="DT138" i="11"/>
  <c r="DS138" i="11"/>
  <c r="DK138" i="11"/>
  <c r="DC138" i="11"/>
  <c r="CU138" i="11"/>
  <c r="CM138" i="11"/>
  <c r="CE138" i="11"/>
  <c r="BW138" i="11"/>
  <c r="BO138" i="11"/>
  <c r="BG138" i="11"/>
  <c r="AY138" i="11"/>
  <c r="AQ138" i="11"/>
  <c r="AI138" i="11"/>
  <c r="AA138" i="11"/>
  <c r="S138" i="11"/>
  <c r="K138" i="11"/>
  <c r="CD138" i="11"/>
  <c r="BN138" i="11"/>
  <c r="BF138" i="11"/>
  <c r="AP138" i="11"/>
  <c r="Z138" i="11"/>
  <c r="J138" i="11"/>
  <c r="Y138" i="11"/>
  <c r="AU138" i="11"/>
  <c r="O138" i="11"/>
  <c r="DD138" i="11"/>
  <c r="BH138" i="11"/>
  <c r="L138" i="11"/>
  <c r="DR138" i="11"/>
  <c r="DJ138" i="11"/>
  <c r="DB138" i="11"/>
  <c r="CT138" i="11"/>
  <c r="CL138" i="11"/>
  <c r="BV138" i="11"/>
  <c r="AX138" i="11"/>
  <c r="AH138" i="11"/>
  <c r="R138" i="11"/>
  <c r="BC138" i="11"/>
  <c r="W138" i="11"/>
  <c r="M138" i="11"/>
  <c r="CF138" i="11"/>
  <c r="AZ138" i="11"/>
  <c r="DY138" i="11"/>
  <c r="DQ138" i="11"/>
  <c r="DI138" i="11"/>
  <c r="DA138" i="11"/>
  <c r="CS138" i="11"/>
  <c r="CK138" i="11"/>
  <c r="CC138" i="11"/>
  <c r="BU138" i="11"/>
  <c r="BM138" i="11"/>
  <c r="BE138" i="11"/>
  <c r="AW138" i="11"/>
  <c r="AO138" i="11"/>
  <c r="AG138" i="11"/>
  <c r="Q138" i="11"/>
  <c r="AE138" i="11"/>
  <c r="N138" i="11"/>
  <c r="CN138" i="11"/>
  <c r="AR138" i="11"/>
  <c r="DX138" i="11"/>
  <c r="DP138" i="11"/>
  <c r="DH138" i="11"/>
  <c r="CZ138" i="11"/>
  <c r="CR138" i="11"/>
  <c r="CJ138" i="11"/>
  <c r="CB138" i="11"/>
  <c r="BT138" i="11"/>
  <c r="BL138" i="11"/>
  <c r="BD138" i="11"/>
  <c r="AV138" i="11"/>
  <c r="AN138" i="11"/>
  <c r="AF138" i="11"/>
  <c r="X138" i="11"/>
  <c r="P138" i="11"/>
  <c r="DO138" i="11"/>
  <c r="DG138" i="11"/>
  <c r="CY138" i="11"/>
  <c r="CQ138" i="11"/>
  <c r="CI138" i="11"/>
  <c r="CA138" i="11"/>
  <c r="BS138" i="11"/>
  <c r="BK138" i="11"/>
  <c r="AM138" i="11"/>
  <c r="AC138" i="11"/>
  <c r="CV138" i="11"/>
  <c r="BP138" i="11"/>
  <c r="AB138" i="11"/>
  <c r="DW138" i="11"/>
  <c r="DV138" i="11"/>
  <c r="DN138" i="11"/>
  <c r="DF138" i="11"/>
  <c r="CX138" i="11"/>
  <c r="CP138" i="11"/>
  <c r="CH138" i="11"/>
  <c r="BZ138" i="11"/>
  <c r="BR138" i="11"/>
  <c r="BJ138" i="11"/>
  <c r="BB138" i="11"/>
  <c r="AT138" i="11"/>
  <c r="AL138" i="11"/>
  <c r="AD138" i="11"/>
  <c r="V138" i="11"/>
  <c r="DL138" i="11"/>
  <c r="T138" i="11"/>
  <c r="DY44" i="11"/>
  <c r="DQ44" i="11"/>
  <c r="DI44" i="11"/>
  <c r="DA44" i="11"/>
  <c r="CS44" i="11"/>
  <c r="CK44" i="11"/>
  <c r="DY43" i="11"/>
  <c r="DQ43" i="11"/>
  <c r="DI43" i="11"/>
  <c r="DA43" i="11"/>
  <c r="CS43" i="11"/>
  <c r="CK43" i="11"/>
  <c r="DT44" i="11"/>
  <c r="DX44" i="11"/>
  <c r="DP44" i="11"/>
  <c r="DH44" i="11"/>
  <c r="CZ44" i="11"/>
  <c r="CR44" i="11"/>
  <c r="CJ44" i="11"/>
  <c r="DX43" i="11"/>
  <c r="DP43" i="11"/>
  <c r="DH43" i="11"/>
  <c r="CZ43" i="11"/>
  <c r="CR43" i="11"/>
  <c r="CJ43" i="11"/>
  <c r="DL44" i="11"/>
  <c r="CF44" i="11"/>
  <c r="DD43" i="11"/>
  <c r="DW44" i="11"/>
  <c r="DO44" i="11"/>
  <c r="DG44" i="11"/>
  <c r="CY44" i="11"/>
  <c r="CQ44" i="11"/>
  <c r="CI44" i="11"/>
  <c r="DW43" i="11"/>
  <c r="DO43" i="11"/>
  <c r="DG43" i="11"/>
  <c r="CY43" i="11"/>
  <c r="CQ43" i="11"/>
  <c r="CI43" i="11"/>
  <c r="DD44" i="11"/>
  <c r="CN44" i="11"/>
  <c r="DL43" i="11"/>
  <c r="CN43" i="11"/>
  <c r="DV44" i="11"/>
  <c r="DN44" i="11"/>
  <c r="DF44" i="11"/>
  <c r="CX44" i="11"/>
  <c r="CP44" i="11"/>
  <c r="CH44" i="11"/>
  <c r="DV43" i="11"/>
  <c r="DN43" i="11"/>
  <c r="DF43" i="11"/>
  <c r="CX43" i="11"/>
  <c r="CP43" i="11"/>
  <c r="CH43" i="11"/>
  <c r="CV44" i="11"/>
  <c r="DT43" i="11"/>
  <c r="CV43" i="11"/>
  <c r="DU44" i="11"/>
  <c r="DM44" i="11"/>
  <c r="DE44" i="11"/>
  <c r="CW44" i="11"/>
  <c r="CO44" i="11"/>
  <c r="CG44" i="11"/>
  <c r="DU43" i="11"/>
  <c r="DM43" i="11"/>
  <c r="DE43" i="11"/>
  <c r="CW43" i="11"/>
  <c r="CO43" i="11"/>
  <c r="CG43" i="11"/>
  <c r="CF43" i="11"/>
  <c r="DS44" i="11"/>
  <c r="DK44" i="11"/>
  <c r="DC44" i="11"/>
  <c r="CU44" i="11"/>
  <c r="CM44" i="11"/>
  <c r="CE44" i="11"/>
  <c r="DS43" i="11"/>
  <c r="DK43" i="11"/>
  <c r="DC43" i="11"/>
  <c r="CU43" i="11"/>
  <c r="CM43" i="11"/>
  <c r="CE43" i="11"/>
  <c r="DR44" i="11"/>
  <c r="DJ44" i="11"/>
  <c r="DB44" i="11"/>
  <c r="CT44" i="11"/>
  <c r="CL44" i="11"/>
  <c r="CD44" i="11"/>
  <c r="DR43" i="11"/>
  <c r="DJ43" i="11"/>
  <c r="DB43" i="11"/>
  <c r="CT43" i="11"/>
  <c r="CL43" i="11"/>
  <c r="CD43" i="11"/>
  <c r="J44" i="11"/>
  <c r="J43" i="11"/>
  <c r="K53" i="3"/>
  <c r="K38" i="3"/>
  <c r="K37" i="3"/>
  <c r="J38" i="3"/>
  <c r="J37" i="3"/>
  <c r="I37" i="3"/>
  <c r="I38" i="3"/>
  <c r="H36" i="3"/>
  <c r="H38" i="3"/>
  <c r="K50" i="3"/>
  <c r="K36" i="3"/>
  <c r="J36" i="3"/>
  <c r="I68" i="14" l="1"/>
  <c r="G68" i="14"/>
  <c r="J91" i="11"/>
  <c r="J92" i="11"/>
  <c r="J68" i="11"/>
  <c r="J67" i="11"/>
  <c r="J56" i="11"/>
  <c r="J79" i="11"/>
  <c r="J80" i="11"/>
  <c r="J29" i="11" l="1"/>
  <c r="F68" i="14"/>
  <c r="J30" i="11"/>
  <c r="I7" i="7"/>
  <c r="I131" i="11" s="1"/>
  <c r="B2" i="12" l="1"/>
  <c r="D38" i="10" l="1"/>
  <c r="D39" i="10"/>
  <c r="D40" i="10"/>
  <c r="D41" i="10"/>
  <c r="D42" i="10"/>
  <c r="D43" i="10"/>
  <c r="D44" i="10"/>
  <c r="D45" i="10"/>
  <c r="D46" i="10"/>
  <c r="D35" i="10"/>
  <c r="D36" i="10"/>
  <c r="D37" i="10"/>
  <c r="E77" i="7"/>
  <c r="E80" i="7"/>
  <c r="E30" i="7"/>
  <c r="E45" i="7"/>
  <c r="E75" i="7"/>
  <c r="E90" i="7"/>
  <c r="E36" i="7"/>
  <c r="E37" i="7"/>
  <c r="E51" i="7"/>
  <c r="E52" i="7"/>
  <c r="E81" i="7"/>
  <c r="E82" i="7"/>
  <c r="E96" i="7"/>
  <c r="E97" i="7"/>
  <c r="E105" i="7"/>
  <c r="E111" i="7"/>
  <c r="E112" i="7"/>
  <c r="E32" i="7"/>
  <c r="E35" i="7"/>
  <c r="E92" i="7"/>
  <c r="H53" i="3"/>
  <c r="E39" i="7"/>
  <c r="E54" i="7"/>
  <c r="E84" i="7"/>
  <c r="E99" i="7"/>
  <c r="E114" i="7"/>
  <c r="E110" i="7"/>
  <c r="E95" i="7"/>
  <c r="D13" i="10"/>
  <c r="J21" i="10" s="1"/>
  <c r="D14" i="10"/>
  <c r="C82" i="2"/>
  <c r="C81" i="2"/>
  <c r="C80" i="2"/>
  <c r="C79" i="2"/>
  <c r="C64" i="2"/>
  <c r="C54" i="2"/>
  <c r="C53" i="2"/>
  <c r="C52" i="2"/>
  <c r="C51" i="2"/>
  <c r="C38" i="2"/>
  <c r="C37" i="2"/>
  <c r="C36" i="2"/>
  <c r="C35" i="2"/>
  <c r="C29" i="2"/>
  <c r="C30" i="2"/>
  <c r="C31" i="2"/>
  <c r="C28" i="2"/>
  <c r="C212" i="2"/>
  <c r="C211" i="2"/>
  <c r="I3" i="7"/>
  <c r="F3" i="2"/>
  <c r="F2" i="2"/>
  <c r="B2" i="2"/>
  <c r="F1" i="2"/>
  <c r="B1" i="2"/>
  <c r="G196" i="11"/>
  <c r="G4" i="11"/>
  <c r="G3" i="11"/>
  <c r="G2" i="11"/>
  <c r="B2" i="11"/>
  <c r="G1" i="11"/>
  <c r="B1" i="11"/>
  <c r="E107" i="7"/>
  <c r="I4" i="7"/>
  <c r="I2" i="7"/>
  <c r="B2" i="7"/>
  <c r="I1" i="7"/>
  <c r="B1" i="7"/>
  <c r="B2" i="10"/>
  <c r="B2" i="3"/>
  <c r="B1" i="3"/>
  <c r="B1" i="12"/>
  <c r="J22" i="10" l="1"/>
  <c r="J23" i="10" s="1"/>
  <c r="H1" i="28"/>
  <c r="J3" i="11"/>
  <c r="J54" i="11" s="1"/>
  <c r="J53" i="11" s="1"/>
  <c r="J90" i="11" l="1"/>
  <c r="J89" i="11" s="1"/>
  <c r="J78" i="11"/>
  <c r="J77" i="11" s="1"/>
  <c r="J66" i="11"/>
  <c r="J65" i="11" s="1"/>
  <c r="E8" i="14"/>
  <c r="E9" i="14" s="1"/>
  <c r="H2" i="28"/>
  <c r="J36" i="10"/>
  <c r="J35" i="10"/>
  <c r="K28" i="10"/>
  <c r="K29" i="10" s="1"/>
  <c r="H65" i="14"/>
  <c r="J53" i="3"/>
  <c r="G65" i="14"/>
  <c r="J50" i="3"/>
  <c r="K3" i="11"/>
  <c r="K3" i="7"/>
  <c r="J3" i="7"/>
  <c r="J27" i="11" l="1"/>
  <c r="K54" i="11"/>
  <c r="K53" i="11" s="1"/>
  <c r="K66" i="11"/>
  <c r="K65" i="11" s="1"/>
  <c r="K90" i="11"/>
  <c r="K89" i="11" s="1"/>
  <c r="K78" i="11"/>
  <c r="K77" i="11" s="1"/>
  <c r="J19" i="10"/>
  <c r="K21" i="10"/>
  <c r="K22" i="10" s="1"/>
  <c r="J37" i="10"/>
  <c r="J24" i="10"/>
  <c r="K30" i="10"/>
  <c r="I1" i="28"/>
  <c r="H3" i="28"/>
  <c r="E7" i="14"/>
  <c r="F8" i="14"/>
  <c r="F9" i="14" s="1"/>
  <c r="L28" i="10"/>
  <c r="J27" i="10"/>
  <c r="L3" i="7"/>
  <c r="L3" i="11"/>
  <c r="M20" i="10"/>
  <c r="H1" i="2"/>
  <c r="J1" i="7"/>
  <c r="J1" i="11"/>
  <c r="L66" i="11" l="1"/>
  <c r="L65" i="11" s="1"/>
  <c r="L90" i="11"/>
  <c r="L89" i="11" s="1"/>
  <c r="L78" i="11"/>
  <c r="L77" i="11" s="1"/>
  <c r="L54" i="11"/>
  <c r="L53" i="11" s="1"/>
  <c r="L29" i="10"/>
  <c r="L30" i="10" s="1"/>
  <c r="G8" i="14"/>
  <c r="G9" i="14" s="1"/>
  <c r="F7" i="14"/>
  <c r="D39" i="14"/>
  <c r="P38" i="14"/>
  <c r="D45" i="14"/>
  <c r="J38" i="14"/>
  <c r="K31" i="10"/>
  <c r="I2" i="28"/>
  <c r="J1" i="28" s="1"/>
  <c r="J2" i="28" s="1"/>
  <c r="H2" i="2"/>
  <c r="H3" i="2" s="1"/>
  <c r="M3" i="11"/>
  <c r="M28" i="10"/>
  <c r="M29" i="10" s="1"/>
  <c r="M30" i="10" s="1"/>
  <c r="J52" i="7"/>
  <c r="J8" i="7"/>
  <c r="J7" i="7"/>
  <c r="J47" i="7"/>
  <c r="J57" i="7" s="1"/>
  <c r="J172" i="7"/>
  <c r="J173" i="7" s="1"/>
  <c r="J77" i="7"/>
  <c r="J87" i="7" s="1"/>
  <c r="J97" i="7"/>
  <c r="J67" i="7"/>
  <c r="J157" i="7"/>
  <c r="J158" i="7" s="1"/>
  <c r="J142" i="7"/>
  <c r="J112" i="7"/>
  <c r="J113" i="7" s="1"/>
  <c r="J82" i="7"/>
  <c r="J37" i="7"/>
  <c r="J38" i="7" s="1"/>
  <c r="J32" i="7"/>
  <c r="J42" i="7" s="1"/>
  <c r="J127" i="7"/>
  <c r="J128" i="7" s="1"/>
  <c r="M3" i="7"/>
  <c r="J38" i="10"/>
  <c r="J43" i="10"/>
  <c r="J2" i="7"/>
  <c r="J44" i="10"/>
  <c r="J40" i="10"/>
  <c r="J2" i="11"/>
  <c r="J45" i="10"/>
  <c r="J39" i="10"/>
  <c r="J41" i="10"/>
  <c r="J46" i="10"/>
  <c r="J42" i="10"/>
  <c r="N20" i="10"/>
  <c r="J137" i="7"/>
  <c r="J147" i="7" s="1"/>
  <c r="J122" i="7"/>
  <c r="J132" i="7" s="1"/>
  <c r="J62" i="7"/>
  <c r="J72" i="7" s="1"/>
  <c r="J107" i="7"/>
  <c r="J117" i="7" s="1"/>
  <c r="J92" i="7"/>
  <c r="J102" i="7" s="1"/>
  <c r="J167" i="7"/>
  <c r="J177" i="7" s="1"/>
  <c r="J152" i="7"/>
  <c r="J162" i="7" s="1"/>
  <c r="M90" i="11" l="1"/>
  <c r="M89" i="11" s="1"/>
  <c r="M66" i="11"/>
  <c r="M65" i="11" s="1"/>
  <c r="M78" i="11"/>
  <c r="M77" i="11" s="1"/>
  <c r="M54" i="11"/>
  <c r="M53" i="11" s="1"/>
  <c r="J78" i="7"/>
  <c r="J88" i="7" s="1"/>
  <c r="L31" i="10"/>
  <c r="D46" i="14"/>
  <c r="Q38" i="14"/>
  <c r="D40" i="14"/>
  <c r="K38" i="14"/>
  <c r="H8" i="14"/>
  <c r="H9" i="14" s="1"/>
  <c r="G7" i="14"/>
  <c r="J39" i="7"/>
  <c r="I3" i="28"/>
  <c r="J54" i="7"/>
  <c r="J33" i="7"/>
  <c r="J43" i="7" s="1"/>
  <c r="J83" i="7"/>
  <c r="K1" i="7"/>
  <c r="K172" i="7" s="1"/>
  <c r="K173" i="7" s="1"/>
  <c r="N28" i="10"/>
  <c r="N29" i="10" s="1"/>
  <c r="N30" i="10" s="1"/>
  <c r="K27" i="10"/>
  <c r="J4" i="11"/>
  <c r="J4" i="7"/>
  <c r="M31" i="10"/>
  <c r="K1" i="11"/>
  <c r="J3" i="28"/>
  <c r="K1" i="28"/>
  <c r="K2" i="28" s="1"/>
  <c r="J48" i="7"/>
  <c r="J58" i="7" s="1"/>
  <c r="J69" i="7"/>
  <c r="J63" i="7"/>
  <c r="J73" i="7" s="1"/>
  <c r="J129" i="7"/>
  <c r="J123" i="7"/>
  <c r="J133" i="7" s="1"/>
  <c r="J99" i="7"/>
  <c r="J93" i="7"/>
  <c r="J103" i="7" s="1"/>
  <c r="J114" i="7"/>
  <c r="J108" i="7"/>
  <c r="J118" i="7" s="1"/>
  <c r="J153" i="7"/>
  <c r="J163" i="7" s="1"/>
  <c r="J159" i="7"/>
  <c r="J138" i="7"/>
  <c r="J148" i="7" s="1"/>
  <c r="J144" i="7"/>
  <c r="J168" i="7"/>
  <c r="J178" i="7" s="1"/>
  <c r="J174" i="7"/>
  <c r="J84" i="7"/>
  <c r="J48" i="10"/>
  <c r="O20" i="10"/>
  <c r="N3" i="7"/>
  <c r="N3" i="11"/>
  <c r="I1" i="2"/>
  <c r="I2" i="2" s="1"/>
  <c r="J1" i="2" s="1"/>
  <c r="J2" i="2" s="1"/>
  <c r="J131" i="11"/>
  <c r="J229" i="11"/>
  <c r="J214" i="11"/>
  <c r="J261" i="11" s="1"/>
  <c r="J230" i="11"/>
  <c r="J79" i="7" l="1"/>
  <c r="J324" i="11"/>
  <c r="J323" i="11"/>
  <c r="J35" i="11"/>
  <c r="N66" i="11"/>
  <c r="N65" i="11" s="1"/>
  <c r="N90" i="11"/>
  <c r="N89" i="11" s="1"/>
  <c r="N78" i="11"/>
  <c r="N77" i="11" s="1"/>
  <c r="N54" i="11"/>
  <c r="N53" i="11" s="1"/>
  <c r="J10" i="7"/>
  <c r="J231" i="11" s="1"/>
  <c r="J115" i="11"/>
  <c r="J277" i="11"/>
  <c r="J11" i="11"/>
  <c r="J16" i="11" s="1"/>
  <c r="J8" i="11"/>
  <c r="J10" i="11"/>
  <c r="J15" i="11" s="1"/>
  <c r="J64" i="11" s="1"/>
  <c r="J161" i="11" s="1"/>
  <c r="J9" i="11"/>
  <c r="J14" i="11" s="1"/>
  <c r="J52" i="11" s="1"/>
  <c r="J160" i="11" s="1"/>
  <c r="J12" i="11"/>
  <c r="J17" i="11" s="1"/>
  <c r="J34" i="7"/>
  <c r="R38" i="14"/>
  <c r="D47" i="14"/>
  <c r="L38" i="14"/>
  <c r="D41" i="14"/>
  <c r="I8" i="14"/>
  <c r="I9" i="14" s="1"/>
  <c r="H7" i="14"/>
  <c r="J109" i="7"/>
  <c r="J154" i="7"/>
  <c r="J160" i="7" s="1"/>
  <c r="J169" i="7"/>
  <c r="J175" i="7" s="1"/>
  <c r="J124" i="7"/>
  <c r="J86" i="7"/>
  <c r="J85" i="7"/>
  <c r="J18" i="7"/>
  <c r="J285" i="11"/>
  <c r="J176" i="11"/>
  <c r="J171" i="11"/>
  <c r="K157" i="7"/>
  <c r="K158" i="7" s="1"/>
  <c r="K47" i="7"/>
  <c r="K57" i="7" s="1"/>
  <c r="N31" i="10"/>
  <c r="K107" i="7"/>
  <c r="K117" i="7" s="1"/>
  <c r="K92" i="7"/>
  <c r="K102" i="7" s="1"/>
  <c r="K127" i="7"/>
  <c r="K128" i="7" s="1"/>
  <c r="K137" i="7"/>
  <c r="K147" i="7" s="1"/>
  <c r="K142" i="7"/>
  <c r="K32" i="7"/>
  <c r="K42" i="7" s="1"/>
  <c r="K52" i="7"/>
  <c r="K7" i="7"/>
  <c r="K229" i="11" s="1"/>
  <c r="K167" i="7"/>
  <c r="K177" i="7" s="1"/>
  <c r="K152" i="7"/>
  <c r="K162" i="7" s="1"/>
  <c r="K82" i="7"/>
  <c r="K8" i="7"/>
  <c r="K97" i="7"/>
  <c r="K77" i="7"/>
  <c r="K87" i="7" s="1"/>
  <c r="K37" i="7"/>
  <c r="K38" i="7" s="1"/>
  <c r="K67" i="7"/>
  <c r="K62" i="7"/>
  <c r="K72" i="7" s="1"/>
  <c r="K122" i="7"/>
  <c r="K132" i="7" s="1"/>
  <c r="K112" i="7"/>
  <c r="K113" i="7" s="1"/>
  <c r="K46" i="10"/>
  <c r="K24" i="10"/>
  <c r="K39" i="10"/>
  <c r="K42" i="10"/>
  <c r="K43" i="10"/>
  <c r="O28" i="10"/>
  <c r="O29" i="10" s="1"/>
  <c r="K19" i="10"/>
  <c r="K40" i="10"/>
  <c r="K2" i="7"/>
  <c r="K44" i="10"/>
  <c r="K41" i="10"/>
  <c r="K45" i="10"/>
  <c r="L21" i="10"/>
  <c r="K36" i="10"/>
  <c r="K23" i="10"/>
  <c r="K2" i="11"/>
  <c r="K37" i="10"/>
  <c r="K35" i="10"/>
  <c r="K38" i="10"/>
  <c r="K3" i="28"/>
  <c r="L1" i="28"/>
  <c r="L2" i="28" s="1"/>
  <c r="J176" i="7"/>
  <c r="K176" i="7"/>
  <c r="O3" i="11"/>
  <c r="P20" i="10"/>
  <c r="O3" i="7"/>
  <c r="I3" i="2"/>
  <c r="K1" i="2"/>
  <c r="K2" i="2" s="1"/>
  <c r="J3" i="2"/>
  <c r="J103" i="11" l="1"/>
  <c r="J130" i="7"/>
  <c r="J131" i="7"/>
  <c r="J115" i="7"/>
  <c r="J116" i="7"/>
  <c r="J13" i="11"/>
  <c r="J40" i="11" s="1"/>
  <c r="J47" i="11" s="1"/>
  <c r="J48" i="11" s="1"/>
  <c r="J57" i="11"/>
  <c r="J59" i="11"/>
  <c r="J60" i="11" s="1"/>
  <c r="O54" i="11"/>
  <c r="O53" i="11" s="1"/>
  <c r="O66" i="11"/>
  <c r="O65" i="11" s="1"/>
  <c r="O90" i="11"/>
  <c r="O89" i="11" s="1"/>
  <c r="O78" i="11"/>
  <c r="O77" i="11" s="1"/>
  <c r="J147" i="11"/>
  <c r="J148" i="11"/>
  <c r="J40" i="7"/>
  <c r="J41" i="7"/>
  <c r="K78" i="7"/>
  <c r="K88" i="7" s="1"/>
  <c r="K138" i="7"/>
  <c r="K148" i="7" s="1"/>
  <c r="K123" i="7"/>
  <c r="K153" i="7"/>
  <c r="K93" i="7"/>
  <c r="K63" i="7"/>
  <c r="K73" i="7" s="1"/>
  <c r="K168" i="7"/>
  <c r="K108" i="7"/>
  <c r="J153" i="11"/>
  <c r="J155" i="11"/>
  <c r="J116" i="11"/>
  <c r="J151" i="11"/>
  <c r="J152" i="11"/>
  <c r="J154" i="11"/>
  <c r="J118" i="11"/>
  <c r="J142" i="11"/>
  <c r="J140" i="11"/>
  <c r="J141" i="11"/>
  <c r="J139" i="11"/>
  <c r="J69" i="11"/>
  <c r="J110" i="11"/>
  <c r="K48" i="7"/>
  <c r="K58" i="7" s="1"/>
  <c r="K230" i="11"/>
  <c r="J109" i="11"/>
  <c r="J102" i="11"/>
  <c r="J119" i="11"/>
  <c r="J117" i="11"/>
  <c r="J120" i="11"/>
  <c r="L22" i="10"/>
  <c r="M38" i="14"/>
  <c r="D48" i="14"/>
  <c r="D42" i="14"/>
  <c r="S38" i="14"/>
  <c r="J8" i="14"/>
  <c r="J9" i="14" s="1"/>
  <c r="J7" i="14" s="1"/>
  <c r="I7" i="14"/>
  <c r="J88" i="11"/>
  <c r="K33" i="7"/>
  <c r="K34" i="7" s="1"/>
  <c r="K54" i="7"/>
  <c r="K83" i="7"/>
  <c r="K131" i="11"/>
  <c r="K159" i="7"/>
  <c r="K129" i="7"/>
  <c r="K174" i="7"/>
  <c r="K144" i="7"/>
  <c r="K214" i="11"/>
  <c r="O31" i="10"/>
  <c r="K84" i="7"/>
  <c r="K69" i="7"/>
  <c r="K114" i="7"/>
  <c r="K99" i="7"/>
  <c r="K39" i="7"/>
  <c r="L1" i="11"/>
  <c r="O30" i="10"/>
  <c r="L27" i="10"/>
  <c r="P28" i="10"/>
  <c r="P29" i="10" s="1"/>
  <c r="K4" i="11"/>
  <c r="L1" i="7"/>
  <c r="L172" i="7" s="1"/>
  <c r="L173" i="7" s="1"/>
  <c r="K48" i="10"/>
  <c r="K4" i="7"/>
  <c r="L3" i="28"/>
  <c r="M1" i="28"/>
  <c r="M2" i="28" s="1"/>
  <c r="Q20" i="10"/>
  <c r="P3" i="7"/>
  <c r="P3" i="11"/>
  <c r="L1" i="2"/>
  <c r="L2" i="2" s="1"/>
  <c r="K3" i="2"/>
  <c r="J19" i="11" l="1"/>
  <c r="J159" i="11"/>
  <c r="J133" i="11"/>
  <c r="J42" i="11"/>
  <c r="J28" i="11" s="1"/>
  <c r="K261" i="11"/>
  <c r="K18" i="7" s="1"/>
  <c r="J134" i="11"/>
  <c r="K55" i="11"/>
  <c r="K323" i="11"/>
  <c r="K324" i="11"/>
  <c r="J165" i="11"/>
  <c r="P66" i="11"/>
  <c r="P65" i="11" s="1"/>
  <c r="P90" i="11"/>
  <c r="P89" i="11" s="1"/>
  <c r="P78" i="11"/>
  <c r="P77" i="11" s="1"/>
  <c r="P54" i="11"/>
  <c r="P53" i="11" s="1"/>
  <c r="J150" i="11"/>
  <c r="J146" i="11"/>
  <c r="K103" i="7"/>
  <c r="K154" i="7"/>
  <c r="K160" i="7" s="1"/>
  <c r="K163" i="7"/>
  <c r="K124" i="7"/>
  <c r="K133" i="7"/>
  <c r="K40" i="7"/>
  <c r="K43" i="7"/>
  <c r="K109" i="7"/>
  <c r="K118" i="7"/>
  <c r="K169" i="7"/>
  <c r="K175" i="7" s="1"/>
  <c r="K178" i="7"/>
  <c r="K79" i="7"/>
  <c r="K85" i="7" s="1"/>
  <c r="K8" i="11"/>
  <c r="K13" i="11" s="1"/>
  <c r="K12" i="11"/>
  <c r="K17" i="11" s="1"/>
  <c r="J135" i="11"/>
  <c r="K9" i="11"/>
  <c r="K14" i="11" s="1"/>
  <c r="K52" i="11" s="1"/>
  <c r="K11" i="11"/>
  <c r="K16" i="11" s="1"/>
  <c r="K210" i="11"/>
  <c r="K115" i="11"/>
  <c r="K35" i="11"/>
  <c r="K10" i="11"/>
  <c r="K15" i="11" s="1"/>
  <c r="K68" i="11"/>
  <c r="K67" i="11"/>
  <c r="M3" i="28"/>
  <c r="N1" i="28"/>
  <c r="N2" i="28" s="1"/>
  <c r="J101" i="11"/>
  <c r="J105" i="11"/>
  <c r="K51" i="11"/>
  <c r="K56" i="11"/>
  <c r="J76" i="11"/>
  <c r="J112" i="11"/>
  <c r="J95" i="11"/>
  <c r="J96" i="11" s="1"/>
  <c r="J163" i="11"/>
  <c r="J93" i="11"/>
  <c r="J121" i="11"/>
  <c r="N38" i="14"/>
  <c r="T38" i="14"/>
  <c r="D43" i="14"/>
  <c r="D49" i="14"/>
  <c r="U38" i="14"/>
  <c r="O38" i="14"/>
  <c r="D44" i="14"/>
  <c r="D50" i="14"/>
  <c r="K10" i="7"/>
  <c r="K285" i="11"/>
  <c r="K176" i="11"/>
  <c r="P31" i="10"/>
  <c r="L137" i="7"/>
  <c r="L147" i="7" s="1"/>
  <c r="L38" i="10"/>
  <c r="L19" i="10"/>
  <c r="L42" i="10"/>
  <c r="L62" i="7"/>
  <c r="L72" i="7" s="1"/>
  <c r="L37" i="10"/>
  <c r="L82" i="7"/>
  <c r="L23" i="10"/>
  <c r="L4" i="11" s="1"/>
  <c r="L37" i="7"/>
  <c r="L38" i="7" s="1"/>
  <c r="L45" i="10"/>
  <c r="L107" i="7"/>
  <c r="L117" i="7" s="1"/>
  <c r="L8" i="7"/>
  <c r="L214" i="11" s="1"/>
  <c r="L122" i="7"/>
  <c r="L132" i="7" s="1"/>
  <c r="L97" i="7"/>
  <c r="L47" i="7"/>
  <c r="L57" i="7" s="1"/>
  <c r="L152" i="7"/>
  <c r="L67" i="7"/>
  <c r="L112" i="7"/>
  <c r="L113" i="7" s="1"/>
  <c r="L127" i="7"/>
  <c r="L128" i="7" s="1"/>
  <c r="L77" i="7"/>
  <c r="L87" i="7" s="1"/>
  <c r="L7" i="7"/>
  <c r="L229" i="11" s="1"/>
  <c r="M21" i="10"/>
  <c r="L142" i="7"/>
  <c r="L52" i="7"/>
  <c r="L35" i="10"/>
  <c r="L24" i="10"/>
  <c r="L2" i="11"/>
  <c r="L36" i="10"/>
  <c r="L41" i="10"/>
  <c r="L43" i="10"/>
  <c r="L44" i="10"/>
  <c r="L40" i="10"/>
  <c r="L39" i="10"/>
  <c r="L46" i="10"/>
  <c r="L2" i="7"/>
  <c r="L92" i="7"/>
  <c r="L102" i="7" s="1"/>
  <c r="L167" i="7"/>
  <c r="L177" i="7" s="1"/>
  <c r="L32" i="7"/>
  <c r="L42" i="7" s="1"/>
  <c r="L157" i="7"/>
  <c r="L158" i="7" s="1"/>
  <c r="Q28" i="10"/>
  <c r="Q29" i="10" s="1"/>
  <c r="P30" i="10"/>
  <c r="K171" i="11"/>
  <c r="R20" i="10"/>
  <c r="R3" i="11" s="1"/>
  <c r="Q3" i="7"/>
  <c r="Q3" i="11"/>
  <c r="M1" i="2"/>
  <c r="M2" i="2" s="1"/>
  <c r="N1" i="2" s="1"/>
  <c r="N2" i="2" s="1"/>
  <c r="L3" i="2"/>
  <c r="K130" i="7" l="1"/>
  <c r="K131" i="7"/>
  <c r="K115" i="7"/>
  <c r="K116" i="7"/>
  <c r="J26" i="11"/>
  <c r="J31" i="11" s="1"/>
  <c r="J162" i="11"/>
  <c r="J164" i="11" s="1"/>
  <c r="L323" i="11"/>
  <c r="L324" i="11"/>
  <c r="Q90" i="11"/>
  <c r="Q89" i="11" s="1"/>
  <c r="Q78" i="11"/>
  <c r="Q77" i="11" s="1"/>
  <c r="Q54" i="11"/>
  <c r="Q53" i="11" s="1"/>
  <c r="Q66" i="11"/>
  <c r="Q65" i="11" s="1"/>
  <c r="R90" i="11"/>
  <c r="R89" i="11" s="1"/>
  <c r="R78" i="11"/>
  <c r="R77" i="11" s="1"/>
  <c r="R54" i="11"/>
  <c r="R53" i="11" s="1"/>
  <c r="R66" i="11"/>
  <c r="R65" i="11" s="1"/>
  <c r="K41" i="7"/>
  <c r="J108" i="11"/>
  <c r="L153" i="7"/>
  <c r="L163" i="7" s="1"/>
  <c r="L162" i="7"/>
  <c r="K86" i="7"/>
  <c r="L138" i="7"/>
  <c r="L148" i="7" s="1"/>
  <c r="L168" i="7"/>
  <c r="L123" i="7"/>
  <c r="L133" i="7" s="1"/>
  <c r="L63" i="7"/>
  <c r="L73" i="7" s="1"/>
  <c r="L78" i="7"/>
  <c r="L88" i="7" s="1"/>
  <c r="L93" i="7"/>
  <c r="L108" i="7"/>
  <c r="K139" i="11"/>
  <c r="K152" i="11"/>
  <c r="K153" i="11"/>
  <c r="J149" i="11"/>
  <c r="K140" i="11"/>
  <c r="K19" i="11"/>
  <c r="L9" i="11"/>
  <c r="J137" i="11"/>
  <c r="L10" i="11"/>
  <c r="L210" i="11"/>
  <c r="L115" i="11"/>
  <c r="L35" i="11"/>
  <c r="L12" i="11"/>
  <c r="L11" i="11"/>
  <c r="L8" i="11"/>
  <c r="K91" i="11"/>
  <c r="K155" i="11" s="1"/>
  <c r="K118" i="11"/>
  <c r="O1" i="2"/>
  <c r="O2" i="2" s="1"/>
  <c r="N3" i="2"/>
  <c r="O1" i="28"/>
  <c r="O2" i="28" s="1"/>
  <c r="N3" i="28"/>
  <c r="L48" i="7"/>
  <c r="L58" i="7" s="1"/>
  <c r="K147" i="11"/>
  <c r="K87" i="11"/>
  <c r="K92" i="11"/>
  <c r="K142" i="11" s="1"/>
  <c r="J111" i="11"/>
  <c r="J83" i="11"/>
  <c r="J84" i="11" s="1"/>
  <c r="J81" i="11"/>
  <c r="J136" i="11" s="1"/>
  <c r="J104" i="11"/>
  <c r="K117" i="11"/>
  <c r="L33" i="7"/>
  <c r="K76" i="11"/>
  <c r="K88" i="11"/>
  <c r="K64" i="11"/>
  <c r="L285" i="11"/>
  <c r="L83" i="7"/>
  <c r="L176" i="11"/>
  <c r="L4" i="7"/>
  <c r="Q31" i="10"/>
  <c r="L69" i="7"/>
  <c r="M1" i="11"/>
  <c r="L84" i="7"/>
  <c r="L54" i="7"/>
  <c r="L131" i="11"/>
  <c r="M1" i="7"/>
  <c r="M172" i="7" s="1"/>
  <c r="M173" i="7" s="1"/>
  <c r="L230" i="11"/>
  <c r="M22" i="10"/>
  <c r="M27" i="10"/>
  <c r="L144" i="7"/>
  <c r="L174" i="7"/>
  <c r="R3" i="7"/>
  <c r="L129" i="7"/>
  <c r="L114" i="7"/>
  <c r="S20" i="10"/>
  <c r="S28" i="10" s="1"/>
  <c r="S29" i="10" s="1"/>
  <c r="Q30" i="10"/>
  <c r="L99" i="7"/>
  <c r="L48" i="10"/>
  <c r="L159" i="7"/>
  <c r="L39" i="7"/>
  <c r="R28" i="10"/>
  <c r="R29" i="10" s="1"/>
  <c r="L171" i="11"/>
  <c r="L176" i="7"/>
  <c r="L261" i="11"/>
  <c r="L18" i="7" s="1"/>
  <c r="M3" i="2"/>
  <c r="L16" i="11" l="1"/>
  <c r="L17" i="11"/>
  <c r="L154" i="7"/>
  <c r="L160" i="7" s="1"/>
  <c r="L15" i="11"/>
  <c r="L13" i="11"/>
  <c r="L14" i="11"/>
  <c r="J156" i="11"/>
  <c r="J157" i="11" s="1"/>
  <c r="K148" i="11"/>
  <c r="J113" i="11"/>
  <c r="L124" i="7"/>
  <c r="L109" i="7"/>
  <c r="L118" i="7"/>
  <c r="L103" i="7"/>
  <c r="L34" i="7"/>
  <c r="L43" i="7"/>
  <c r="L169" i="7"/>
  <c r="L175" i="7" s="1"/>
  <c r="L178" i="7"/>
  <c r="J106" i="11"/>
  <c r="J143" i="11"/>
  <c r="J144" i="11" s="1"/>
  <c r="K110" i="11"/>
  <c r="P1" i="2"/>
  <c r="P2" i="2" s="1"/>
  <c r="O3" i="2"/>
  <c r="P1" i="28"/>
  <c r="P2" i="28" s="1"/>
  <c r="O3" i="28"/>
  <c r="J327" i="11"/>
  <c r="J328" i="11" s="1"/>
  <c r="J20" i="11"/>
  <c r="K150" i="11"/>
  <c r="K109" i="11"/>
  <c r="K120" i="11"/>
  <c r="K75" i="11"/>
  <c r="K79" i="11"/>
  <c r="K154" i="11" s="1"/>
  <c r="K80" i="11"/>
  <c r="K141" i="11" s="1"/>
  <c r="K40" i="11"/>
  <c r="K102" i="11"/>
  <c r="K160" i="11"/>
  <c r="L10" i="7"/>
  <c r="L79" i="7"/>
  <c r="L86" i="7" s="1"/>
  <c r="S3" i="7"/>
  <c r="M32" i="7"/>
  <c r="M42" i="7" s="1"/>
  <c r="M7" i="7"/>
  <c r="M229" i="11" s="1"/>
  <c r="M46" i="10"/>
  <c r="M2" i="11"/>
  <c r="M44" i="10"/>
  <c r="S31" i="10"/>
  <c r="M112" i="7"/>
  <c r="M113" i="7" s="1"/>
  <c r="M127" i="7"/>
  <c r="M128" i="7" s="1"/>
  <c r="S3" i="11"/>
  <c r="T20" i="10"/>
  <c r="T28" i="10" s="1"/>
  <c r="T29" i="10" s="1"/>
  <c r="M47" i="7"/>
  <c r="M57" i="7" s="1"/>
  <c r="M122" i="7"/>
  <c r="M132" i="7" s="1"/>
  <c r="M8" i="7"/>
  <c r="M230" i="11" s="1"/>
  <c r="M152" i="7"/>
  <c r="M162" i="7" s="1"/>
  <c r="M77" i="7"/>
  <c r="M87" i="7" s="1"/>
  <c r="M137" i="7"/>
  <c r="M147" i="7" s="1"/>
  <c r="M142" i="7"/>
  <c r="M97" i="7"/>
  <c r="M37" i="7"/>
  <c r="M38" i="7" s="1"/>
  <c r="M167" i="7"/>
  <c r="M177" i="7" s="1"/>
  <c r="M67" i="7"/>
  <c r="M52" i="7"/>
  <c r="M157" i="7"/>
  <c r="M158" i="7" s="1"/>
  <c r="M62" i="7"/>
  <c r="M72" i="7" s="1"/>
  <c r="M92" i="7"/>
  <c r="M102" i="7" s="1"/>
  <c r="M107" i="7"/>
  <c r="M117" i="7" s="1"/>
  <c r="M82" i="7"/>
  <c r="M39" i="10"/>
  <c r="M36" i="10"/>
  <c r="M42" i="10"/>
  <c r="M41" i="10"/>
  <c r="M40" i="10"/>
  <c r="M2" i="7"/>
  <c r="M37" i="10"/>
  <c r="M38" i="10"/>
  <c r="M43" i="10"/>
  <c r="M19" i="10"/>
  <c r="M45" i="10"/>
  <c r="M35" i="10"/>
  <c r="N21" i="10"/>
  <c r="M24" i="10"/>
  <c r="M23" i="10"/>
  <c r="M4" i="7" s="1"/>
  <c r="S30" i="10"/>
  <c r="R31" i="10"/>
  <c r="R30" i="10"/>
  <c r="K57" i="11"/>
  <c r="K59" i="11"/>
  <c r="K165" i="11" s="1"/>
  <c r="L130" i="7" l="1"/>
  <c r="L131" i="7"/>
  <c r="L115" i="7"/>
  <c r="L116" i="7"/>
  <c r="J125" i="11"/>
  <c r="L19" i="11"/>
  <c r="K134" i="11"/>
  <c r="L55" i="11"/>
  <c r="L152" i="11" s="1"/>
  <c r="J166" i="11"/>
  <c r="S54" i="11"/>
  <c r="S53" i="11" s="1"/>
  <c r="S90" i="11"/>
  <c r="S89" i="11" s="1"/>
  <c r="S78" i="11"/>
  <c r="S77" i="11" s="1"/>
  <c r="S66" i="11"/>
  <c r="S65" i="11" s="1"/>
  <c r="J167" i="11"/>
  <c r="J168" i="11"/>
  <c r="K133" i="11"/>
  <c r="K42" i="11"/>
  <c r="J123" i="11"/>
  <c r="L40" i="7"/>
  <c r="L41" i="7"/>
  <c r="M108" i="7"/>
  <c r="M93" i="7"/>
  <c r="M103" i="7" s="1"/>
  <c r="M63" i="7"/>
  <c r="M73" i="7" s="1"/>
  <c r="M138" i="7"/>
  <c r="M168" i="7"/>
  <c r="M123" i="7"/>
  <c r="M153" i="7"/>
  <c r="K26" i="11"/>
  <c r="Q1" i="2"/>
  <c r="Q2" i="2" s="1"/>
  <c r="Q3" i="2" s="1"/>
  <c r="P3" i="2"/>
  <c r="Q1" i="28"/>
  <c r="Q2" i="28" s="1"/>
  <c r="Q3" i="28" s="1"/>
  <c r="P3" i="28"/>
  <c r="M48" i="7"/>
  <c r="M58" i="7" s="1"/>
  <c r="K119" i="11"/>
  <c r="K112" i="11"/>
  <c r="K95" i="11"/>
  <c r="K96" i="11" s="1"/>
  <c r="K93" i="11"/>
  <c r="K137" i="11" s="1"/>
  <c r="K163" i="11"/>
  <c r="K105" i="11"/>
  <c r="K149" i="11"/>
  <c r="L56" i="11"/>
  <c r="L139" i="11" s="1"/>
  <c r="L51" i="11"/>
  <c r="M33" i="7"/>
  <c r="L85" i="7"/>
  <c r="M131" i="11"/>
  <c r="L52" i="11"/>
  <c r="L64" i="11"/>
  <c r="L40" i="11"/>
  <c r="L76" i="11"/>
  <c r="L88" i="11"/>
  <c r="T3" i="11"/>
  <c r="U20" i="10"/>
  <c r="V20" i="10" s="1"/>
  <c r="V3" i="7" s="1"/>
  <c r="T3" i="7"/>
  <c r="M83" i="7"/>
  <c r="M214" i="11"/>
  <c r="M285" i="11" s="1"/>
  <c r="M39" i="7"/>
  <c r="M99" i="7"/>
  <c r="M54" i="7"/>
  <c r="M174" i="7"/>
  <c r="T30" i="10"/>
  <c r="M129" i="7"/>
  <c r="M84" i="7"/>
  <c r="M78" i="7"/>
  <c r="M88" i="7" s="1"/>
  <c r="M69" i="7"/>
  <c r="M144" i="7"/>
  <c r="M114" i="7"/>
  <c r="M4" i="11"/>
  <c r="M159" i="7"/>
  <c r="M48" i="10"/>
  <c r="N22" i="10"/>
  <c r="N1" i="7"/>
  <c r="N127" i="7" s="1"/>
  <c r="N128" i="7" s="1"/>
  <c r="N27" i="10"/>
  <c r="N1" i="11"/>
  <c r="T31" i="10"/>
  <c r="K60" i="11"/>
  <c r="M176" i="7"/>
  <c r="J169" i="11" l="1"/>
  <c r="M323" i="11"/>
  <c r="M324" i="11"/>
  <c r="T54" i="11"/>
  <c r="T53" i="11" s="1"/>
  <c r="T66" i="11"/>
  <c r="T65" i="11" s="1"/>
  <c r="T90" i="11"/>
  <c r="T89" i="11" s="1"/>
  <c r="T78" i="11"/>
  <c r="T77" i="11" s="1"/>
  <c r="L133" i="11"/>
  <c r="L42" i="11"/>
  <c r="L148" i="11"/>
  <c r="K28" i="11"/>
  <c r="K146" i="11"/>
  <c r="M154" i="7"/>
  <c r="M160" i="7" s="1"/>
  <c r="M163" i="7"/>
  <c r="M124" i="7"/>
  <c r="M133" i="7"/>
  <c r="M169" i="7"/>
  <c r="M175" i="7" s="1"/>
  <c r="M178" i="7"/>
  <c r="M148" i="7"/>
  <c r="M34" i="7"/>
  <c r="M41" i="7" s="1"/>
  <c r="M43" i="7"/>
  <c r="M109" i="7"/>
  <c r="M118" i="7"/>
  <c r="M115" i="11"/>
  <c r="M210" i="11"/>
  <c r="M35" i="11"/>
  <c r="M9" i="11"/>
  <c r="M14" i="11" s="1"/>
  <c r="M11" i="11"/>
  <c r="M16" i="11" s="1"/>
  <c r="M8" i="11"/>
  <c r="M13" i="11" s="1"/>
  <c r="M10" i="11"/>
  <c r="M15" i="11" s="1"/>
  <c r="M12" i="11"/>
  <c r="M17" i="11" s="1"/>
  <c r="L87" i="11"/>
  <c r="L110" i="11"/>
  <c r="L26" i="11"/>
  <c r="L20" i="11" s="1"/>
  <c r="K20" i="11"/>
  <c r="K108" i="11"/>
  <c r="L91" i="11"/>
  <c r="L155" i="11" s="1"/>
  <c r="L92" i="11"/>
  <c r="L142" i="11" s="1"/>
  <c r="K81" i="11"/>
  <c r="K136" i="11" s="1"/>
  <c r="K83" i="11"/>
  <c r="K111" i="11"/>
  <c r="K162" i="11"/>
  <c r="K104" i="11"/>
  <c r="L117" i="11"/>
  <c r="U28" i="10"/>
  <c r="U29" i="10" s="1"/>
  <c r="U30" i="10" s="1"/>
  <c r="W20" i="10"/>
  <c r="W28" i="10" s="1"/>
  <c r="W29" i="10" s="1"/>
  <c r="V28" i="10"/>
  <c r="V29" i="10" s="1"/>
  <c r="V31" i="10" s="1"/>
  <c r="V3" i="11"/>
  <c r="U3" i="11"/>
  <c r="L147" i="11"/>
  <c r="M261" i="11"/>
  <c r="M18" i="7" s="1"/>
  <c r="M79" i="7"/>
  <c r="M85" i="7" s="1"/>
  <c r="N172" i="7"/>
  <c r="N173" i="7" s="1"/>
  <c r="U3" i="7"/>
  <c r="N36" i="10"/>
  <c r="N24" i="10"/>
  <c r="N35" i="10"/>
  <c r="N37" i="10"/>
  <c r="N167" i="7"/>
  <c r="N177" i="7" s="1"/>
  <c r="N32" i="7"/>
  <c r="N42" i="7" s="1"/>
  <c r="N8" i="7"/>
  <c r="N214" i="11" s="1"/>
  <c r="N285" i="11" s="1"/>
  <c r="N62" i="7"/>
  <c r="N72" i="7" s="1"/>
  <c r="N52" i="7"/>
  <c r="N92" i="7"/>
  <c r="N102" i="7" s="1"/>
  <c r="N137" i="7"/>
  <c r="N147" i="7" s="1"/>
  <c r="N67" i="7"/>
  <c r="N45" i="10"/>
  <c r="N7" i="7"/>
  <c r="N131" i="11" s="1"/>
  <c r="M176" i="11"/>
  <c r="N42" i="10"/>
  <c r="N157" i="7"/>
  <c r="N158" i="7" s="1"/>
  <c r="N122" i="7"/>
  <c r="N132" i="7" s="1"/>
  <c r="N2" i="7"/>
  <c r="N40" i="10"/>
  <c r="N39" i="10"/>
  <c r="N44" i="10"/>
  <c r="N41" i="10"/>
  <c r="N38" i="10"/>
  <c r="M10" i="7"/>
  <c r="N46" i="10"/>
  <c r="O21" i="10"/>
  <c r="N112" i="7"/>
  <c r="N113" i="7" s="1"/>
  <c r="N77" i="7"/>
  <c r="N87" i="7" s="1"/>
  <c r="N23" i="10"/>
  <c r="N4" i="11" s="1"/>
  <c r="N2" i="11"/>
  <c r="N142" i="7"/>
  <c r="N43" i="10"/>
  <c r="N97" i="7"/>
  <c r="N19" i="10"/>
  <c r="N37" i="7"/>
  <c r="N38" i="7" s="1"/>
  <c r="N152" i="7"/>
  <c r="N162" i="7" s="1"/>
  <c r="N82" i="7"/>
  <c r="N83" i="7" s="1"/>
  <c r="N107" i="7"/>
  <c r="N117" i="7" s="1"/>
  <c r="M171" i="11"/>
  <c r="M130" i="7" l="1"/>
  <c r="M131" i="7"/>
  <c r="M115" i="7"/>
  <c r="M116" i="7"/>
  <c r="N324" i="11"/>
  <c r="N323" i="11"/>
  <c r="V66" i="11"/>
  <c r="V65" i="11" s="1"/>
  <c r="V90" i="11"/>
  <c r="V89" i="11" s="1"/>
  <c r="V78" i="11"/>
  <c r="V77" i="11" s="1"/>
  <c r="V54" i="11"/>
  <c r="V53" i="11" s="1"/>
  <c r="U78" i="11"/>
  <c r="U77" i="11" s="1"/>
  <c r="U66" i="11"/>
  <c r="U65" i="11" s="1"/>
  <c r="U90" i="11"/>
  <c r="U89" i="11" s="1"/>
  <c r="U54" i="11"/>
  <c r="U53" i="11" s="1"/>
  <c r="M40" i="7"/>
  <c r="L28" i="11"/>
  <c r="L146" i="11"/>
  <c r="K27" i="11"/>
  <c r="X20" i="10"/>
  <c r="X3" i="7" s="1"/>
  <c r="N63" i="7"/>
  <c r="N73" i="7" s="1"/>
  <c r="N153" i="7"/>
  <c r="N163" i="7" s="1"/>
  <c r="N168" i="7"/>
  <c r="N178" i="7" s="1"/>
  <c r="N123" i="7"/>
  <c r="N133" i="7" s="1"/>
  <c r="N138" i="7"/>
  <c r="N148" i="7" s="1"/>
  <c r="N93" i="7"/>
  <c r="N11" i="11"/>
  <c r="N10" i="11"/>
  <c r="N8" i="11"/>
  <c r="N115" i="11"/>
  <c r="N210" i="11"/>
  <c r="N35" i="11"/>
  <c r="M19" i="11"/>
  <c r="N12" i="11"/>
  <c r="N9" i="11"/>
  <c r="K84" i="11"/>
  <c r="L79" i="11"/>
  <c r="L154" i="11" s="1"/>
  <c r="W3" i="11"/>
  <c r="L150" i="11"/>
  <c r="M86" i="7"/>
  <c r="W3" i="7"/>
  <c r="L120" i="11"/>
  <c r="L75" i="11"/>
  <c r="L80" i="11"/>
  <c r="L141" i="11" s="1"/>
  <c r="U31" i="10"/>
  <c r="V30" i="10"/>
  <c r="L109" i="11"/>
  <c r="L102" i="11"/>
  <c r="L160" i="11"/>
  <c r="N129" i="7"/>
  <c r="N230" i="11"/>
  <c r="N33" i="7"/>
  <c r="N174" i="7"/>
  <c r="M64" i="11"/>
  <c r="M88" i="11"/>
  <c r="M76" i="11"/>
  <c r="M52" i="11"/>
  <c r="N69" i="7"/>
  <c r="N229" i="11"/>
  <c r="N176" i="11"/>
  <c r="N48" i="10"/>
  <c r="O22" i="10"/>
  <c r="O1" i="11"/>
  <c r="O1" i="7"/>
  <c r="O157" i="7" s="1"/>
  <c r="O158" i="7" s="1"/>
  <c r="N4" i="7"/>
  <c r="N114" i="7"/>
  <c r="O27" i="10"/>
  <c r="N84" i="7"/>
  <c r="N78" i="7"/>
  <c r="N144" i="7"/>
  <c r="N108" i="7"/>
  <c r="N118" i="7" s="1"/>
  <c r="W30" i="10"/>
  <c r="N159" i="7"/>
  <c r="N39" i="7"/>
  <c r="N99" i="7"/>
  <c r="W31" i="10"/>
  <c r="N171" i="11"/>
  <c r="L59" i="11"/>
  <c r="L165" i="11" s="1"/>
  <c r="L57" i="11"/>
  <c r="N176" i="7"/>
  <c r="N261" i="11"/>
  <c r="N18" i="7" s="1"/>
  <c r="Y20" i="10" l="1"/>
  <c r="N15" i="11"/>
  <c r="N14" i="11"/>
  <c r="N13" i="11"/>
  <c r="N40" i="11" s="1"/>
  <c r="N42" i="11" s="1"/>
  <c r="N17" i="11"/>
  <c r="N16" i="11"/>
  <c r="L134" i="11"/>
  <c r="M55" i="11"/>
  <c r="M152" i="11" s="1"/>
  <c r="X3" i="11"/>
  <c r="X28" i="10"/>
  <c r="X29" i="10" s="1"/>
  <c r="X30" i="10" s="1"/>
  <c r="W66" i="11"/>
  <c r="W65" i="11" s="1"/>
  <c r="W90" i="11"/>
  <c r="W89" i="11" s="1"/>
  <c r="W78" i="11"/>
  <c r="W77" i="11" s="1"/>
  <c r="W54" i="11"/>
  <c r="W53" i="11" s="1"/>
  <c r="X66" i="11"/>
  <c r="X65" i="11" s="1"/>
  <c r="X90" i="11"/>
  <c r="X89" i="11" s="1"/>
  <c r="X78" i="11"/>
  <c r="X77" i="11" s="1"/>
  <c r="X54" i="11"/>
  <c r="X53" i="11" s="1"/>
  <c r="N154" i="7"/>
  <c r="N160" i="7" s="1"/>
  <c r="M148" i="11"/>
  <c r="N124" i="7"/>
  <c r="N169" i="7"/>
  <c r="N175" i="7" s="1"/>
  <c r="L108" i="11"/>
  <c r="N103" i="7"/>
  <c r="N79" i="7"/>
  <c r="N85" i="7" s="1"/>
  <c r="N88" i="7"/>
  <c r="N34" i="7"/>
  <c r="N43" i="7"/>
  <c r="M110" i="11"/>
  <c r="L112" i="11"/>
  <c r="L105" i="11"/>
  <c r="L95" i="11"/>
  <c r="L96" i="11" s="1"/>
  <c r="L93" i="11"/>
  <c r="L137" i="11" s="1"/>
  <c r="L163" i="11"/>
  <c r="L119" i="11"/>
  <c r="O47" i="7"/>
  <c r="N109" i="7"/>
  <c r="N116" i="7" s="1"/>
  <c r="O23" i="10"/>
  <c r="O4" i="11" s="1"/>
  <c r="O40" i="10"/>
  <c r="O42" i="10"/>
  <c r="O41" i="10"/>
  <c r="O37" i="10"/>
  <c r="O19" i="10"/>
  <c r="O45" i="10"/>
  <c r="O36" i="10"/>
  <c r="O24" i="10"/>
  <c r="O44" i="10"/>
  <c r="O46" i="10"/>
  <c r="O39" i="10"/>
  <c r="O2" i="7"/>
  <c r="O43" i="10"/>
  <c r="P21" i="10"/>
  <c r="P1" i="7" s="1"/>
  <c r="O38" i="10"/>
  <c r="O35" i="10"/>
  <c r="O2" i="11"/>
  <c r="M40" i="11"/>
  <c r="M42" i="11" s="1"/>
  <c r="O62" i="7"/>
  <c r="O152" i="7"/>
  <c r="O82" i="7"/>
  <c r="O83" i="7" s="1"/>
  <c r="O122" i="7"/>
  <c r="O97" i="7"/>
  <c r="O77" i="7"/>
  <c r="O87" i="7" s="1"/>
  <c r="O137" i="7"/>
  <c r="O127" i="7"/>
  <c r="O128" i="7" s="1"/>
  <c r="O172" i="7"/>
  <c r="O173" i="7" s="1"/>
  <c r="O7" i="7"/>
  <c r="O131" i="11" s="1"/>
  <c r="O67" i="7"/>
  <c r="O52" i="7"/>
  <c r="O8" i="7"/>
  <c r="O214" i="11" s="1"/>
  <c r="O37" i="7"/>
  <c r="O38" i="7" s="1"/>
  <c r="O92" i="7"/>
  <c r="O107" i="7"/>
  <c r="O142" i="7"/>
  <c r="O32" i="7"/>
  <c r="O167" i="7"/>
  <c r="O112" i="7"/>
  <c r="O113" i="7" s="1"/>
  <c r="X31" i="10"/>
  <c r="Y28" i="10"/>
  <c r="Y29" i="10" s="1"/>
  <c r="L60" i="11"/>
  <c r="M56" i="11"/>
  <c r="M139" i="11" s="1"/>
  <c r="M51" i="11"/>
  <c r="Y3" i="11"/>
  <c r="Y54" i="11" s="1"/>
  <c r="Y53" i="11" s="1"/>
  <c r="Y3" i="7"/>
  <c r="Z20" i="10"/>
  <c r="N130" i="7" l="1"/>
  <c r="N131" i="7"/>
  <c r="N19" i="11"/>
  <c r="O323" i="11"/>
  <c r="O324" i="11"/>
  <c r="Y90" i="11"/>
  <c r="Y89" i="11" s="1"/>
  <c r="Y78" i="11"/>
  <c r="Y77" i="11" s="1"/>
  <c r="Y66" i="11"/>
  <c r="Y65" i="11" s="1"/>
  <c r="N41" i="7"/>
  <c r="N40" i="7"/>
  <c r="N133" i="11"/>
  <c r="M133" i="11"/>
  <c r="O108" i="7"/>
  <c r="O118" i="7" s="1"/>
  <c r="O117" i="7"/>
  <c r="O93" i="7"/>
  <c r="O103" i="7" s="1"/>
  <c r="O102" i="7"/>
  <c r="O138" i="7"/>
  <c r="O148" i="7" s="1"/>
  <c r="O147" i="7"/>
  <c r="O123" i="7"/>
  <c r="O133" i="7" s="1"/>
  <c r="O132" i="7"/>
  <c r="O168" i="7"/>
  <c r="O178" i="7" s="1"/>
  <c r="O177" i="7"/>
  <c r="O33" i="7"/>
  <c r="O43" i="7" s="1"/>
  <c r="O42" i="7"/>
  <c r="O63" i="7"/>
  <c r="O73" i="7" s="1"/>
  <c r="O72" i="7"/>
  <c r="O159" i="7"/>
  <c r="O162" i="7"/>
  <c r="O48" i="7"/>
  <c r="O58" i="7" s="1"/>
  <c r="O57" i="7"/>
  <c r="L27" i="11"/>
  <c r="L149" i="11"/>
  <c r="O12" i="11"/>
  <c r="O115" i="11"/>
  <c r="O210" i="11"/>
  <c r="O35" i="11"/>
  <c r="O11" i="11"/>
  <c r="M26" i="11"/>
  <c r="O9" i="11"/>
  <c r="O8" i="11"/>
  <c r="O10" i="11"/>
  <c r="M117" i="11"/>
  <c r="M87" i="11"/>
  <c r="M91" i="11"/>
  <c r="M155" i="11" s="1"/>
  <c r="M92" i="11"/>
  <c r="M142" i="11" s="1"/>
  <c r="L81" i="11"/>
  <c r="L136" i="11" s="1"/>
  <c r="L104" i="11"/>
  <c r="L83" i="11"/>
  <c r="L162" i="11"/>
  <c r="L111" i="11"/>
  <c r="O4" i="7"/>
  <c r="P27" i="10"/>
  <c r="O169" i="7"/>
  <c r="O175" i="7" s="1"/>
  <c r="O153" i="7"/>
  <c r="P22" i="10"/>
  <c r="P42" i="10" s="1"/>
  <c r="P1" i="11"/>
  <c r="N115" i="7"/>
  <c r="O48" i="10"/>
  <c r="O174" i="7"/>
  <c r="N88" i="11"/>
  <c r="N76" i="11"/>
  <c r="N64" i="11"/>
  <c r="N52" i="11"/>
  <c r="O69" i="7"/>
  <c r="O261" i="11"/>
  <c r="O18" i="7" s="1"/>
  <c r="O285" i="11"/>
  <c r="O144" i="7"/>
  <c r="O129" i="7"/>
  <c r="N86" i="7"/>
  <c r="O84" i="7"/>
  <c r="O78" i="7"/>
  <c r="O88" i="7" s="1"/>
  <c r="O176" i="11"/>
  <c r="O99" i="7"/>
  <c r="O39" i="7"/>
  <c r="O114" i="7"/>
  <c r="O229" i="11"/>
  <c r="O230" i="11"/>
  <c r="Y31" i="10"/>
  <c r="Y30" i="10"/>
  <c r="Z28" i="10"/>
  <c r="Z29" i="10" s="1"/>
  <c r="O171" i="11"/>
  <c r="O176" i="7"/>
  <c r="P172" i="7"/>
  <c r="P173" i="7" s="1"/>
  <c r="P157" i="7"/>
  <c r="P158" i="7" s="1"/>
  <c r="P142" i="7"/>
  <c r="P127" i="7"/>
  <c r="P128" i="7" s="1"/>
  <c r="P112" i="7"/>
  <c r="P113" i="7" s="1"/>
  <c r="P67" i="7"/>
  <c r="P37" i="7"/>
  <c r="P38" i="7" s="1"/>
  <c r="P97" i="7"/>
  <c r="P52" i="7"/>
  <c r="P82" i="7"/>
  <c r="P83" i="7" s="1"/>
  <c r="AA20" i="10"/>
  <c r="Z3" i="11"/>
  <c r="Z3" i="7"/>
  <c r="P152" i="7"/>
  <c r="P162" i="7" s="1"/>
  <c r="P122" i="7"/>
  <c r="P132" i="7" s="1"/>
  <c r="P167" i="7"/>
  <c r="P177" i="7" s="1"/>
  <c r="P137" i="7"/>
  <c r="P147" i="7" s="1"/>
  <c r="P107" i="7"/>
  <c r="P117" i="7" s="1"/>
  <c r="P8" i="7"/>
  <c r="P7" i="7"/>
  <c r="P47" i="7"/>
  <c r="P77" i="7"/>
  <c r="P87" i="7" s="1"/>
  <c r="P62" i="7"/>
  <c r="P72" i="7" s="1"/>
  <c r="P32" i="7"/>
  <c r="P42" i="7" s="1"/>
  <c r="P92" i="7"/>
  <c r="P102" i="7" s="1"/>
  <c r="O15" i="11" l="1"/>
  <c r="O64" i="11" s="1"/>
  <c r="O17" i="11"/>
  <c r="O88" i="11" s="1"/>
  <c r="O13" i="11"/>
  <c r="O40" i="11" s="1"/>
  <c r="O42" i="11" s="1"/>
  <c r="O14" i="11"/>
  <c r="O52" i="11" s="1"/>
  <c r="O16" i="11"/>
  <c r="O76" i="11" s="1"/>
  <c r="P2" i="7"/>
  <c r="O124" i="7"/>
  <c r="Z90" i="11"/>
  <c r="Z89" i="11" s="1"/>
  <c r="Z78" i="11"/>
  <c r="Z77" i="11" s="1"/>
  <c r="Z66" i="11"/>
  <c r="Z65" i="11" s="1"/>
  <c r="Z54" i="11"/>
  <c r="Z53" i="11" s="1"/>
  <c r="O109" i="7"/>
  <c r="N148" i="11"/>
  <c r="O34" i="7"/>
  <c r="O41" i="7" s="1"/>
  <c r="M28" i="11"/>
  <c r="N28" i="11"/>
  <c r="N146" i="11"/>
  <c r="P48" i="7"/>
  <c r="P58" i="7" s="1"/>
  <c r="P57" i="7"/>
  <c r="O154" i="7"/>
  <c r="O160" i="7" s="1"/>
  <c r="O163" i="7"/>
  <c r="P37" i="10"/>
  <c r="P23" i="10"/>
  <c r="P4" i="11" s="1"/>
  <c r="Q21" i="10"/>
  <c r="Q1" i="11" s="1"/>
  <c r="M108" i="11"/>
  <c r="M146" i="11"/>
  <c r="M147" i="11"/>
  <c r="N110" i="11"/>
  <c r="N26" i="11"/>
  <c r="N20" i="11" s="1"/>
  <c r="L84" i="11"/>
  <c r="M20" i="11"/>
  <c r="M150" i="11"/>
  <c r="P39" i="10"/>
  <c r="P35" i="10"/>
  <c r="P41" i="10"/>
  <c r="P44" i="10"/>
  <c r="P36" i="10"/>
  <c r="N108" i="11"/>
  <c r="M120" i="11"/>
  <c r="M80" i="11"/>
  <c r="M141" i="11" s="1"/>
  <c r="M79" i="11"/>
  <c r="M154" i="11" s="1"/>
  <c r="M75" i="11"/>
  <c r="M109" i="11"/>
  <c r="M102" i="11"/>
  <c r="M160" i="11"/>
  <c r="P2" i="11"/>
  <c r="P46" i="10"/>
  <c r="P19" i="10"/>
  <c r="P24" i="10"/>
  <c r="P38" i="10"/>
  <c r="P43" i="10"/>
  <c r="P40" i="10"/>
  <c r="P45" i="10"/>
  <c r="O79" i="7"/>
  <c r="O86" i="7" s="1"/>
  <c r="O10" i="7"/>
  <c r="Z31" i="10"/>
  <c r="Z30" i="10"/>
  <c r="AA28" i="10"/>
  <c r="AA29" i="10" s="1"/>
  <c r="M57" i="11"/>
  <c r="M59" i="11"/>
  <c r="M165" i="11" s="1"/>
  <c r="P63" i="7"/>
  <c r="P73" i="7" s="1"/>
  <c r="P69" i="7"/>
  <c r="P153" i="7"/>
  <c r="P159" i="7"/>
  <c r="P108" i="7"/>
  <c r="P118" i="7" s="1"/>
  <c r="P114" i="7"/>
  <c r="P138" i="7"/>
  <c r="P148" i="7" s="1"/>
  <c r="P144" i="7"/>
  <c r="P93" i="7"/>
  <c r="P103" i="7" s="1"/>
  <c r="P99" i="7"/>
  <c r="P168" i="7"/>
  <c r="P178" i="7" s="1"/>
  <c r="P174" i="7"/>
  <c r="P123" i="7"/>
  <c r="P133" i="7" s="1"/>
  <c r="P129" i="7"/>
  <c r="P78" i="7"/>
  <c r="P88" i="7" s="1"/>
  <c r="P84" i="7"/>
  <c r="P33" i="7"/>
  <c r="AA3" i="7"/>
  <c r="AB20" i="10"/>
  <c r="AA3" i="11"/>
  <c r="P131" i="11"/>
  <c r="P229" i="11"/>
  <c r="P214" i="11"/>
  <c r="P261" i="11" s="1"/>
  <c r="P18" i="7" s="1"/>
  <c r="P230" i="11"/>
  <c r="P39" i="7"/>
  <c r="O130" i="7" l="1"/>
  <c r="O131" i="7"/>
  <c r="O115" i="7"/>
  <c r="O116" i="7"/>
  <c r="Q22" i="10"/>
  <c r="Q46" i="10" s="1"/>
  <c r="O19" i="11"/>
  <c r="M134" i="11"/>
  <c r="N55" i="11"/>
  <c r="N152" i="11" s="1"/>
  <c r="O40" i="7"/>
  <c r="P12" i="11"/>
  <c r="P323" i="11"/>
  <c r="P324" i="11"/>
  <c r="AA66" i="11"/>
  <c r="AA65" i="11" s="1"/>
  <c r="AA90" i="11"/>
  <c r="AA89" i="11" s="1"/>
  <c r="AA78" i="11"/>
  <c r="AA77" i="11" s="1"/>
  <c r="AA54" i="11"/>
  <c r="AA53" i="11" s="1"/>
  <c r="O148" i="11"/>
  <c r="P4" i="7"/>
  <c r="O133" i="11"/>
  <c r="P34" i="7"/>
  <c r="P41" i="7" s="1"/>
  <c r="P43" i="7"/>
  <c r="P154" i="7"/>
  <c r="P160" i="7" s="1"/>
  <c r="P163" i="7"/>
  <c r="Q1" i="7"/>
  <c r="Q82" i="7" s="1"/>
  <c r="Q83" i="7" s="1"/>
  <c r="Q27" i="10"/>
  <c r="P11" i="11"/>
  <c r="P210" i="11"/>
  <c r="P115" i="11"/>
  <c r="P35" i="11"/>
  <c r="P9" i="11"/>
  <c r="P8" i="11"/>
  <c r="P10" i="11"/>
  <c r="O110" i="11"/>
  <c r="O26" i="11"/>
  <c r="M112" i="11"/>
  <c r="M93" i="11"/>
  <c r="M137" i="11" s="1"/>
  <c r="M95" i="11"/>
  <c r="M96" i="11" s="1"/>
  <c r="M163" i="11"/>
  <c r="M105" i="11"/>
  <c r="M119" i="11"/>
  <c r="J206" i="11"/>
  <c r="P48" i="10"/>
  <c r="P124" i="7"/>
  <c r="P131" i="7" s="1"/>
  <c r="P169" i="7"/>
  <c r="P175" i="7" s="1"/>
  <c r="P79" i="7"/>
  <c r="P85" i="7" s="1"/>
  <c r="O85" i="7"/>
  <c r="P109" i="7"/>
  <c r="P116" i="7" s="1"/>
  <c r="P285" i="11"/>
  <c r="P176" i="11"/>
  <c r="AA31" i="10"/>
  <c r="AA30" i="10"/>
  <c r="AB28" i="10"/>
  <c r="AB29" i="10" s="1"/>
  <c r="M60" i="11"/>
  <c r="P171" i="11"/>
  <c r="N51" i="11"/>
  <c r="N56" i="11"/>
  <c r="N139" i="11" s="1"/>
  <c r="P176" i="7"/>
  <c r="P10" i="7"/>
  <c r="AB3" i="11"/>
  <c r="AB3" i="7"/>
  <c r="AC20" i="10"/>
  <c r="Q2" i="11"/>
  <c r="Q2" i="7"/>
  <c r="Q41" i="10"/>
  <c r="Q40" i="10"/>
  <c r="Q43" i="10"/>
  <c r="Q36" i="10"/>
  <c r="Q38" i="10" l="1"/>
  <c r="Q44" i="10"/>
  <c r="Q37" i="10"/>
  <c r="Q39" i="10"/>
  <c r="Q42" i="10"/>
  <c r="Q35" i="10"/>
  <c r="Q19" i="10"/>
  <c r="R21" i="10"/>
  <c r="R22" i="10" s="1"/>
  <c r="Q23" i="10"/>
  <c r="Q4" i="11" s="1"/>
  <c r="Q45" i="10"/>
  <c r="Q24" i="10"/>
  <c r="O20" i="11"/>
  <c r="P14" i="11"/>
  <c r="P52" i="11" s="1"/>
  <c r="AB54" i="11" s="1"/>
  <c r="AB53" i="11" s="1"/>
  <c r="P16" i="11"/>
  <c r="P76" i="11" s="1"/>
  <c r="P17" i="11"/>
  <c r="P88" i="11" s="1"/>
  <c r="P15" i="11"/>
  <c r="P64" i="11" s="1"/>
  <c r="P13" i="11"/>
  <c r="P40" i="11" s="1"/>
  <c r="P42" i="11" s="1"/>
  <c r="Q67" i="7"/>
  <c r="Q97" i="7"/>
  <c r="Q142" i="7"/>
  <c r="Q7" i="7"/>
  <c r="Q131" i="11" s="1"/>
  <c r="Q157" i="7"/>
  <c r="Q158" i="7" s="1"/>
  <c r="Q77" i="7"/>
  <c r="Q87" i="7" s="1"/>
  <c r="Q137" i="7"/>
  <c r="Q147" i="7" s="1"/>
  <c r="AB66" i="11"/>
  <c r="AB65" i="11" s="1"/>
  <c r="AB90" i="11"/>
  <c r="AB89" i="11" s="1"/>
  <c r="AB78" i="11"/>
  <c r="AB77" i="11" s="1"/>
  <c r="P40" i="7"/>
  <c r="O28" i="11"/>
  <c r="O146" i="11"/>
  <c r="Q8" i="7"/>
  <c r="Q214" i="11" s="1"/>
  <c r="Q261" i="11" s="1"/>
  <c r="Q18" i="7" s="1"/>
  <c r="Q107" i="7"/>
  <c r="Q112" i="7"/>
  <c r="Q113" i="7" s="1"/>
  <c r="Q172" i="7"/>
  <c r="Q173" i="7" s="1"/>
  <c r="Q47" i="7"/>
  <c r="Q122" i="7"/>
  <c r="Q127" i="7"/>
  <c r="Q128" i="7" s="1"/>
  <c r="Q62" i="7"/>
  <c r="Q152" i="7"/>
  <c r="Q37" i="7"/>
  <c r="Q38" i="7" s="1"/>
  <c r="Q92" i="7"/>
  <c r="Q167" i="7"/>
  <c r="Q177" i="7" s="1"/>
  <c r="Q52" i="7"/>
  <c r="Q32" i="7"/>
  <c r="M149" i="11"/>
  <c r="N87" i="11"/>
  <c r="M27" i="11"/>
  <c r="O108" i="11"/>
  <c r="N91" i="11"/>
  <c r="N155" i="11" s="1"/>
  <c r="N92" i="11"/>
  <c r="N142" i="11" s="1"/>
  <c r="M81" i="11"/>
  <c r="M136" i="11" s="1"/>
  <c r="M104" i="11"/>
  <c r="M162" i="11"/>
  <c r="M83" i="11"/>
  <c r="M111" i="11"/>
  <c r="N117" i="11"/>
  <c r="P115" i="7"/>
  <c r="P130" i="7"/>
  <c r="P86" i="7"/>
  <c r="AB31" i="10"/>
  <c r="AB30" i="10"/>
  <c r="AC28" i="10"/>
  <c r="AC29" i="10" s="1"/>
  <c r="AD20" i="10"/>
  <c r="AC3" i="11"/>
  <c r="AC3" i="7"/>
  <c r="R27" i="10" l="1"/>
  <c r="R1" i="11"/>
  <c r="R1" i="7"/>
  <c r="Q48" i="10"/>
  <c r="Q99" i="7"/>
  <c r="Q84" i="7"/>
  <c r="Q78" i="7"/>
  <c r="Q88" i="7" s="1"/>
  <c r="Q229" i="11"/>
  <c r="Q144" i="7"/>
  <c r="Q138" i="7"/>
  <c r="Q4" i="7"/>
  <c r="P19" i="11"/>
  <c r="P133" i="11"/>
  <c r="Q324" i="11"/>
  <c r="Q323" i="11"/>
  <c r="AC66" i="11"/>
  <c r="AC65" i="11" s="1"/>
  <c r="AC90" i="11"/>
  <c r="AC89" i="11" s="1"/>
  <c r="AC78" i="11"/>
  <c r="AC77" i="11" s="1"/>
  <c r="P148" i="11"/>
  <c r="P28" i="11"/>
  <c r="N147" i="11"/>
  <c r="P146" i="11"/>
  <c r="Q33" i="7"/>
  <c r="Q43" i="7" s="1"/>
  <c r="Q42" i="7"/>
  <c r="Q123" i="7"/>
  <c r="Q133" i="7" s="1"/>
  <c r="Q132" i="7"/>
  <c r="Q153" i="7"/>
  <c r="Q163" i="7" s="1"/>
  <c r="Q162" i="7"/>
  <c r="Q93" i="7"/>
  <c r="Q103" i="7" s="1"/>
  <c r="Q102" i="7"/>
  <c r="Q108" i="7"/>
  <c r="Q118" i="7" s="1"/>
  <c r="Q117" i="7"/>
  <c r="Q69" i="7"/>
  <c r="Q72" i="7"/>
  <c r="Q48" i="7"/>
  <c r="Q58" i="7" s="1"/>
  <c r="Q57" i="7"/>
  <c r="Q174" i="7"/>
  <c r="Q230" i="11"/>
  <c r="Q159" i="7"/>
  <c r="Q168" i="7"/>
  <c r="Q178" i="7" s="1"/>
  <c r="Q114" i="7"/>
  <c r="Q63" i="7"/>
  <c r="Q129" i="7"/>
  <c r="Q39" i="7"/>
  <c r="Q10" i="11"/>
  <c r="Q15" i="11" s="1"/>
  <c r="Q64" i="11" s="1"/>
  <c r="Q9" i="11"/>
  <c r="Q14" i="11" s="1"/>
  <c r="Q52" i="11" s="1"/>
  <c r="AC54" i="11" s="1"/>
  <c r="AC53" i="11" s="1"/>
  <c r="Q210" i="11"/>
  <c r="Q115" i="11"/>
  <c r="Q35" i="11"/>
  <c r="Q12" i="11"/>
  <c r="Q17" i="11" s="1"/>
  <c r="Q88" i="11" s="1"/>
  <c r="Q11" i="11"/>
  <c r="Q16" i="11" s="1"/>
  <c r="Q76" i="11" s="1"/>
  <c r="Q8" i="11"/>
  <c r="Q13" i="11" s="1"/>
  <c r="P110" i="11"/>
  <c r="P26" i="11"/>
  <c r="M84" i="11"/>
  <c r="N150" i="11"/>
  <c r="P108" i="11"/>
  <c r="N120" i="11"/>
  <c r="N80" i="11"/>
  <c r="N141" i="11" s="1"/>
  <c r="N75" i="11"/>
  <c r="N79" i="11"/>
  <c r="N154" i="11" s="1"/>
  <c r="N109" i="11"/>
  <c r="N102" i="11"/>
  <c r="N160" i="11"/>
  <c r="Q285" i="11"/>
  <c r="Q176" i="11"/>
  <c r="AC31" i="10"/>
  <c r="AC30" i="10"/>
  <c r="AD28" i="10"/>
  <c r="AD29" i="10" s="1"/>
  <c r="Q171" i="11"/>
  <c r="N59" i="11"/>
  <c r="N165" i="11" s="1"/>
  <c r="N57" i="11"/>
  <c r="N134" i="11" s="1"/>
  <c r="Q176" i="7"/>
  <c r="R157" i="7"/>
  <c r="R158" i="7" s="1"/>
  <c r="R97" i="7"/>
  <c r="R37" i="7"/>
  <c r="R38" i="7" s="1"/>
  <c r="R142" i="7"/>
  <c r="R127" i="7"/>
  <c r="R128" i="7" s="1"/>
  <c r="R52" i="7"/>
  <c r="R82" i="7"/>
  <c r="R83" i="7" s="1"/>
  <c r="R112" i="7"/>
  <c r="R113" i="7" s="1"/>
  <c r="R67" i="7"/>
  <c r="R172" i="7"/>
  <c r="R173" i="7" s="1"/>
  <c r="AD3" i="7"/>
  <c r="AD3" i="11"/>
  <c r="AE20" i="10"/>
  <c r="R152" i="7"/>
  <c r="R162" i="7" s="1"/>
  <c r="R122" i="7"/>
  <c r="R132" i="7" s="1"/>
  <c r="R107" i="7"/>
  <c r="R117" i="7" s="1"/>
  <c r="R167" i="7"/>
  <c r="R177" i="7" s="1"/>
  <c r="R137" i="7"/>
  <c r="R147" i="7" s="1"/>
  <c r="R7" i="7"/>
  <c r="R2" i="11"/>
  <c r="S21" i="10"/>
  <c r="R36" i="10"/>
  <c r="R44" i="10"/>
  <c r="R38" i="10"/>
  <c r="R46" i="10"/>
  <c r="R39" i="10"/>
  <c r="R41" i="10"/>
  <c r="R23" i="10"/>
  <c r="R19" i="10"/>
  <c r="R35" i="10"/>
  <c r="R37" i="10"/>
  <c r="R40" i="10"/>
  <c r="R2" i="7"/>
  <c r="R43" i="10"/>
  <c r="R45" i="10"/>
  <c r="R24" i="10"/>
  <c r="R42" i="10"/>
  <c r="R77" i="7"/>
  <c r="R87" i="7" s="1"/>
  <c r="R32" i="7"/>
  <c r="R92" i="7"/>
  <c r="R102" i="7" s="1"/>
  <c r="R47" i="7"/>
  <c r="R62" i="7"/>
  <c r="R72" i="7" s="1"/>
  <c r="R8" i="7"/>
  <c r="Q79" i="7" l="1"/>
  <c r="Q85" i="7" s="1"/>
  <c r="Q148" i="7"/>
  <c r="Q34" i="7"/>
  <c r="Q41" i="7" s="1"/>
  <c r="P20" i="11"/>
  <c r="Q109" i="7"/>
  <c r="AD66" i="11"/>
  <c r="AD65" i="11" s="1"/>
  <c r="AD78" i="11"/>
  <c r="AD77" i="11" s="1"/>
  <c r="AD90" i="11"/>
  <c r="AD89" i="11" s="1"/>
  <c r="Q148" i="11"/>
  <c r="Q169" i="7"/>
  <c r="Q175" i="7" s="1"/>
  <c r="Q124" i="7"/>
  <c r="Q154" i="7"/>
  <c r="Q160" i="7" s="1"/>
  <c r="R33" i="7"/>
  <c r="R43" i="7" s="1"/>
  <c r="R42" i="7"/>
  <c r="R48" i="7"/>
  <c r="R58" i="7" s="1"/>
  <c r="R57" i="7"/>
  <c r="Q10" i="7"/>
  <c r="Q73" i="7"/>
  <c r="Q19" i="11"/>
  <c r="Q110" i="11"/>
  <c r="O51" i="11"/>
  <c r="N112" i="11"/>
  <c r="N93" i="11"/>
  <c r="N137" i="11" s="1"/>
  <c r="N95" i="11"/>
  <c r="N96" i="11" s="1"/>
  <c r="N105" i="11"/>
  <c r="N163" i="11"/>
  <c r="K206" i="11"/>
  <c r="N119" i="11"/>
  <c r="Q86" i="7"/>
  <c r="AD30" i="10"/>
  <c r="AD31" i="10"/>
  <c r="S27" i="10"/>
  <c r="AE28" i="10"/>
  <c r="AE29" i="10" s="1"/>
  <c r="N60" i="11"/>
  <c r="O56" i="11"/>
  <c r="O139" i="11" s="1"/>
  <c r="O55" i="11"/>
  <c r="O152" i="11" s="1"/>
  <c r="R63" i="7"/>
  <c r="R73" i="7" s="1"/>
  <c r="R69" i="7"/>
  <c r="R138" i="7"/>
  <c r="R148" i="7" s="1"/>
  <c r="R144" i="7"/>
  <c r="R168" i="7"/>
  <c r="R178" i="7" s="1"/>
  <c r="R174" i="7"/>
  <c r="R93" i="7"/>
  <c r="R103" i="7" s="1"/>
  <c r="R99" i="7"/>
  <c r="R108" i="7"/>
  <c r="R114" i="7"/>
  <c r="R123" i="7"/>
  <c r="R133" i="7" s="1"/>
  <c r="R129" i="7"/>
  <c r="R153" i="7"/>
  <c r="R163" i="7" s="1"/>
  <c r="R159" i="7"/>
  <c r="R78" i="7"/>
  <c r="R84" i="7"/>
  <c r="AE3" i="11"/>
  <c r="AE3" i="7"/>
  <c r="AF20" i="10"/>
  <c r="R214" i="11"/>
  <c r="R261" i="11" s="1"/>
  <c r="R18" i="7" s="1"/>
  <c r="R230" i="11"/>
  <c r="R131" i="11"/>
  <c r="R229" i="11"/>
  <c r="Q40" i="11"/>
  <c r="Q42" i="11" s="1"/>
  <c r="R48" i="10"/>
  <c r="R4" i="11"/>
  <c r="R4" i="7"/>
  <c r="R39" i="7"/>
  <c r="S1" i="7"/>
  <c r="S1" i="11"/>
  <c r="S22" i="10"/>
  <c r="Q40" i="7" l="1"/>
  <c r="Q130" i="7"/>
  <c r="Q131" i="7"/>
  <c r="Q115" i="7"/>
  <c r="Q116" i="7"/>
  <c r="R9" i="11"/>
  <c r="R14" i="11" s="1"/>
  <c r="R323" i="11"/>
  <c r="R324" i="11"/>
  <c r="AE66" i="11"/>
  <c r="AE65" i="11" s="1"/>
  <c r="AE90" i="11"/>
  <c r="AE89" i="11" s="1"/>
  <c r="AE78" i="11"/>
  <c r="AE77" i="11" s="1"/>
  <c r="R34" i="7"/>
  <c r="R41" i="7" s="1"/>
  <c r="Q133" i="11"/>
  <c r="N149" i="11"/>
  <c r="R109" i="7"/>
  <c r="R118" i="7"/>
  <c r="R79" i="7"/>
  <c r="R85" i="7" s="1"/>
  <c r="R88" i="7"/>
  <c r="Q26" i="11"/>
  <c r="Q20" i="11" s="1"/>
  <c r="R12" i="11"/>
  <c r="R17" i="11" s="1"/>
  <c r="R88" i="11" s="1"/>
  <c r="R11" i="11"/>
  <c r="R16" i="11" s="1"/>
  <c r="R8" i="11"/>
  <c r="R13" i="11" s="1"/>
  <c r="R115" i="11"/>
  <c r="R210" i="11"/>
  <c r="R35" i="11"/>
  <c r="R10" i="11"/>
  <c r="R15" i="11" s="1"/>
  <c r="R64" i="11" s="1"/>
  <c r="O87" i="11"/>
  <c r="N27" i="11"/>
  <c r="O92" i="11"/>
  <c r="O142" i="11" s="1"/>
  <c r="O91" i="11"/>
  <c r="O155" i="11" s="1"/>
  <c r="N83" i="11"/>
  <c r="N162" i="11"/>
  <c r="N81" i="11"/>
  <c r="N136" i="11" s="1"/>
  <c r="N111" i="11"/>
  <c r="N104" i="11"/>
  <c r="O117" i="11"/>
  <c r="R169" i="7"/>
  <c r="R124" i="7"/>
  <c r="R131" i="7" s="1"/>
  <c r="R154" i="7"/>
  <c r="R285" i="11"/>
  <c r="R176" i="11"/>
  <c r="AE31" i="10"/>
  <c r="AE30" i="10"/>
  <c r="AF28" i="10"/>
  <c r="AF29" i="10" s="1"/>
  <c r="R171" i="11"/>
  <c r="R176" i="7"/>
  <c r="R10" i="7"/>
  <c r="S172" i="7"/>
  <c r="S173" i="7" s="1"/>
  <c r="S157" i="7"/>
  <c r="S158" i="7" s="1"/>
  <c r="S142" i="7"/>
  <c r="S127" i="7"/>
  <c r="S128" i="7" s="1"/>
  <c r="S112" i="7"/>
  <c r="S113" i="7" s="1"/>
  <c r="S67" i="7"/>
  <c r="S37" i="7"/>
  <c r="S38" i="7" s="1"/>
  <c r="S82" i="7"/>
  <c r="S83" i="7" s="1"/>
  <c r="S52" i="7"/>
  <c r="S97" i="7"/>
  <c r="AF3" i="11"/>
  <c r="AG20" i="10"/>
  <c r="AF3" i="7"/>
  <c r="S152" i="7"/>
  <c r="S162" i="7" s="1"/>
  <c r="S107" i="7"/>
  <c r="S117" i="7" s="1"/>
  <c r="S137" i="7"/>
  <c r="S147" i="7" s="1"/>
  <c r="S122" i="7"/>
  <c r="S132" i="7" s="1"/>
  <c r="S167" i="7"/>
  <c r="S177" i="7" s="1"/>
  <c r="S7" i="7"/>
  <c r="S47" i="7"/>
  <c r="S62" i="7"/>
  <c r="S72" i="7" s="1"/>
  <c r="S32" i="7"/>
  <c r="S42" i="7" s="1"/>
  <c r="S77" i="7"/>
  <c r="S87" i="7" s="1"/>
  <c r="S92" i="7"/>
  <c r="S102" i="7" s="1"/>
  <c r="S8" i="7"/>
  <c r="S2" i="11"/>
  <c r="S2" i="7"/>
  <c r="T21" i="10"/>
  <c r="S40" i="10"/>
  <c r="S23" i="10"/>
  <c r="S42" i="10"/>
  <c r="S35" i="10"/>
  <c r="S43" i="10"/>
  <c r="S37" i="10"/>
  <c r="S45" i="10"/>
  <c r="S44" i="10"/>
  <c r="S19" i="10"/>
  <c r="S46" i="10"/>
  <c r="S36" i="10"/>
  <c r="S39" i="10"/>
  <c r="S41" i="10"/>
  <c r="S38" i="10"/>
  <c r="S24" i="10"/>
  <c r="R115" i="7" l="1"/>
  <c r="R116" i="7"/>
  <c r="R40" i="7"/>
  <c r="AF66" i="11"/>
  <c r="AF65" i="11" s="1"/>
  <c r="AF90" i="11"/>
  <c r="AF89" i="11" s="1"/>
  <c r="AF78" i="11"/>
  <c r="AF77" i="11" s="1"/>
  <c r="R148" i="11"/>
  <c r="Q28" i="11"/>
  <c r="Q146" i="11"/>
  <c r="O147" i="11"/>
  <c r="S48" i="7"/>
  <c r="S58" i="7" s="1"/>
  <c r="S57" i="7"/>
  <c r="R19" i="11"/>
  <c r="R110" i="11"/>
  <c r="O75" i="11"/>
  <c r="N84" i="11"/>
  <c r="O150" i="11"/>
  <c r="Q108" i="11"/>
  <c r="O120" i="11"/>
  <c r="O79" i="11"/>
  <c r="O154" i="11" s="1"/>
  <c r="O80" i="11"/>
  <c r="O141" i="11" s="1"/>
  <c r="O109" i="11"/>
  <c r="O102" i="11"/>
  <c r="O160" i="11"/>
  <c r="R175" i="7"/>
  <c r="R130" i="7"/>
  <c r="R160" i="7"/>
  <c r="R86" i="7"/>
  <c r="R76" i="11"/>
  <c r="R52" i="11"/>
  <c r="AD54" i="11" s="1"/>
  <c r="AD53" i="11" s="1"/>
  <c r="AF31" i="10"/>
  <c r="AG28" i="10"/>
  <c r="AG29" i="10" s="1"/>
  <c r="T27" i="10"/>
  <c r="AF30" i="10"/>
  <c r="O57" i="11"/>
  <c r="O134" i="11" s="1"/>
  <c r="O59" i="11"/>
  <c r="O165" i="11" s="1"/>
  <c r="S63" i="7"/>
  <c r="S73" i="7" s="1"/>
  <c r="S69" i="7"/>
  <c r="S168" i="7"/>
  <c r="S178" i="7" s="1"/>
  <c r="S174" i="7"/>
  <c r="S93" i="7"/>
  <c r="S99" i="7"/>
  <c r="S123" i="7"/>
  <c r="S129" i="7"/>
  <c r="S138" i="7"/>
  <c r="S148" i="7" s="1"/>
  <c r="S144" i="7"/>
  <c r="S108" i="7"/>
  <c r="S118" i="7" s="1"/>
  <c r="S114" i="7"/>
  <c r="S153" i="7"/>
  <c r="S163" i="7" s="1"/>
  <c r="S159" i="7"/>
  <c r="S78" i="7"/>
  <c r="S84" i="7"/>
  <c r="S33" i="7"/>
  <c r="S39" i="7"/>
  <c r="AG3" i="7"/>
  <c r="AH20" i="10"/>
  <c r="AG3" i="11"/>
  <c r="S131" i="11"/>
  <c r="S229" i="11"/>
  <c r="S214" i="11"/>
  <c r="S261" i="11" s="1"/>
  <c r="S18" i="7" s="1"/>
  <c r="S230" i="11"/>
  <c r="R40" i="11"/>
  <c r="R42" i="11" s="1"/>
  <c r="S4" i="11"/>
  <c r="S4" i="7"/>
  <c r="T1" i="7"/>
  <c r="T1" i="11"/>
  <c r="T22" i="10"/>
  <c r="S48" i="10"/>
  <c r="S323" i="11" l="1"/>
  <c r="S324" i="11"/>
  <c r="AG90" i="11"/>
  <c r="AG89" i="11" s="1"/>
  <c r="AG78" i="11"/>
  <c r="AG77" i="11" s="1"/>
  <c r="AG66" i="11"/>
  <c r="AG65" i="11" s="1"/>
  <c r="R133" i="11"/>
  <c r="S124" i="7"/>
  <c r="S133" i="7"/>
  <c r="S34" i="7"/>
  <c r="S41" i="7" s="1"/>
  <c r="S43" i="7"/>
  <c r="S79" i="7"/>
  <c r="S85" i="7" s="1"/>
  <c r="S88" i="7"/>
  <c r="S103" i="7"/>
  <c r="S8" i="11"/>
  <c r="S13" i="11" s="1"/>
  <c r="R26" i="11"/>
  <c r="R20" i="11" s="1"/>
  <c r="S11" i="11"/>
  <c r="S16" i="11" s="1"/>
  <c r="S76" i="11" s="1"/>
  <c r="S10" i="11"/>
  <c r="S15" i="11" s="1"/>
  <c r="S64" i="11" s="1"/>
  <c r="S115" i="11"/>
  <c r="S210" i="11"/>
  <c r="S35" i="11"/>
  <c r="S9" i="11"/>
  <c r="S14" i="11" s="1"/>
  <c r="S52" i="11" s="1"/>
  <c r="AE54" i="11" s="1"/>
  <c r="AE53" i="11" s="1"/>
  <c r="S12" i="11"/>
  <c r="S17" i="11" s="1"/>
  <c r="S88" i="11" s="1"/>
  <c r="P51" i="11"/>
  <c r="O112" i="11"/>
  <c r="O105" i="11"/>
  <c r="O95" i="11"/>
  <c r="O96" i="11" s="1"/>
  <c r="O163" i="11"/>
  <c r="O93" i="11"/>
  <c r="O137" i="11" s="1"/>
  <c r="O119" i="11"/>
  <c r="L206" i="11"/>
  <c r="S109" i="7"/>
  <c r="S154" i="7"/>
  <c r="S169" i="7"/>
  <c r="S285" i="11"/>
  <c r="S176" i="11"/>
  <c r="AG30" i="10"/>
  <c r="AG31" i="10"/>
  <c r="AH28" i="10"/>
  <c r="AH29" i="10" s="1"/>
  <c r="O60" i="11"/>
  <c r="S171" i="11"/>
  <c r="P55" i="11"/>
  <c r="P152" i="11" s="1"/>
  <c r="P56" i="11"/>
  <c r="P139" i="11" s="1"/>
  <c r="S176" i="7"/>
  <c r="S10" i="7"/>
  <c r="T172" i="7"/>
  <c r="T173" i="7" s="1"/>
  <c r="T157" i="7"/>
  <c r="T158" i="7" s="1"/>
  <c r="T142" i="7"/>
  <c r="T127" i="7"/>
  <c r="T128" i="7" s="1"/>
  <c r="T112" i="7"/>
  <c r="T113" i="7" s="1"/>
  <c r="T67" i="7"/>
  <c r="T37" i="7"/>
  <c r="T38" i="7" s="1"/>
  <c r="T97" i="7"/>
  <c r="T82" i="7"/>
  <c r="T83" i="7" s="1"/>
  <c r="AH3" i="11"/>
  <c r="AH3" i="7"/>
  <c r="AI20" i="10"/>
  <c r="T152" i="7"/>
  <c r="T162" i="7" s="1"/>
  <c r="T137" i="7"/>
  <c r="T147" i="7" s="1"/>
  <c r="T167" i="7"/>
  <c r="T177" i="7" s="1"/>
  <c r="T107" i="7"/>
  <c r="T117" i="7" s="1"/>
  <c r="T122" i="7"/>
  <c r="T132" i="7" s="1"/>
  <c r="T7" i="7"/>
  <c r="T2" i="11"/>
  <c r="T2" i="7"/>
  <c r="T23" i="10"/>
  <c r="T42" i="10"/>
  <c r="U21" i="10"/>
  <c r="T36" i="10"/>
  <c r="T44" i="10"/>
  <c r="T37" i="10"/>
  <c r="T45" i="10"/>
  <c r="T39" i="10"/>
  <c r="T46" i="10"/>
  <c r="T19" i="10"/>
  <c r="T35" i="10"/>
  <c r="T24" i="10"/>
  <c r="T38" i="10"/>
  <c r="T41" i="10"/>
  <c r="T43" i="10"/>
  <c r="T40" i="10"/>
  <c r="T77" i="7"/>
  <c r="T87" i="7" s="1"/>
  <c r="T32" i="7"/>
  <c r="T47" i="7"/>
  <c r="T62" i="7"/>
  <c r="T72" i="7" s="1"/>
  <c r="T92" i="7"/>
  <c r="T102" i="7" s="1"/>
  <c r="T8" i="7"/>
  <c r="S130" i="7" l="1"/>
  <c r="S131" i="7"/>
  <c r="S115" i="7"/>
  <c r="S116" i="7"/>
  <c r="AH66" i="11"/>
  <c r="AH65" i="11" s="1"/>
  <c r="AH90" i="11"/>
  <c r="AH89" i="11" s="1"/>
  <c r="AH78" i="11"/>
  <c r="AH77" i="11" s="1"/>
  <c r="S40" i="7"/>
  <c r="S148" i="11"/>
  <c r="R28" i="11"/>
  <c r="O149" i="11"/>
  <c r="R146" i="11"/>
  <c r="T33" i="7"/>
  <c r="T43" i="7" s="1"/>
  <c r="T42" i="7"/>
  <c r="T48" i="7"/>
  <c r="T58" i="7" s="1"/>
  <c r="T57" i="7"/>
  <c r="S19" i="11"/>
  <c r="P87" i="11"/>
  <c r="S110" i="11"/>
  <c r="O27" i="11"/>
  <c r="R108" i="11"/>
  <c r="O162" i="11"/>
  <c r="P91" i="11"/>
  <c r="P155" i="11" s="1"/>
  <c r="P92" i="11"/>
  <c r="P142" i="11" s="1"/>
  <c r="O104" i="11"/>
  <c r="O83" i="11"/>
  <c r="O111" i="11"/>
  <c r="O81" i="11"/>
  <c r="O136" i="11" s="1"/>
  <c r="P117" i="11"/>
  <c r="S175" i="7"/>
  <c r="S160" i="7"/>
  <c r="S86" i="7"/>
  <c r="AH31" i="10"/>
  <c r="AH30" i="10"/>
  <c r="U27" i="10"/>
  <c r="AI28" i="10"/>
  <c r="AI29" i="10" s="1"/>
  <c r="T63" i="7"/>
  <c r="T73" i="7" s="1"/>
  <c r="T69" i="7"/>
  <c r="T123" i="7"/>
  <c r="T133" i="7" s="1"/>
  <c r="T129" i="7"/>
  <c r="T93" i="7"/>
  <c r="T103" i="7" s="1"/>
  <c r="T99" i="7"/>
  <c r="T108" i="7"/>
  <c r="T118" i="7" s="1"/>
  <c r="T114" i="7"/>
  <c r="T168" i="7"/>
  <c r="T178" i="7" s="1"/>
  <c r="T174" i="7"/>
  <c r="T138" i="7"/>
  <c r="T144" i="7"/>
  <c r="T153" i="7"/>
  <c r="T163" i="7" s="1"/>
  <c r="T159" i="7"/>
  <c r="T78" i="7"/>
  <c r="T84" i="7"/>
  <c r="AJ20" i="10"/>
  <c r="AI3" i="11"/>
  <c r="AI3" i="7"/>
  <c r="T214" i="11"/>
  <c r="T261" i="11" s="1"/>
  <c r="T18" i="7" s="1"/>
  <c r="T230" i="11"/>
  <c r="T131" i="11"/>
  <c r="T229" i="11"/>
  <c r="S40" i="11"/>
  <c r="S42" i="11" s="1"/>
  <c r="T39" i="7"/>
  <c r="U1" i="7"/>
  <c r="U1" i="11"/>
  <c r="U22" i="10"/>
  <c r="T4" i="11"/>
  <c r="T4" i="7"/>
  <c r="T48" i="10"/>
  <c r="T12" i="11" l="1"/>
  <c r="T17" i="11" s="1"/>
  <c r="T88" i="11" s="1"/>
  <c r="T323" i="11"/>
  <c r="T324" i="11"/>
  <c r="AI66" i="11"/>
  <c r="AI65" i="11" s="1"/>
  <c r="AI78" i="11"/>
  <c r="AI77" i="11" s="1"/>
  <c r="AI90" i="11"/>
  <c r="AI89" i="11" s="1"/>
  <c r="T34" i="7"/>
  <c r="T40" i="7" s="1"/>
  <c r="S133" i="11"/>
  <c r="P147" i="11"/>
  <c r="T79" i="7"/>
  <c r="T88" i="7"/>
  <c r="T148" i="7"/>
  <c r="T210" i="11"/>
  <c r="T115" i="11"/>
  <c r="T35" i="11"/>
  <c r="T10" i="11"/>
  <c r="T15" i="11" s="1"/>
  <c r="T8" i="11"/>
  <c r="T11" i="11"/>
  <c r="T16" i="11" s="1"/>
  <c r="T76" i="11" s="1"/>
  <c r="T9" i="11"/>
  <c r="T14" i="11" s="1"/>
  <c r="T52" i="11" s="1"/>
  <c r="AF54" i="11" s="1"/>
  <c r="AF53" i="11" s="1"/>
  <c r="S26" i="11"/>
  <c r="S20" i="11" s="1"/>
  <c r="O84" i="11"/>
  <c r="P150" i="11"/>
  <c r="P120" i="11"/>
  <c r="P80" i="11"/>
  <c r="P141" i="11" s="1"/>
  <c r="P79" i="11"/>
  <c r="P154" i="11" s="1"/>
  <c r="P75" i="11"/>
  <c r="P109" i="11"/>
  <c r="P102" i="11"/>
  <c r="P160" i="11"/>
  <c r="T109" i="7"/>
  <c r="T116" i="7" s="1"/>
  <c r="T169" i="7"/>
  <c r="T124" i="7"/>
  <c r="T154" i="7"/>
  <c r="T285" i="11"/>
  <c r="T176" i="11"/>
  <c r="AI31" i="10"/>
  <c r="AI30" i="10"/>
  <c r="AJ28" i="10"/>
  <c r="AJ29" i="10" s="1"/>
  <c r="T171" i="11"/>
  <c r="P59" i="11"/>
  <c r="P165" i="11" s="1"/>
  <c r="P57" i="11"/>
  <c r="P134" i="11" s="1"/>
  <c r="T176" i="7"/>
  <c r="T10" i="7"/>
  <c r="T85" i="7"/>
  <c r="U172" i="7"/>
  <c r="U173" i="7" s="1"/>
  <c r="U157" i="7"/>
  <c r="U158" i="7" s="1"/>
  <c r="U142" i="7"/>
  <c r="U127" i="7"/>
  <c r="U128" i="7" s="1"/>
  <c r="U112" i="7"/>
  <c r="U113" i="7" s="1"/>
  <c r="U67" i="7"/>
  <c r="U37" i="7"/>
  <c r="U38" i="7" s="1"/>
  <c r="U97" i="7"/>
  <c r="U82" i="7"/>
  <c r="U83" i="7" s="1"/>
  <c r="AJ3" i="7"/>
  <c r="AJ3" i="11"/>
  <c r="AK20" i="10"/>
  <c r="U137" i="7"/>
  <c r="U147" i="7" s="1"/>
  <c r="U167" i="7"/>
  <c r="U177" i="7" s="1"/>
  <c r="U122" i="7"/>
  <c r="U132" i="7" s="1"/>
  <c r="U107" i="7"/>
  <c r="U117" i="7" s="1"/>
  <c r="U152" i="7"/>
  <c r="U162" i="7" s="1"/>
  <c r="U7" i="7"/>
  <c r="U2" i="11"/>
  <c r="U2" i="7"/>
  <c r="V21" i="10"/>
  <c r="U36" i="10"/>
  <c r="U44" i="10"/>
  <c r="U38" i="10"/>
  <c r="U46" i="10"/>
  <c r="U39" i="10"/>
  <c r="U41" i="10"/>
  <c r="U23" i="10"/>
  <c r="U35" i="10"/>
  <c r="U37" i="10"/>
  <c r="U40" i="10"/>
  <c r="U43" i="10"/>
  <c r="U19" i="10"/>
  <c r="U45" i="10"/>
  <c r="U24" i="10"/>
  <c r="U42" i="10"/>
  <c r="U77" i="7"/>
  <c r="U87" i="7" s="1"/>
  <c r="U92" i="7"/>
  <c r="U102" i="7" s="1"/>
  <c r="U62" i="7"/>
  <c r="U72" i="7" s="1"/>
  <c r="U47" i="7"/>
  <c r="U32" i="7"/>
  <c r="U8" i="7"/>
  <c r="T130" i="7" l="1"/>
  <c r="T131" i="7"/>
  <c r="T13" i="11"/>
  <c r="T40" i="11" s="1"/>
  <c r="T42" i="11" s="1"/>
  <c r="T41" i="7"/>
  <c r="AJ66" i="11"/>
  <c r="AJ65" i="11" s="1"/>
  <c r="AJ90" i="11"/>
  <c r="AJ89" i="11" s="1"/>
  <c r="AJ78" i="11"/>
  <c r="AJ77" i="11" s="1"/>
  <c r="S28" i="11"/>
  <c r="S146" i="11"/>
  <c r="U33" i="7"/>
  <c r="U43" i="7" s="1"/>
  <c r="U42" i="7"/>
  <c r="U48" i="7"/>
  <c r="U58" i="7" s="1"/>
  <c r="U57" i="7"/>
  <c r="S108" i="11"/>
  <c r="P112" i="11"/>
  <c r="P93" i="11"/>
  <c r="P137" i="11" s="1"/>
  <c r="P95" i="11"/>
  <c r="P96" i="11" s="1"/>
  <c r="P105" i="11"/>
  <c r="P163" i="11"/>
  <c r="P119" i="11"/>
  <c r="M206" i="11"/>
  <c r="T115" i="7"/>
  <c r="T160" i="7"/>
  <c r="T175" i="7"/>
  <c r="T86" i="7"/>
  <c r="AJ31" i="10"/>
  <c r="AJ30" i="10"/>
  <c r="V27" i="10"/>
  <c r="AK28" i="10"/>
  <c r="AK29" i="10" s="1"/>
  <c r="P60" i="11"/>
  <c r="Q51" i="11"/>
  <c r="Q56" i="11"/>
  <c r="Q139" i="11" s="1"/>
  <c r="Q55" i="11"/>
  <c r="Q152" i="11" s="1"/>
  <c r="U63" i="7"/>
  <c r="U73" i="7" s="1"/>
  <c r="U69" i="7"/>
  <c r="U108" i="7"/>
  <c r="U118" i="7" s="1"/>
  <c r="U114" i="7"/>
  <c r="U153" i="7"/>
  <c r="U159" i="7"/>
  <c r="U123" i="7"/>
  <c r="U133" i="7" s="1"/>
  <c r="U129" i="7"/>
  <c r="U93" i="7"/>
  <c r="U99" i="7"/>
  <c r="U168" i="7"/>
  <c r="U178" i="7" s="1"/>
  <c r="U174" i="7"/>
  <c r="U138" i="7"/>
  <c r="U148" i="7" s="1"/>
  <c r="U144" i="7"/>
  <c r="U78" i="7"/>
  <c r="U84" i="7"/>
  <c r="AK3" i="7"/>
  <c r="AK3" i="11"/>
  <c r="AL20" i="10"/>
  <c r="U131" i="11"/>
  <c r="U229" i="11"/>
  <c r="U214" i="11"/>
  <c r="U261" i="11" s="1"/>
  <c r="U18" i="7" s="1"/>
  <c r="U230" i="11"/>
  <c r="T64" i="11"/>
  <c r="V1" i="7"/>
  <c r="V1" i="11"/>
  <c r="V22" i="10"/>
  <c r="U48" i="10"/>
  <c r="U4" i="11"/>
  <c r="U8" i="11" s="1"/>
  <c r="U4" i="7"/>
  <c r="U39" i="7"/>
  <c r="T19" i="11" l="1"/>
  <c r="U13" i="11"/>
  <c r="U34" i="7"/>
  <c r="U40" i="7" s="1"/>
  <c r="U323" i="11"/>
  <c r="U324" i="11"/>
  <c r="AK66" i="11"/>
  <c r="AK65" i="11" s="1"/>
  <c r="AK90" i="11"/>
  <c r="AK89" i="11" s="1"/>
  <c r="AK78" i="11"/>
  <c r="AK77" i="11" s="1"/>
  <c r="T148" i="11"/>
  <c r="T133" i="11"/>
  <c r="P149" i="11"/>
  <c r="U103" i="7"/>
  <c r="U79" i="7"/>
  <c r="U85" i="7" s="1"/>
  <c r="U88" i="7"/>
  <c r="U154" i="7"/>
  <c r="U160" i="7" s="1"/>
  <c r="U163" i="7"/>
  <c r="U9" i="11"/>
  <c r="U14" i="11" s="1"/>
  <c r="U52" i="11" s="1"/>
  <c r="AG54" i="11" s="1"/>
  <c r="AG53" i="11" s="1"/>
  <c r="U115" i="11"/>
  <c r="U210" i="11"/>
  <c r="U35" i="11"/>
  <c r="U12" i="11"/>
  <c r="U17" i="11" s="1"/>
  <c r="U11" i="11"/>
  <c r="U16" i="11" s="1"/>
  <c r="U10" i="11"/>
  <c r="U15" i="11" s="1"/>
  <c r="Q87" i="11"/>
  <c r="T110" i="11"/>
  <c r="T26" i="11"/>
  <c r="P27" i="11"/>
  <c r="Q91" i="11"/>
  <c r="Q155" i="11" s="1"/>
  <c r="Q92" i="11"/>
  <c r="Q142" i="11" s="1"/>
  <c r="P81" i="11"/>
  <c r="P136" i="11" s="1"/>
  <c r="P83" i="11"/>
  <c r="P162" i="11"/>
  <c r="P111" i="11"/>
  <c r="P104" i="11"/>
  <c r="Q117" i="11"/>
  <c r="U109" i="7"/>
  <c r="U124" i="7"/>
  <c r="U131" i="7" s="1"/>
  <c r="U169" i="7"/>
  <c r="U285" i="11"/>
  <c r="H194" i="2" s="1"/>
  <c r="U176" i="11"/>
  <c r="AK31" i="10"/>
  <c r="AK30" i="10"/>
  <c r="AL28" i="10"/>
  <c r="AL29" i="10" s="1"/>
  <c r="U171" i="11"/>
  <c r="U176" i="7"/>
  <c r="U10" i="7"/>
  <c r="V172" i="7"/>
  <c r="V173" i="7" s="1"/>
  <c r="V157" i="7"/>
  <c r="V158" i="7" s="1"/>
  <c r="V142" i="7"/>
  <c r="V127" i="7"/>
  <c r="V128" i="7" s="1"/>
  <c r="V112" i="7"/>
  <c r="V113" i="7" s="1"/>
  <c r="V67" i="7"/>
  <c r="V37" i="7"/>
  <c r="V38" i="7" s="1"/>
  <c r="V97" i="7"/>
  <c r="V82" i="7"/>
  <c r="V83" i="7" s="1"/>
  <c r="V32" i="7"/>
  <c r="V42" i="7" s="1"/>
  <c r="AM20" i="10"/>
  <c r="AL3" i="11"/>
  <c r="AL3" i="7"/>
  <c r="V152" i="7"/>
  <c r="V162" i="7" s="1"/>
  <c r="V167" i="7"/>
  <c r="V177" i="7" s="1"/>
  <c r="V137" i="7"/>
  <c r="V147" i="7" s="1"/>
  <c r="V122" i="7"/>
  <c r="V132" i="7" s="1"/>
  <c r="V107" i="7"/>
  <c r="V117" i="7" s="1"/>
  <c r="V7" i="7"/>
  <c r="V2" i="11"/>
  <c r="V2" i="7"/>
  <c r="W21" i="10"/>
  <c r="V23" i="10"/>
  <c r="V42" i="10"/>
  <c r="V36" i="10"/>
  <c r="V44" i="10"/>
  <c r="V37" i="10"/>
  <c r="V45" i="10"/>
  <c r="V40" i="10"/>
  <c r="V46" i="10"/>
  <c r="V35" i="10"/>
  <c r="V38" i="10"/>
  <c r="V41" i="10"/>
  <c r="V39" i="10"/>
  <c r="V43" i="10"/>
  <c r="V24" i="10"/>
  <c r="V19" i="10"/>
  <c r="V77" i="7"/>
  <c r="V87" i="7" s="1"/>
  <c r="V92" i="7"/>
  <c r="V102" i="7" s="1"/>
  <c r="V47" i="7"/>
  <c r="V8" i="7"/>
  <c r="U115" i="7" l="1"/>
  <c r="U116" i="7"/>
  <c r="U41" i="7"/>
  <c r="T20" i="11"/>
  <c r="AL66" i="11"/>
  <c r="AL65" i="11" s="1"/>
  <c r="AL90" i="11"/>
  <c r="AL89" i="11" s="1"/>
  <c r="AL78" i="11"/>
  <c r="AL77" i="11" s="1"/>
  <c r="T28" i="11"/>
  <c r="Q147" i="11"/>
  <c r="T146" i="11"/>
  <c r="V48" i="7"/>
  <c r="V58" i="7" s="1"/>
  <c r="V57" i="7"/>
  <c r="U19" i="11"/>
  <c r="P84" i="11"/>
  <c r="Q150" i="11"/>
  <c r="T108" i="11"/>
  <c r="Q120" i="11"/>
  <c r="Q79" i="11"/>
  <c r="Q154" i="11" s="1"/>
  <c r="Q75" i="11"/>
  <c r="Q80" i="11"/>
  <c r="Q141" i="11" s="1"/>
  <c r="Q109" i="11"/>
  <c r="Q102" i="11"/>
  <c r="Q160" i="11"/>
  <c r="V39" i="7"/>
  <c r="U175" i="7"/>
  <c r="U130" i="7"/>
  <c r="V33" i="7"/>
  <c r="U86" i="7"/>
  <c r="U88" i="11"/>
  <c r="U76" i="11"/>
  <c r="AL31" i="10"/>
  <c r="AL30" i="10"/>
  <c r="W27" i="10"/>
  <c r="AM28" i="10"/>
  <c r="AM29" i="10" s="1"/>
  <c r="Q59" i="11"/>
  <c r="Q165" i="11" s="1"/>
  <c r="Q57" i="11"/>
  <c r="Q134" i="11" s="1"/>
  <c r="V108" i="7"/>
  <c r="V114" i="7"/>
  <c r="V123" i="7"/>
  <c r="V133" i="7" s="1"/>
  <c r="V129" i="7"/>
  <c r="V138" i="7"/>
  <c r="V144" i="7"/>
  <c r="V168" i="7"/>
  <c r="V174" i="7"/>
  <c r="V93" i="7"/>
  <c r="V103" i="7" s="1"/>
  <c r="V99" i="7"/>
  <c r="V153" i="7"/>
  <c r="V163" i="7" s="1"/>
  <c r="V159" i="7"/>
  <c r="V78" i="7"/>
  <c r="V84" i="7"/>
  <c r="AN20" i="10"/>
  <c r="AM3" i="11"/>
  <c r="AM3" i="7"/>
  <c r="V214" i="11"/>
  <c r="V285" i="11" s="1"/>
  <c r="V230" i="11"/>
  <c r="V131" i="11"/>
  <c r="V229" i="11"/>
  <c r="U64" i="11"/>
  <c r="U40" i="11"/>
  <c r="U42" i="11" s="1"/>
  <c r="V4" i="11"/>
  <c r="V4" i="7"/>
  <c r="V48" i="10"/>
  <c r="W1" i="7"/>
  <c r="W1" i="11"/>
  <c r="W22" i="10"/>
  <c r="V324" i="11" l="1"/>
  <c r="V323" i="11"/>
  <c r="AM66" i="11"/>
  <c r="AM65" i="11" s="1"/>
  <c r="AM90" i="11"/>
  <c r="AM89" i="11" s="1"/>
  <c r="AM78" i="11"/>
  <c r="AM77" i="11" s="1"/>
  <c r="U148" i="11"/>
  <c r="U133" i="11"/>
  <c r="V79" i="7"/>
  <c r="V85" i="7" s="1"/>
  <c r="V88" i="7"/>
  <c r="V148" i="7"/>
  <c r="V34" i="7"/>
  <c r="V40" i="7" s="1"/>
  <c r="V43" i="7"/>
  <c r="V169" i="7"/>
  <c r="V175" i="7" s="1"/>
  <c r="V178" i="7"/>
  <c r="V109" i="7"/>
  <c r="V118" i="7"/>
  <c r="V9" i="11"/>
  <c r="V14" i="11" s="1"/>
  <c r="V8" i="11"/>
  <c r="V13" i="11" s="1"/>
  <c r="V12" i="11"/>
  <c r="V17" i="11" s="1"/>
  <c r="V11" i="11"/>
  <c r="V16" i="11" s="1"/>
  <c r="V115" i="11"/>
  <c r="V210" i="11"/>
  <c r="V35" i="11"/>
  <c r="V10" i="11"/>
  <c r="V15" i="11" s="1"/>
  <c r="U110" i="11"/>
  <c r="U26" i="11"/>
  <c r="U20" i="11" s="1"/>
  <c r="Q112" i="11"/>
  <c r="Q105" i="11"/>
  <c r="Q93" i="11"/>
  <c r="Q137" i="11" s="1"/>
  <c r="Q95" i="11"/>
  <c r="Q96" i="11" s="1"/>
  <c r="Q163" i="11"/>
  <c r="Q119" i="11"/>
  <c r="N206" i="11"/>
  <c r="V154" i="7"/>
  <c r="V160" i="7" s="1"/>
  <c r="V124" i="7"/>
  <c r="V176" i="11"/>
  <c r="AM31" i="10"/>
  <c r="AM30" i="10"/>
  <c r="AN28" i="10"/>
  <c r="AN29" i="10" s="1"/>
  <c r="Q60" i="11"/>
  <c r="V171" i="11"/>
  <c r="R56" i="11"/>
  <c r="R139" i="11" s="1"/>
  <c r="R51" i="11"/>
  <c r="R55" i="11"/>
  <c r="R152" i="11" s="1"/>
  <c r="V176" i="7"/>
  <c r="W172" i="7"/>
  <c r="W173" i="7" s="1"/>
  <c r="W157" i="7"/>
  <c r="W158" i="7" s="1"/>
  <c r="W142" i="7"/>
  <c r="W97" i="7"/>
  <c r="W82" i="7"/>
  <c r="W83" i="7" s="1"/>
  <c r="W127" i="7"/>
  <c r="W128" i="7" s="1"/>
  <c r="W37" i="7"/>
  <c r="W38" i="7" s="1"/>
  <c r="W112" i="7"/>
  <c r="W113" i="7" s="1"/>
  <c r="W67" i="7"/>
  <c r="AO20" i="10"/>
  <c r="AN3" i="11"/>
  <c r="AN3" i="7"/>
  <c r="W32" i="7"/>
  <c r="W42" i="7" s="1"/>
  <c r="W137" i="7"/>
  <c r="W147" i="7" s="1"/>
  <c r="W167" i="7"/>
  <c r="W177" i="7" s="1"/>
  <c r="W107" i="7"/>
  <c r="W117" i="7" s="1"/>
  <c r="W152" i="7"/>
  <c r="W162" i="7" s="1"/>
  <c r="W122" i="7"/>
  <c r="W132" i="7" s="1"/>
  <c r="V261" i="11"/>
  <c r="V18" i="7" s="1"/>
  <c r="W7" i="7"/>
  <c r="W47" i="7"/>
  <c r="W77" i="7"/>
  <c r="W87" i="7" s="1"/>
  <c r="W62" i="7"/>
  <c r="W72" i="7" s="1"/>
  <c r="W92" i="7"/>
  <c r="W102" i="7" s="1"/>
  <c r="W8" i="7"/>
  <c r="W2" i="11"/>
  <c r="W2" i="7"/>
  <c r="W36" i="10"/>
  <c r="X21" i="10"/>
  <c r="W38" i="10"/>
  <c r="W39" i="10"/>
  <c r="W23" i="10"/>
  <c r="W44" i="10"/>
  <c r="W45" i="10"/>
  <c r="W35" i="10"/>
  <c r="W46" i="10"/>
  <c r="W37" i="10"/>
  <c r="W40" i="10"/>
  <c r="W42" i="10"/>
  <c r="W41" i="10"/>
  <c r="W43" i="10"/>
  <c r="W24" i="10"/>
  <c r="W19" i="10"/>
  <c r="V130" i="7" l="1"/>
  <c r="V131" i="7"/>
  <c r="V115" i="7"/>
  <c r="V116" i="7"/>
  <c r="AN66" i="11"/>
  <c r="AN65" i="11" s="1"/>
  <c r="AN90" i="11"/>
  <c r="AN89" i="11" s="1"/>
  <c r="AN78" i="11"/>
  <c r="AN77" i="11" s="1"/>
  <c r="V41" i="7"/>
  <c r="U28" i="11"/>
  <c r="Q149" i="11"/>
  <c r="U146" i="11"/>
  <c r="W48" i="7"/>
  <c r="W58" i="7" s="1"/>
  <c r="W57" i="7"/>
  <c r="V19" i="11"/>
  <c r="R87" i="11"/>
  <c r="Q27" i="11"/>
  <c r="U108" i="11"/>
  <c r="R92" i="11"/>
  <c r="R142" i="11" s="1"/>
  <c r="Q104" i="11"/>
  <c r="R91" i="11"/>
  <c r="R155" i="11" s="1"/>
  <c r="Q83" i="11"/>
  <c r="Q162" i="11"/>
  <c r="Q111" i="11"/>
  <c r="Q81" i="11"/>
  <c r="Q136" i="11" s="1"/>
  <c r="R117" i="11"/>
  <c r="W33" i="7"/>
  <c r="W39" i="7"/>
  <c r="V88" i="11"/>
  <c r="V64" i="11"/>
  <c r="V52" i="11"/>
  <c r="V86" i="7"/>
  <c r="AN31" i="10"/>
  <c r="AN30" i="10"/>
  <c r="AO28" i="10"/>
  <c r="AO29" i="10" s="1"/>
  <c r="X27" i="10"/>
  <c r="W63" i="7"/>
  <c r="W73" i="7" s="1"/>
  <c r="W123" i="7"/>
  <c r="W133" i="7" s="1"/>
  <c r="W129" i="7"/>
  <c r="W93" i="7"/>
  <c r="W103" i="7" s="1"/>
  <c r="W99" i="7"/>
  <c r="W168" i="7"/>
  <c r="W178" i="7" s="1"/>
  <c r="W174" i="7"/>
  <c r="W153" i="7"/>
  <c r="W163" i="7" s="1"/>
  <c r="W159" i="7"/>
  <c r="W108" i="7"/>
  <c r="W118" i="7" s="1"/>
  <c r="W114" i="7"/>
  <c r="W138" i="7"/>
  <c r="W148" i="7" s="1"/>
  <c r="W144" i="7"/>
  <c r="W78" i="7"/>
  <c r="W84" i="7"/>
  <c r="AO3" i="11"/>
  <c r="AP20" i="10"/>
  <c r="AO3" i="7"/>
  <c r="W131" i="11"/>
  <c r="W229" i="11"/>
  <c r="W214" i="11"/>
  <c r="W285" i="11" s="1"/>
  <c r="W230" i="11"/>
  <c r="V40" i="11"/>
  <c r="V42" i="11" s="1"/>
  <c r="W48" i="10"/>
  <c r="W4" i="11"/>
  <c r="W4" i="7"/>
  <c r="X1" i="7"/>
  <c r="X1" i="11"/>
  <c r="X22" i="10"/>
  <c r="W8" i="11" l="1"/>
  <c r="W13" i="11" s="1"/>
  <c r="W323" i="11"/>
  <c r="W324" i="11"/>
  <c r="AO66" i="11"/>
  <c r="AO65" i="11" s="1"/>
  <c r="AO78" i="11"/>
  <c r="AO77" i="11" s="1"/>
  <c r="AO90" i="11"/>
  <c r="AO89" i="11" s="1"/>
  <c r="V148" i="11"/>
  <c r="V133" i="11"/>
  <c r="R147" i="11"/>
  <c r="W79" i="7"/>
  <c r="W88" i="7"/>
  <c r="W34" i="7"/>
  <c r="W40" i="7" s="1"/>
  <c r="W43" i="7"/>
  <c r="W11" i="11"/>
  <c r="W16" i="11" s="1"/>
  <c r="W76" i="11" s="1"/>
  <c r="W9" i="11"/>
  <c r="W14" i="11" s="1"/>
  <c r="W115" i="11"/>
  <c r="W210" i="11"/>
  <c r="W35" i="11"/>
  <c r="W10" i="11"/>
  <c r="W15" i="11" s="1"/>
  <c r="W12" i="11"/>
  <c r="W17" i="11" s="1"/>
  <c r="V110" i="11"/>
  <c r="Q84" i="11"/>
  <c r="R150" i="11"/>
  <c r="R120" i="11"/>
  <c r="R75" i="11"/>
  <c r="R79" i="11"/>
  <c r="R154" i="11" s="1"/>
  <c r="R80" i="11"/>
  <c r="R141" i="11" s="1"/>
  <c r="R109" i="11"/>
  <c r="R102" i="11"/>
  <c r="R160" i="11"/>
  <c r="W109" i="7"/>
  <c r="W116" i="7" s="1"/>
  <c r="W154" i="7"/>
  <c r="W160" i="7" s="1"/>
  <c r="W169" i="7"/>
  <c r="W175" i="7" s="1"/>
  <c r="W124" i="7"/>
  <c r="W131" i="7" s="1"/>
  <c r="V76" i="11"/>
  <c r="W176" i="11"/>
  <c r="AO31" i="10"/>
  <c r="AO30" i="10"/>
  <c r="AP28" i="10"/>
  <c r="AP29" i="10" s="1"/>
  <c r="W171" i="11"/>
  <c r="R57" i="11"/>
  <c r="R134" i="11" s="1"/>
  <c r="R59" i="11"/>
  <c r="R165" i="11" s="1"/>
  <c r="W176" i="7"/>
  <c r="W10" i="7"/>
  <c r="W85" i="7"/>
  <c r="X172" i="7"/>
  <c r="X173" i="7" s="1"/>
  <c r="X157" i="7"/>
  <c r="X158" i="7" s="1"/>
  <c r="X142" i="7"/>
  <c r="X127" i="7"/>
  <c r="X128" i="7" s="1"/>
  <c r="X112" i="7"/>
  <c r="X113" i="7" s="1"/>
  <c r="X67" i="7"/>
  <c r="X37" i="7"/>
  <c r="X38" i="7" s="1"/>
  <c r="X82" i="7"/>
  <c r="X83" i="7" s="1"/>
  <c r="X97" i="7"/>
  <c r="AQ20" i="10"/>
  <c r="AP3" i="11"/>
  <c r="AP3" i="7"/>
  <c r="X32" i="7"/>
  <c r="X167" i="7"/>
  <c r="X177" i="7" s="1"/>
  <c r="X137" i="7"/>
  <c r="X147" i="7" s="1"/>
  <c r="X122" i="7"/>
  <c r="X132" i="7" s="1"/>
  <c r="X152" i="7"/>
  <c r="X162" i="7" s="1"/>
  <c r="X107" i="7"/>
  <c r="X117" i="7" s="1"/>
  <c r="W261" i="11"/>
  <c r="W18" i="7" s="1"/>
  <c r="X7" i="7"/>
  <c r="X2" i="11"/>
  <c r="X2" i="7"/>
  <c r="X38" i="10"/>
  <c r="X46" i="10"/>
  <c r="X39" i="10"/>
  <c r="X40" i="10"/>
  <c r="X41" i="10"/>
  <c r="X23" i="10"/>
  <c r="X42" i="10"/>
  <c r="Y21" i="10"/>
  <c r="X36" i="10"/>
  <c r="X44" i="10"/>
  <c r="X24" i="10"/>
  <c r="X35" i="10"/>
  <c r="X19" i="10"/>
  <c r="X43" i="10"/>
  <c r="X45" i="10"/>
  <c r="X37" i="10"/>
  <c r="X92" i="7"/>
  <c r="X102" i="7" s="1"/>
  <c r="X47" i="7"/>
  <c r="X62" i="7"/>
  <c r="X72" i="7" s="1"/>
  <c r="X77" i="7"/>
  <c r="X87" i="7" s="1"/>
  <c r="X8" i="7"/>
  <c r="AP66" i="11" l="1"/>
  <c r="AP65" i="11" s="1"/>
  <c r="AP90" i="11"/>
  <c r="AP89" i="11" s="1"/>
  <c r="AP78" i="11"/>
  <c r="AP77" i="11" s="1"/>
  <c r="W41" i="7"/>
  <c r="V26" i="11"/>
  <c r="V146" i="11"/>
  <c r="X33" i="7"/>
  <c r="X43" i="7" s="1"/>
  <c r="X42" i="7"/>
  <c r="X48" i="7"/>
  <c r="X58" i="7" s="1"/>
  <c r="X57" i="7"/>
  <c r="W19" i="11"/>
  <c r="R112" i="11"/>
  <c r="R93" i="11"/>
  <c r="R137" i="11" s="1"/>
  <c r="R95" i="11"/>
  <c r="R96" i="11" s="1"/>
  <c r="R163" i="11"/>
  <c r="R105" i="11"/>
  <c r="R119" i="11"/>
  <c r="O206" i="11"/>
  <c r="W130" i="7"/>
  <c r="W115" i="7"/>
  <c r="W64" i="11"/>
  <c r="W86" i="7"/>
  <c r="AP31" i="10"/>
  <c r="AP30" i="10"/>
  <c r="AQ28" i="10"/>
  <c r="AQ29" i="10" s="1"/>
  <c r="Y27" i="10"/>
  <c r="R60" i="11"/>
  <c r="S55" i="11"/>
  <c r="S152" i="11" s="1"/>
  <c r="S56" i="11"/>
  <c r="S139" i="11" s="1"/>
  <c r="S51" i="11"/>
  <c r="X63" i="7"/>
  <c r="X73" i="7" s="1"/>
  <c r="X108" i="7"/>
  <c r="X114" i="7"/>
  <c r="X138" i="7"/>
  <c r="X144" i="7"/>
  <c r="X123" i="7"/>
  <c r="X133" i="7" s="1"/>
  <c r="X129" i="7"/>
  <c r="X93" i="7"/>
  <c r="X99" i="7"/>
  <c r="X168" i="7"/>
  <c r="X178" i="7" s="1"/>
  <c r="X174" i="7"/>
  <c r="X153" i="7"/>
  <c r="X159" i="7"/>
  <c r="X78" i="7"/>
  <c r="X84" i="7"/>
  <c r="X39" i="7"/>
  <c r="AQ3" i="7"/>
  <c r="AR20" i="10"/>
  <c r="AQ3" i="11"/>
  <c r="X214" i="11"/>
  <c r="X285" i="11" s="1"/>
  <c r="X230" i="11"/>
  <c r="X131" i="11"/>
  <c r="X229" i="11"/>
  <c r="W40" i="11"/>
  <c r="W42" i="11" s="1"/>
  <c r="X48" i="10"/>
  <c r="X4" i="11"/>
  <c r="X4" i="7"/>
  <c r="Y1" i="7"/>
  <c r="Y1" i="11"/>
  <c r="Y22" i="10"/>
  <c r="X10" i="11" l="1"/>
  <c r="X15" i="11" s="1"/>
  <c r="X323" i="11"/>
  <c r="X324" i="11"/>
  <c r="AQ66" i="11"/>
  <c r="AQ65" i="11" s="1"/>
  <c r="AQ90" i="11"/>
  <c r="AQ89" i="11" s="1"/>
  <c r="AQ78" i="11"/>
  <c r="AQ77" i="11" s="1"/>
  <c r="X34" i="7"/>
  <c r="X41" i="7" s="1"/>
  <c r="W148" i="11"/>
  <c r="V108" i="11"/>
  <c r="W133" i="11"/>
  <c r="R149" i="11"/>
  <c r="X109" i="7"/>
  <c r="X118" i="7"/>
  <c r="X148" i="7"/>
  <c r="X154" i="7"/>
  <c r="X160" i="7" s="1"/>
  <c r="X163" i="7"/>
  <c r="X79" i="7"/>
  <c r="X85" i="7" s="1"/>
  <c r="X88" i="7"/>
  <c r="X103" i="7"/>
  <c r="X12" i="11"/>
  <c r="X17" i="11" s="1"/>
  <c r="X88" i="11" s="1"/>
  <c r="X210" i="11"/>
  <c r="X115" i="11"/>
  <c r="X35" i="11"/>
  <c r="X8" i="11"/>
  <c r="X13" i="11" s="1"/>
  <c r="X11" i="11"/>
  <c r="X16" i="11" s="1"/>
  <c r="X9" i="11"/>
  <c r="X14" i="11" s="1"/>
  <c r="X52" i="11" s="1"/>
  <c r="S87" i="11"/>
  <c r="W110" i="11"/>
  <c r="R27" i="11"/>
  <c r="V20" i="11"/>
  <c r="S92" i="11"/>
  <c r="S142" i="11" s="1"/>
  <c r="S91" i="11"/>
  <c r="S155" i="11" s="1"/>
  <c r="R81" i="11"/>
  <c r="R136" i="11" s="1"/>
  <c r="R104" i="11"/>
  <c r="R83" i="11"/>
  <c r="R111" i="11"/>
  <c r="R162" i="11"/>
  <c r="S117" i="11"/>
  <c r="X169" i="7"/>
  <c r="X124" i="7"/>
  <c r="X131" i="7" s="1"/>
  <c r="W88" i="11"/>
  <c r="W52" i="11"/>
  <c r="X176" i="11"/>
  <c r="AQ31" i="10"/>
  <c r="AQ30" i="10"/>
  <c r="AR28" i="10"/>
  <c r="AR29" i="10" s="1"/>
  <c r="X171" i="11"/>
  <c r="X176" i="7"/>
  <c r="X10" i="7"/>
  <c r="Y172" i="7"/>
  <c r="Y173" i="7" s="1"/>
  <c r="Y157" i="7"/>
  <c r="Y158" i="7" s="1"/>
  <c r="Y142" i="7"/>
  <c r="Y97" i="7"/>
  <c r="Y82" i="7"/>
  <c r="Y83" i="7" s="1"/>
  <c r="Y112" i="7"/>
  <c r="Y113" i="7" s="1"/>
  <c r="Y127" i="7"/>
  <c r="Y128" i="7" s="1"/>
  <c r="Y67" i="7"/>
  <c r="Y37" i="7"/>
  <c r="Y38" i="7" s="1"/>
  <c r="AR3" i="11"/>
  <c r="AR3" i="7"/>
  <c r="AS20" i="10"/>
  <c r="Y32" i="7"/>
  <c r="Y167" i="7"/>
  <c r="Y177" i="7" s="1"/>
  <c r="Y122" i="7"/>
  <c r="Y132" i="7" s="1"/>
  <c r="Y107" i="7"/>
  <c r="Y117" i="7" s="1"/>
  <c r="Y152" i="7"/>
  <c r="Y162" i="7" s="1"/>
  <c r="Y137" i="7"/>
  <c r="Y147" i="7" s="1"/>
  <c r="X261" i="11"/>
  <c r="X18" i="7" s="1"/>
  <c r="Y7" i="7"/>
  <c r="Y45" i="10"/>
  <c r="Y38" i="10"/>
  <c r="Y46" i="10"/>
  <c r="Y39" i="10"/>
  <c r="Y40" i="10"/>
  <c r="Y41" i="10"/>
  <c r="Y2" i="11"/>
  <c r="Y42" i="10"/>
  <c r="Y43" i="10"/>
  <c r="Y35" i="10"/>
  <c r="Y36" i="10"/>
  <c r="Y37" i="10"/>
  <c r="Y44" i="10"/>
  <c r="Y2" i="7"/>
  <c r="Z21" i="10"/>
  <c r="Y23" i="10"/>
  <c r="Y19" i="10"/>
  <c r="Y24" i="10"/>
  <c r="Y47" i="7"/>
  <c r="Y62" i="7"/>
  <c r="Y72" i="7" s="1"/>
  <c r="Y92" i="7"/>
  <c r="Y102" i="7" s="1"/>
  <c r="Y77" i="7"/>
  <c r="Y87" i="7" s="1"/>
  <c r="Y8" i="7"/>
  <c r="X115" i="7" l="1"/>
  <c r="X116" i="7"/>
  <c r="X40" i="7"/>
  <c r="AR66" i="11"/>
  <c r="AR65" i="11" s="1"/>
  <c r="AR78" i="11"/>
  <c r="AR77" i="11" s="1"/>
  <c r="AR90" i="11"/>
  <c r="AR89" i="11" s="1"/>
  <c r="S147" i="11"/>
  <c r="W146" i="11"/>
  <c r="Y33" i="7"/>
  <c r="Y43" i="7" s="1"/>
  <c r="Y42" i="7"/>
  <c r="Y48" i="7"/>
  <c r="Y58" i="7" s="1"/>
  <c r="Y57" i="7"/>
  <c r="W26" i="11"/>
  <c r="X19" i="11"/>
  <c r="R84" i="11"/>
  <c r="S80" i="11"/>
  <c r="S141" i="11" s="1"/>
  <c r="W108" i="11"/>
  <c r="S120" i="11"/>
  <c r="S79" i="11"/>
  <c r="S154" i="11" s="1"/>
  <c r="S75" i="11"/>
  <c r="S109" i="11"/>
  <c r="S102" i="11"/>
  <c r="S160" i="11"/>
  <c r="X130" i="7"/>
  <c r="X175" i="7"/>
  <c r="X64" i="11"/>
  <c r="X76" i="11"/>
  <c r="X86" i="7"/>
  <c r="AR31" i="10"/>
  <c r="AR30" i="10"/>
  <c r="AS28" i="10"/>
  <c r="AS29" i="10" s="1"/>
  <c r="Z27" i="10"/>
  <c r="S59" i="11"/>
  <c r="S165" i="11" s="1"/>
  <c r="S57" i="11"/>
  <c r="S134" i="11" s="1"/>
  <c r="Y63" i="7"/>
  <c r="Y73" i="7" s="1"/>
  <c r="Y138" i="7"/>
  <c r="Y148" i="7" s="1"/>
  <c r="Y144" i="7"/>
  <c r="Y153" i="7"/>
  <c r="Y163" i="7" s="1"/>
  <c r="Y159" i="7"/>
  <c r="Y108" i="7"/>
  <c r="Y118" i="7" s="1"/>
  <c r="Y114" i="7"/>
  <c r="Y93" i="7"/>
  <c r="Y103" i="7" s="1"/>
  <c r="Y99" i="7"/>
  <c r="Y123" i="7"/>
  <c r="Y133" i="7" s="1"/>
  <c r="Y129" i="7"/>
  <c r="Y168" i="7"/>
  <c r="Y178" i="7" s="1"/>
  <c r="Y174" i="7"/>
  <c r="Y78" i="7"/>
  <c r="Y84" i="7"/>
  <c r="AS3" i="7"/>
  <c r="AT20" i="10"/>
  <c r="AS3" i="11"/>
  <c r="Y131" i="11"/>
  <c r="Y229" i="11"/>
  <c r="Y214" i="11"/>
  <c r="Y285" i="11" s="1"/>
  <c r="Y230" i="11"/>
  <c r="X40" i="11"/>
  <c r="X42" i="11" s="1"/>
  <c r="Y48" i="10"/>
  <c r="Y4" i="11"/>
  <c r="Y4" i="7"/>
  <c r="Y39" i="7"/>
  <c r="Z1" i="7"/>
  <c r="Z1" i="11"/>
  <c r="Z22" i="10"/>
  <c r="Y34" i="7" l="1"/>
  <c r="Y40" i="7" s="1"/>
  <c r="Y9" i="11"/>
  <c r="Y14" i="11" s="1"/>
  <c r="Y323" i="11"/>
  <c r="Y324" i="11"/>
  <c r="AS66" i="11"/>
  <c r="AS65" i="11" s="1"/>
  <c r="AS78" i="11"/>
  <c r="AS77" i="11" s="1"/>
  <c r="AS90" i="11"/>
  <c r="AS89" i="11" s="1"/>
  <c r="X148" i="11"/>
  <c r="X133" i="11"/>
  <c r="Y79" i="7"/>
  <c r="Y85" i="7" s="1"/>
  <c r="Y88" i="7"/>
  <c r="S150" i="11"/>
  <c r="Y8" i="11"/>
  <c r="Y13" i="11" s="1"/>
  <c r="Y210" i="11"/>
  <c r="Y115" i="11"/>
  <c r="Y35" i="11"/>
  <c r="Y10" i="11"/>
  <c r="Y15" i="11" s="1"/>
  <c r="Y12" i="11"/>
  <c r="Y17" i="11" s="1"/>
  <c r="Y11" i="11"/>
  <c r="Y16" i="11" s="1"/>
  <c r="X110" i="11"/>
  <c r="X26" i="11"/>
  <c r="P206" i="11"/>
  <c r="W20" i="11"/>
  <c r="S112" i="11"/>
  <c r="S95" i="11"/>
  <c r="S96" i="11" s="1"/>
  <c r="S93" i="11"/>
  <c r="S137" i="11" s="1"/>
  <c r="S105" i="11"/>
  <c r="S163" i="11"/>
  <c r="S119" i="11"/>
  <c r="Y154" i="7"/>
  <c r="Y169" i="7"/>
  <c r="Y109" i="7"/>
  <c r="Y116" i="7" s="1"/>
  <c r="Y124" i="7"/>
  <c r="Y176" i="11"/>
  <c r="AS31" i="10"/>
  <c r="AS30" i="10"/>
  <c r="AT28" i="10"/>
  <c r="AT29" i="10" s="1"/>
  <c r="S60" i="11"/>
  <c r="Y171" i="11"/>
  <c r="T51" i="11"/>
  <c r="T55" i="11"/>
  <c r="T152" i="11" s="1"/>
  <c r="T56" i="11"/>
  <c r="T139" i="11" s="1"/>
  <c r="Y176" i="7"/>
  <c r="Y10" i="7"/>
  <c r="Z142" i="7"/>
  <c r="Z82" i="7"/>
  <c r="Z83" i="7" s="1"/>
  <c r="Z112" i="7"/>
  <c r="Z113" i="7" s="1"/>
  <c r="Z67" i="7"/>
  <c r="Z97" i="7"/>
  <c r="Z37" i="7"/>
  <c r="Z38" i="7" s="1"/>
  <c r="Z157" i="7"/>
  <c r="Z158" i="7" s="1"/>
  <c r="Z172" i="7"/>
  <c r="Z173" i="7" s="1"/>
  <c r="Z127" i="7"/>
  <c r="Z128" i="7" s="1"/>
  <c r="AT3" i="11"/>
  <c r="AU20" i="10"/>
  <c r="AT3" i="7"/>
  <c r="Z32" i="7"/>
  <c r="Z122" i="7"/>
  <c r="Z132" i="7" s="1"/>
  <c r="Z107" i="7"/>
  <c r="Z117" i="7" s="1"/>
  <c r="Z167" i="7"/>
  <c r="Z177" i="7" s="1"/>
  <c r="Z152" i="7"/>
  <c r="Z162" i="7" s="1"/>
  <c r="Z137" i="7"/>
  <c r="Z147" i="7" s="1"/>
  <c r="Y261" i="11"/>
  <c r="Y18" i="7" s="1"/>
  <c r="Z7" i="7"/>
  <c r="Z41" i="10"/>
  <c r="Z35" i="10"/>
  <c r="Z42" i="10"/>
  <c r="Z36" i="10"/>
  <c r="Z43" i="10"/>
  <c r="Z37" i="10"/>
  <c r="Z44" i="10"/>
  <c r="Z40" i="10"/>
  <c r="Z45" i="10"/>
  <c r="Z46" i="10"/>
  <c r="Z2" i="11"/>
  <c r="Z39" i="10"/>
  <c r="Z38" i="10"/>
  <c r="Z2" i="7"/>
  <c r="AA21" i="10"/>
  <c r="Z23" i="10"/>
  <c r="Z24" i="10"/>
  <c r="Z19" i="10"/>
  <c r="Z62" i="7"/>
  <c r="Z72" i="7" s="1"/>
  <c r="Z77" i="7"/>
  <c r="Z87" i="7" s="1"/>
  <c r="Z92" i="7"/>
  <c r="Z102" i="7" s="1"/>
  <c r="Z8" i="7"/>
  <c r="Y130" i="7" l="1"/>
  <c r="Y131" i="7"/>
  <c r="Y41" i="7"/>
  <c r="AT66" i="11"/>
  <c r="AT65" i="11" s="1"/>
  <c r="AT90" i="11"/>
  <c r="AT89" i="11" s="1"/>
  <c r="AT78" i="11"/>
  <c r="AT77" i="11" s="1"/>
  <c r="X108" i="11"/>
  <c r="Z33" i="7"/>
  <c r="Z43" i="7" s="1"/>
  <c r="Z42" i="7"/>
  <c r="X20" i="11"/>
  <c r="S104" i="11"/>
  <c r="S149" i="11"/>
  <c r="Y19" i="11"/>
  <c r="T87" i="11"/>
  <c r="S81" i="11"/>
  <c r="S136" i="11" s="1"/>
  <c r="S111" i="11"/>
  <c r="S162" i="11"/>
  <c r="S83" i="11"/>
  <c r="S84" i="11" s="1"/>
  <c r="S27" i="11"/>
  <c r="T91" i="11"/>
  <c r="T155" i="11" s="1"/>
  <c r="T92" i="11"/>
  <c r="T142" i="11" s="1"/>
  <c r="T117" i="11"/>
  <c r="Y160" i="7"/>
  <c r="Y115" i="7"/>
  <c r="Y175" i="7"/>
  <c r="Y52" i="11"/>
  <c r="Y88" i="11"/>
  <c r="Y76" i="11"/>
  <c r="Y64" i="11"/>
  <c r="Y86" i="7"/>
  <c r="AT30" i="10"/>
  <c r="AT31" i="10"/>
  <c r="AA27" i="10"/>
  <c r="AU28" i="10"/>
  <c r="AU29" i="10" s="1"/>
  <c r="Z63" i="7"/>
  <c r="Z73" i="7" s="1"/>
  <c r="Z108" i="7"/>
  <c r="Z118" i="7" s="1"/>
  <c r="Z114" i="7"/>
  <c r="Z123" i="7"/>
  <c r="Z129" i="7"/>
  <c r="Z153" i="7"/>
  <c r="Z159" i="7"/>
  <c r="Z138" i="7"/>
  <c r="Z148" i="7" s="1"/>
  <c r="Z144" i="7"/>
  <c r="Z93" i="7"/>
  <c r="Z99" i="7"/>
  <c r="Z168" i="7"/>
  <c r="Z178" i="7" s="1"/>
  <c r="Z174" i="7"/>
  <c r="Z78" i="7"/>
  <c r="Z84" i="7"/>
  <c r="AV20" i="10"/>
  <c r="AU3" i="11"/>
  <c r="AU3" i="7"/>
  <c r="Z214" i="11"/>
  <c r="Z285" i="11" s="1"/>
  <c r="Z230" i="11"/>
  <c r="Z131" i="11"/>
  <c r="Z229" i="11"/>
  <c r="Z4" i="11"/>
  <c r="Z4" i="7"/>
  <c r="Z48" i="10"/>
  <c r="AA1" i="11"/>
  <c r="AA1" i="7"/>
  <c r="AA22" i="10"/>
  <c r="Y40" i="11"/>
  <c r="Y42" i="11" s="1"/>
  <c r="Z39" i="7"/>
  <c r="Z34" i="7" l="1"/>
  <c r="Z41" i="7" s="1"/>
  <c r="Z323" i="11"/>
  <c r="Z324" i="11"/>
  <c r="AU66" i="11"/>
  <c r="AU65" i="11" s="1"/>
  <c r="AU78" i="11"/>
  <c r="AU77" i="11" s="1"/>
  <c r="AU90" i="11"/>
  <c r="AU89" i="11" s="1"/>
  <c r="Y148" i="11"/>
  <c r="X146" i="11"/>
  <c r="Y133" i="11"/>
  <c r="T147" i="11"/>
  <c r="Z124" i="7"/>
  <c r="Z133" i="7"/>
  <c r="Z154" i="7"/>
  <c r="Z160" i="7" s="1"/>
  <c r="Z163" i="7"/>
  <c r="Z103" i="7"/>
  <c r="Z79" i="7"/>
  <c r="Z85" i="7" s="1"/>
  <c r="Z88" i="7"/>
  <c r="Z8" i="11"/>
  <c r="Z13" i="11" s="1"/>
  <c r="Z11" i="11"/>
  <c r="Z16" i="11" s="1"/>
  <c r="Z12" i="11"/>
  <c r="Z17" i="11" s="1"/>
  <c r="Z115" i="11"/>
  <c r="Z210" i="11"/>
  <c r="Z35" i="11"/>
  <c r="Z9" i="11"/>
  <c r="Z14" i="11" s="1"/>
  <c r="Z10" i="11"/>
  <c r="Z15" i="11" s="1"/>
  <c r="T80" i="11"/>
  <c r="T141" i="11" s="1"/>
  <c r="T79" i="11"/>
  <c r="T154" i="11" s="1"/>
  <c r="T75" i="11"/>
  <c r="Y110" i="11"/>
  <c r="Y26" i="11"/>
  <c r="T120" i="11"/>
  <c r="T109" i="11"/>
  <c r="T102" i="11"/>
  <c r="T160" i="11"/>
  <c r="Z109" i="7"/>
  <c r="Z169" i="7"/>
  <c r="Z176" i="11"/>
  <c r="AU31" i="10"/>
  <c r="AU30" i="10"/>
  <c r="AV28" i="10"/>
  <c r="AV29" i="10" s="1"/>
  <c r="Z171" i="11"/>
  <c r="T57" i="11"/>
  <c r="T134" i="11" s="1"/>
  <c r="T59" i="11"/>
  <c r="T165" i="11" s="1"/>
  <c r="Z176" i="7"/>
  <c r="AA172" i="7"/>
  <c r="AA173" i="7" s="1"/>
  <c r="AA157" i="7"/>
  <c r="AA158" i="7" s="1"/>
  <c r="AA142" i="7"/>
  <c r="AA127" i="7"/>
  <c r="AA128" i="7" s="1"/>
  <c r="AA112" i="7"/>
  <c r="AA113" i="7" s="1"/>
  <c r="AA67" i="7"/>
  <c r="AA37" i="7"/>
  <c r="AA38" i="7" s="1"/>
  <c r="AA82" i="7"/>
  <c r="AA83" i="7" s="1"/>
  <c r="AA97" i="7"/>
  <c r="AV3" i="7"/>
  <c r="AW20" i="10"/>
  <c r="AV3" i="11"/>
  <c r="AA152" i="7"/>
  <c r="AA162" i="7" s="1"/>
  <c r="AA107" i="7"/>
  <c r="AA117" i="7" s="1"/>
  <c r="AA137" i="7"/>
  <c r="AA147" i="7" s="1"/>
  <c r="AA167" i="7"/>
  <c r="AA177" i="7" s="1"/>
  <c r="AA122" i="7"/>
  <c r="AA132" i="7" s="1"/>
  <c r="Z261" i="11"/>
  <c r="Z18" i="7" s="1"/>
  <c r="AA7" i="7"/>
  <c r="AA37" i="10"/>
  <c r="AA44" i="10"/>
  <c r="AA38" i="10"/>
  <c r="AA45" i="10"/>
  <c r="AA39" i="10"/>
  <c r="AA46" i="10"/>
  <c r="AA41" i="10"/>
  <c r="AA42" i="10"/>
  <c r="AA43" i="10"/>
  <c r="AA2" i="11"/>
  <c r="AA35" i="10"/>
  <c r="AA40" i="10"/>
  <c r="AA36" i="10"/>
  <c r="AA2" i="7"/>
  <c r="AB21" i="10"/>
  <c r="AA23" i="10"/>
  <c r="AA24" i="10"/>
  <c r="AA19" i="10"/>
  <c r="AA32" i="7"/>
  <c r="AA77" i="7"/>
  <c r="AA87" i="7" s="1"/>
  <c r="AA62" i="7"/>
  <c r="AA72" i="7" s="1"/>
  <c r="AA92" i="7"/>
  <c r="AA102" i="7" s="1"/>
  <c r="AA47" i="7"/>
  <c r="AA8" i="7"/>
  <c r="Z130" i="7" l="1"/>
  <c r="Z131" i="7"/>
  <c r="Z115" i="7"/>
  <c r="Z116" i="7"/>
  <c r="Z40" i="7"/>
  <c r="AV66" i="11"/>
  <c r="AV65" i="11" s="1"/>
  <c r="AV90" i="11"/>
  <c r="AV89" i="11" s="1"/>
  <c r="AV78" i="11"/>
  <c r="AV77" i="11" s="1"/>
  <c r="Q206" i="11"/>
  <c r="Y146" i="11"/>
  <c r="AA33" i="7"/>
  <c r="AA43" i="7" s="1"/>
  <c r="AA42" i="7"/>
  <c r="AA48" i="7"/>
  <c r="AA58" i="7" s="1"/>
  <c r="AA57" i="7"/>
  <c r="T111" i="11"/>
  <c r="T149" i="11"/>
  <c r="T150" i="11"/>
  <c r="Z19" i="11"/>
  <c r="T104" i="11"/>
  <c r="T119" i="11"/>
  <c r="T81" i="11"/>
  <c r="T136" i="11" s="1"/>
  <c r="T162" i="11"/>
  <c r="T27" i="11"/>
  <c r="T83" i="11"/>
  <c r="T84" i="11" s="1"/>
  <c r="Y20" i="11"/>
  <c r="U51" i="11"/>
  <c r="Y108" i="11"/>
  <c r="T112" i="11"/>
  <c r="T93" i="11"/>
  <c r="T137" i="11" s="1"/>
  <c r="T105" i="11"/>
  <c r="T163" i="11"/>
  <c r="T95" i="11"/>
  <c r="T96" i="11" s="1"/>
  <c r="Z175" i="7"/>
  <c r="Z52" i="11"/>
  <c r="Z64" i="11"/>
  <c r="Z88" i="11"/>
  <c r="Z86" i="7"/>
  <c r="AV31" i="10"/>
  <c r="AW28" i="10"/>
  <c r="AW29" i="10" s="1"/>
  <c r="AB27" i="10"/>
  <c r="AV30" i="10"/>
  <c r="T60" i="11"/>
  <c r="U56" i="11"/>
  <c r="U139" i="11" s="1"/>
  <c r="U55" i="11"/>
  <c r="U152" i="11" s="1"/>
  <c r="AA63" i="7"/>
  <c r="AA73" i="7" s="1"/>
  <c r="AA168" i="7"/>
  <c r="AA178" i="7" s="1"/>
  <c r="AA174" i="7"/>
  <c r="AA93" i="7"/>
  <c r="AA103" i="7" s="1"/>
  <c r="AA99" i="7"/>
  <c r="AA123" i="7"/>
  <c r="AA133" i="7" s="1"/>
  <c r="AA129" i="7"/>
  <c r="AA138" i="7"/>
  <c r="AA144" i="7"/>
  <c r="AA108" i="7"/>
  <c r="AA118" i="7" s="1"/>
  <c r="AA114" i="7"/>
  <c r="AA153" i="7"/>
  <c r="AA163" i="7" s="1"/>
  <c r="AA159" i="7"/>
  <c r="AA78" i="7"/>
  <c r="AA84" i="7"/>
  <c r="AW3" i="11"/>
  <c r="AW3" i="7"/>
  <c r="AX20" i="10"/>
  <c r="AA214" i="11"/>
  <c r="AA230" i="11"/>
  <c r="AA131" i="11"/>
  <c r="AA229" i="11"/>
  <c r="Z76" i="11"/>
  <c r="AA48" i="10"/>
  <c r="Z40" i="11"/>
  <c r="Z42" i="11" s="1"/>
  <c r="AB1" i="7"/>
  <c r="AB1" i="11"/>
  <c r="AB22" i="10"/>
  <c r="AA39" i="7"/>
  <c r="AA4" i="11"/>
  <c r="AA4" i="7"/>
  <c r="AA9" i="11" l="1"/>
  <c r="AA14" i="11" s="1"/>
  <c r="AA52" i="11" s="1"/>
  <c r="AA323" i="11"/>
  <c r="AA324" i="11"/>
  <c r="AW66" i="11"/>
  <c r="AW65" i="11" s="1"/>
  <c r="AW90" i="11"/>
  <c r="AW89" i="11" s="1"/>
  <c r="AW78" i="11"/>
  <c r="AW77" i="11" s="1"/>
  <c r="Z148" i="11"/>
  <c r="Z133" i="11"/>
  <c r="AA34" i="7"/>
  <c r="AA41" i="7" s="1"/>
  <c r="AA148" i="7"/>
  <c r="AA79" i="7"/>
  <c r="AA85" i="7" s="1"/>
  <c r="AA88" i="7"/>
  <c r="AA12" i="11"/>
  <c r="AA17" i="11" s="1"/>
  <c r="AA210" i="11"/>
  <c r="AA115" i="11"/>
  <c r="AA35" i="11"/>
  <c r="AA8" i="11"/>
  <c r="AA13" i="11" s="1"/>
  <c r="AA11" i="11"/>
  <c r="AA16" i="11" s="1"/>
  <c r="AA10" i="11"/>
  <c r="AA15" i="11" s="1"/>
  <c r="AA64" i="11" s="1"/>
  <c r="U87" i="11"/>
  <c r="U75" i="11"/>
  <c r="U79" i="11"/>
  <c r="U154" i="11" s="1"/>
  <c r="U80" i="11"/>
  <c r="U141" i="11" s="1"/>
  <c r="Z110" i="11"/>
  <c r="Z26" i="11"/>
  <c r="U92" i="11"/>
  <c r="U142" i="11" s="1"/>
  <c r="U91" i="11"/>
  <c r="U155" i="11" s="1"/>
  <c r="U149" i="11"/>
  <c r="U117" i="11"/>
  <c r="AA154" i="7"/>
  <c r="AA109" i="7"/>
  <c r="AA124" i="7"/>
  <c r="AA131" i="7" s="1"/>
  <c r="AA169" i="7"/>
  <c r="AA175" i="7" s="1"/>
  <c r="AA261" i="11"/>
  <c r="AA18" i="7" s="1"/>
  <c r="AA285" i="11"/>
  <c r="AA176" i="11"/>
  <c r="AW30" i="10"/>
  <c r="AW31" i="10"/>
  <c r="AX28" i="10"/>
  <c r="AX29" i="10" s="1"/>
  <c r="AA171" i="11"/>
  <c r="AA176" i="7"/>
  <c r="AA10" i="7"/>
  <c r="AB172" i="7"/>
  <c r="AB173" i="7" s="1"/>
  <c r="AB157" i="7"/>
  <c r="AB158" i="7" s="1"/>
  <c r="AB142" i="7"/>
  <c r="AB127" i="7"/>
  <c r="AB128" i="7" s="1"/>
  <c r="AB112" i="7"/>
  <c r="AB113" i="7" s="1"/>
  <c r="AB37" i="7"/>
  <c r="AB38" i="7" s="1"/>
  <c r="AB97" i="7"/>
  <c r="AB82" i="7"/>
  <c r="AB83" i="7" s="1"/>
  <c r="AX3" i="11"/>
  <c r="AX3" i="7"/>
  <c r="AY20" i="10"/>
  <c r="AB152" i="7"/>
  <c r="AB162" i="7" s="1"/>
  <c r="AB137" i="7"/>
  <c r="AB147" i="7" s="1"/>
  <c r="AB167" i="7"/>
  <c r="AB177" i="7" s="1"/>
  <c r="AB107" i="7"/>
  <c r="AB117" i="7" s="1"/>
  <c r="AB122" i="7"/>
  <c r="AB132" i="7" s="1"/>
  <c r="AB7" i="7"/>
  <c r="AB35" i="10"/>
  <c r="AB42" i="10"/>
  <c r="AB36" i="10"/>
  <c r="AB44" i="10"/>
  <c r="AB37" i="10"/>
  <c r="AB45" i="10"/>
  <c r="AB38" i="10"/>
  <c r="AB46" i="10"/>
  <c r="AB39" i="10"/>
  <c r="AB40" i="10"/>
  <c r="AB2" i="11"/>
  <c r="AB41" i="10"/>
  <c r="AB43" i="10"/>
  <c r="AB2" i="7"/>
  <c r="AC21" i="10"/>
  <c r="AB23" i="10"/>
  <c r="AB19" i="10"/>
  <c r="AB24" i="10"/>
  <c r="AB62" i="7"/>
  <c r="AB72" i="7" s="1"/>
  <c r="AB92" i="7"/>
  <c r="AB102" i="7" s="1"/>
  <c r="AB47" i="7"/>
  <c r="AB77" i="7"/>
  <c r="AB87" i="7" s="1"/>
  <c r="AB32" i="7"/>
  <c r="AB8" i="7"/>
  <c r="AA115" i="7" l="1"/>
  <c r="AA116" i="7"/>
  <c r="AA40" i="7"/>
  <c r="AX66" i="11"/>
  <c r="AX65" i="11" s="1"/>
  <c r="AX90" i="11"/>
  <c r="AX89" i="11" s="1"/>
  <c r="AX78" i="11"/>
  <c r="AX77" i="11" s="1"/>
  <c r="AA148" i="11"/>
  <c r="U147" i="11"/>
  <c r="Z146" i="11"/>
  <c r="AB33" i="7"/>
  <c r="AB43" i="7" s="1"/>
  <c r="AB42" i="7"/>
  <c r="AB48" i="7"/>
  <c r="AB58" i="7" s="1"/>
  <c r="AB57" i="7"/>
  <c r="AA19" i="11"/>
  <c r="U119" i="11"/>
  <c r="AA110" i="11"/>
  <c r="Z20" i="11"/>
  <c r="R206" i="11"/>
  <c r="Z108" i="11"/>
  <c r="U111" i="11"/>
  <c r="U120" i="11"/>
  <c r="U81" i="11"/>
  <c r="U136" i="11" s="1"/>
  <c r="U104" i="11"/>
  <c r="U83" i="11"/>
  <c r="U84" i="11" s="1"/>
  <c r="U162" i="11"/>
  <c r="U109" i="11"/>
  <c r="U102" i="11"/>
  <c r="U160" i="11"/>
  <c r="AA130" i="7"/>
  <c r="AA160" i="7"/>
  <c r="AA88" i="11"/>
  <c r="AA86" i="7"/>
  <c r="AA76" i="11"/>
  <c r="AX31" i="10"/>
  <c r="AX30" i="10"/>
  <c r="AY28" i="10"/>
  <c r="AY29" i="10" s="1"/>
  <c r="AC27" i="10"/>
  <c r="U59" i="11"/>
  <c r="U165" i="11" s="1"/>
  <c r="U57" i="11"/>
  <c r="U134" i="11" s="1"/>
  <c r="AB63" i="7"/>
  <c r="AB73" i="7" s="1"/>
  <c r="AB123" i="7"/>
  <c r="AB133" i="7" s="1"/>
  <c r="AB129" i="7"/>
  <c r="AB108" i="7"/>
  <c r="AB114" i="7"/>
  <c r="AB93" i="7"/>
  <c r="AB103" i="7" s="1"/>
  <c r="AB99" i="7"/>
  <c r="AB153" i="7"/>
  <c r="AB159" i="7"/>
  <c r="AB168" i="7"/>
  <c r="AB174" i="7"/>
  <c r="AB138" i="7"/>
  <c r="AB148" i="7" s="1"/>
  <c r="AB144" i="7"/>
  <c r="AB78" i="7"/>
  <c r="AB84" i="7"/>
  <c r="AY3" i="11"/>
  <c r="AY3" i="7"/>
  <c r="AZ20" i="10"/>
  <c r="AB214" i="11"/>
  <c r="AB261" i="11" s="1"/>
  <c r="AB18" i="7" s="1"/>
  <c r="AB230" i="11"/>
  <c r="AB131" i="11"/>
  <c r="AB229" i="11"/>
  <c r="AB39" i="7"/>
  <c r="AB4" i="11"/>
  <c r="AB4" i="7"/>
  <c r="AC1" i="7"/>
  <c r="AC1" i="11"/>
  <c r="AC22" i="10"/>
  <c r="AB48" i="10"/>
  <c r="AA40" i="11"/>
  <c r="AA42" i="11" s="1"/>
  <c r="AB323" i="11" l="1"/>
  <c r="AB324" i="11"/>
  <c r="AY90" i="11"/>
  <c r="AY89" i="11" s="1"/>
  <c r="AY66" i="11"/>
  <c r="AY65" i="11" s="1"/>
  <c r="AY78" i="11"/>
  <c r="AY77" i="11" s="1"/>
  <c r="AB34" i="7"/>
  <c r="AA133" i="11"/>
  <c r="AB79" i="7"/>
  <c r="AB85" i="7" s="1"/>
  <c r="AB88" i="7"/>
  <c r="AB109" i="7"/>
  <c r="AB118" i="7"/>
  <c r="AB169" i="7"/>
  <c r="AB175" i="7" s="1"/>
  <c r="AB178" i="7"/>
  <c r="AB154" i="7"/>
  <c r="AB160" i="7" s="1"/>
  <c r="AB163" i="7"/>
  <c r="U150" i="11"/>
  <c r="AA26" i="11"/>
  <c r="AA20" i="11" s="1"/>
  <c r="AB11" i="11"/>
  <c r="AB16" i="11" s="1"/>
  <c r="AB8" i="11"/>
  <c r="AB13" i="11" s="1"/>
  <c r="AB40" i="11" s="1"/>
  <c r="AB42" i="11" s="1"/>
  <c r="AB210" i="11"/>
  <c r="AB115" i="11"/>
  <c r="AB35" i="11"/>
  <c r="AB9" i="11"/>
  <c r="AB14" i="11" s="1"/>
  <c r="AB52" i="11" s="1"/>
  <c r="AB12" i="11"/>
  <c r="AB17" i="11" s="1"/>
  <c r="AB88" i="11" s="1"/>
  <c r="AB10" i="11"/>
  <c r="AB15" i="11" s="1"/>
  <c r="U27" i="11"/>
  <c r="V75" i="11"/>
  <c r="E11" i="14"/>
  <c r="U112" i="11"/>
  <c r="U95" i="11"/>
  <c r="U96" i="11" s="1"/>
  <c r="U93" i="11"/>
  <c r="U137" i="11" s="1"/>
  <c r="U105" i="11"/>
  <c r="U163" i="11"/>
  <c r="V80" i="11"/>
  <c r="V141" i="11" s="1"/>
  <c r="V79" i="11"/>
  <c r="V154" i="11" s="1"/>
  <c r="E13" i="14"/>
  <c r="AB124" i="7"/>
  <c r="V56" i="11"/>
  <c r="V139" i="11" s="1"/>
  <c r="AB285" i="11"/>
  <c r="AB176" i="11"/>
  <c r="AY31" i="10"/>
  <c r="AY30" i="10"/>
  <c r="AZ28" i="10"/>
  <c r="AZ29" i="10" s="1"/>
  <c r="U60" i="11"/>
  <c r="AB171" i="11"/>
  <c r="V55" i="11"/>
  <c r="V152" i="11" s="1"/>
  <c r="V51" i="11"/>
  <c r="AB176" i="7"/>
  <c r="AB10" i="7"/>
  <c r="AC172" i="7"/>
  <c r="AC173" i="7" s="1"/>
  <c r="AC157" i="7"/>
  <c r="AC158" i="7" s="1"/>
  <c r="AC142" i="7"/>
  <c r="AC127" i="7"/>
  <c r="AC128" i="7" s="1"/>
  <c r="AC112" i="7"/>
  <c r="AC113" i="7" s="1"/>
  <c r="AC37" i="7"/>
  <c r="AC38" i="7" s="1"/>
  <c r="AC97" i="7"/>
  <c r="AC82" i="7"/>
  <c r="AC83" i="7" s="1"/>
  <c r="AZ3" i="11"/>
  <c r="AZ3" i="7"/>
  <c r="BA20" i="10"/>
  <c r="AC137" i="7"/>
  <c r="AC147" i="7" s="1"/>
  <c r="AC152" i="7"/>
  <c r="AC162" i="7" s="1"/>
  <c r="AC167" i="7"/>
  <c r="AC177" i="7" s="1"/>
  <c r="AC122" i="7"/>
  <c r="AC132" i="7" s="1"/>
  <c r="AC107" i="7"/>
  <c r="AC117" i="7" s="1"/>
  <c r="AC7" i="7"/>
  <c r="AC77" i="7"/>
  <c r="AC87" i="7" s="1"/>
  <c r="AC32" i="7"/>
  <c r="AC92" i="7"/>
  <c r="AC102" i="7" s="1"/>
  <c r="AC47" i="7"/>
  <c r="AC62" i="7"/>
  <c r="AC72" i="7" s="1"/>
  <c r="AC8" i="7"/>
  <c r="AC36" i="10"/>
  <c r="AC43" i="10"/>
  <c r="AC37" i="10"/>
  <c r="AC45" i="10"/>
  <c r="AC38" i="10"/>
  <c r="AC46" i="10"/>
  <c r="AC39" i="10"/>
  <c r="AC40" i="10"/>
  <c r="AC44" i="10"/>
  <c r="AC2" i="11"/>
  <c r="AC35" i="10"/>
  <c r="AC41" i="10"/>
  <c r="AC42" i="10"/>
  <c r="AC2" i="7"/>
  <c r="AD21" i="10"/>
  <c r="AC23" i="10"/>
  <c r="AC24" i="10"/>
  <c r="AC19" i="10"/>
  <c r="AB130" i="7" l="1"/>
  <c r="AB131" i="7"/>
  <c r="AB115" i="7"/>
  <c r="AB116" i="7"/>
  <c r="AZ90" i="11"/>
  <c r="AZ89" i="11" s="1"/>
  <c r="AZ66" i="11"/>
  <c r="AZ65" i="11" s="1"/>
  <c r="AB41" i="7"/>
  <c r="AB40" i="7"/>
  <c r="AB133" i="11"/>
  <c r="AA146" i="11"/>
  <c r="AC33" i="7"/>
  <c r="AC43" i="7" s="1"/>
  <c r="AC42" i="7"/>
  <c r="AC48" i="7"/>
  <c r="AC58" i="7" s="1"/>
  <c r="AC57" i="7"/>
  <c r="AB19" i="11"/>
  <c r="V87" i="11"/>
  <c r="AA108" i="11"/>
  <c r="E14" i="14"/>
  <c r="V91" i="11"/>
  <c r="V155" i="11" s="1"/>
  <c r="V92" i="11"/>
  <c r="V142" i="11" s="1"/>
  <c r="V149" i="11"/>
  <c r="V119" i="11"/>
  <c r="V117" i="11"/>
  <c r="AB86" i="7"/>
  <c r="AZ31" i="10"/>
  <c r="AZ30" i="10"/>
  <c r="AD27" i="10"/>
  <c r="BA28" i="10"/>
  <c r="BA29" i="10" s="1"/>
  <c r="AC63" i="7"/>
  <c r="AC73" i="7" s="1"/>
  <c r="AC93" i="7"/>
  <c r="AC103" i="7" s="1"/>
  <c r="AC99" i="7"/>
  <c r="AC108" i="7"/>
  <c r="AC118" i="7" s="1"/>
  <c r="AC114" i="7"/>
  <c r="AC123" i="7"/>
  <c r="AC133" i="7" s="1"/>
  <c r="AC129" i="7"/>
  <c r="AC138" i="7"/>
  <c r="AC148" i="7" s="1"/>
  <c r="AC144" i="7"/>
  <c r="AC168" i="7"/>
  <c r="AC178" i="7" s="1"/>
  <c r="AC174" i="7"/>
  <c r="AC153" i="7"/>
  <c r="AC163" i="7" s="1"/>
  <c r="AC159" i="7"/>
  <c r="AC78" i="7"/>
  <c r="AC84" i="7"/>
  <c r="BA3" i="11"/>
  <c r="BA3" i="7"/>
  <c r="BB20" i="10"/>
  <c r="AC214" i="11"/>
  <c r="AC230" i="11"/>
  <c r="AC131" i="11"/>
  <c r="AC229" i="11"/>
  <c r="AB64" i="11"/>
  <c r="AB76" i="11"/>
  <c r="AZ78" i="11" s="1"/>
  <c r="AZ77" i="11" s="1"/>
  <c r="AC48" i="10"/>
  <c r="AD1" i="7"/>
  <c r="AD1" i="11"/>
  <c r="AD22" i="10"/>
  <c r="AC4" i="11"/>
  <c r="AC4" i="7"/>
  <c r="AC39" i="7"/>
  <c r="AC323" i="11" l="1"/>
  <c r="AC324" i="11"/>
  <c r="BA66" i="11"/>
  <c r="BA65" i="11" s="1"/>
  <c r="AB148" i="11"/>
  <c r="AC34" i="7"/>
  <c r="AC40" i="7" s="1"/>
  <c r="AB146" i="11"/>
  <c r="AC79" i="7"/>
  <c r="AC85" i="7" s="1"/>
  <c r="AC88" i="7"/>
  <c r="AC11" i="11"/>
  <c r="AC16" i="11" s="1"/>
  <c r="AC10" i="11"/>
  <c r="AC15" i="11" s="1"/>
  <c r="AC8" i="11"/>
  <c r="AC13" i="11" s="1"/>
  <c r="AC9" i="11"/>
  <c r="AC14" i="11" s="1"/>
  <c r="AC52" i="11" s="1"/>
  <c r="AC115" i="11"/>
  <c r="AC210" i="11"/>
  <c r="AC35" i="11"/>
  <c r="AC12" i="11"/>
  <c r="AC17" i="11" s="1"/>
  <c r="AB110" i="11"/>
  <c r="AB26" i="11"/>
  <c r="AB20" i="11" s="1"/>
  <c r="V120" i="11"/>
  <c r="V111" i="11"/>
  <c r="V83" i="11"/>
  <c r="V84" i="11" s="1"/>
  <c r="V81" i="11"/>
  <c r="V136" i="11" s="1"/>
  <c r="V104" i="11"/>
  <c r="V162" i="11"/>
  <c r="AC154" i="7"/>
  <c r="AC124" i="7"/>
  <c r="AC131" i="7" s="1"/>
  <c r="AC169" i="7"/>
  <c r="AC109" i="7"/>
  <c r="AC116" i="7" s="1"/>
  <c r="AC261" i="11"/>
  <c r="AC18" i="7" s="1"/>
  <c r="AC285" i="11"/>
  <c r="AC176" i="11"/>
  <c r="BA31" i="10"/>
  <c r="BA30" i="10"/>
  <c r="BB28" i="10"/>
  <c r="BB29" i="10" s="1"/>
  <c r="AC171" i="11"/>
  <c r="AC176" i="7"/>
  <c r="AC10" i="7"/>
  <c r="AD172" i="7"/>
  <c r="AD173" i="7" s="1"/>
  <c r="AD157" i="7"/>
  <c r="AD158" i="7" s="1"/>
  <c r="AD142" i="7"/>
  <c r="AD127" i="7"/>
  <c r="AD128" i="7" s="1"/>
  <c r="AD112" i="7"/>
  <c r="AD113" i="7" s="1"/>
  <c r="AD37" i="7"/>
  <c r="AD38" i="7" s="1"/>
  <c r="AD97" i="7"/>
  <c r="AD82" i="7"/>
  <c r="AD83" i="7" s="1"/>
  <c r="BB3" i="11"/>
  <c r="BB3" i="7"/>
  <c r="BC20" i="10"/>
  <c r="AD152" i="7"/>
  <c r="AD162" i="7" s="1"/>
  <c r="AD167" i="7"/>
  <c r="AD177" i="7" s="1"/>
  <c r="AD137" i="7"/>
  <c r="AD147" i="7" s="1"/>
  <c r="AD122" i="7"/>
  <c r="AD132" i="7" s="1"/>
  <c r="AD107" i="7"/>
  <c r="AD117" i="7" s="1"/>
  <c r="AD7" i="7"/>
  <c r="AD92" i="7"/>
  <c r="AD102" i="7" s="1"/>
  <c r="AD77" i="7"/>
  <c r="AD87" i="7" s="1"/>
  <c r="AD62" i="7"/>
  <c r="AD72" i="7" s="1"/>
  <c r="AD32" i="7"/>
  <c r="AD47" i="7"/>
  <c r="AD8" i="7"/>
  <c r="AD39" i="10"/>
  <c r="AD46" i="10"/>
  <c r="AD35" i="10"/>
  <c r="AD43" i="10"/>
  <c r="AD36" i="10"/>
  <c r="AD44" i="10"/>
  <c r="AD37" i="10"/>
  <c r="AD45" i="10"/>
  <c r="AD38" i="10"/>
  <c r="AD40" i="10"/>
  <c r="AD41" i="10"/>
  <c r="AD2" i="11"/>
  <c r="AD42" i="10"/>
  <c r="AD2" i="7"/>
  <c r="AE21" i="10"/>
  <c r="AD23" i="10"/>
  <c r="AD24" i="10"/>
  <c r="AD19" i="10"/>
  <c r="BB66" i="11" l="1"/>
  <c r="BB65" i="11" s="1"/>
  <c r="AC41" i="7"/>
  <c r="AB108" i="11"/>
  <c r="AD33" i="7"/>
  <c r="AD43" i="7" s="1"/>
  <c r="AD42" i="7"/>
  <c r="AD48" i="7"/>
  <c r="AD58" i="7" s="1"/>
  <c r="AD57" i="7"/>
  <c r="V150" i="11"/>
  <c r="AC19" i="11"/>
  <c r="W75" i="11"/>
  <c r="V112" i="11"/>
  <c r="V105" i="11"/>
  <c r="V95" i="11"/>
  <c r="V96" i="11" s="1"/>
  <c r="V93" i="11"/>
  <c r="V137" i="11" s="1"/>
  <c r="V163" i="11"/>
  <c r="W79" i="11"/>
  <c r="W154" i="11" s="1"/>
  <c r="W80" i="11"/>
  <c r="W141" i="11" s="1"/>
  <c r="AC175" i="7"/>
  <c r="AC160" i="7"/>
  <c r="AC130" i="7"/>
  <c r="AC115" i="7"/>
  <c r="AC86" i="7"/>
  <c r="AC76" i="11"/>
  <c r="BA78" i="11" s="1"/>
  <c r="BA77" i="11" s="1"/>
  <c r="AC88" i="11"/>
  <c r="BA90" i="11" s="1"/>
  <c r="BA89" i="11" s="1"/>
  <c r="BB31" i="10"/>
  <c r="BB30" i="10"/>
  <c r="AE27" i="10"/>
  <c r="BC28" i="10"/>
  <c r="BC29" i="10" s="1"/>
  <c r="AD63" i="7"/>
  <c r="AD73" i="7" s="1"/>
  <c r="AD138" i="7"/>
  <c r="AD144" i="7"/>
  <c r="AD168" i="7"/>
  <c r="AD178" i="7" s="1"/>
  <c r="AD174" i="7"/>
  <c r="AD153" i="7"/>
  <c r="AD163" i="7" s="1"/>
  <c r="AD159" i="7"/>
  <c r="AD93" i="7"/>
  <c r="AD99" i="7"/>
  <c r="AD108" i="7"/>
  <c r="AD114" i="7"/>
  <c r="AD123" i="7"/>
  <c r="AD133" i="7" s="1"/>
  <c r="AD129" i="7"/>
  <c r="AD78" i="7"/>
  <c r="AD84" i="7"/>
  <c r="BC3" i="7"/>
  <c r="BC3" i="11"/>
  <c r="BD20" i="10"/>
  <c r="AD214" i="11"/>
  <c r="AD261" i="11" s="1"/>
  <c r="AD18" i="7" s="1"/>
  <c r="AD230" i="11"/>
  <c r="AD131" i="11"/>
  <c r="AD229" i="11"/>
  <c r="AC64" i="11"/>
  <c r="AC40" i="11"/>
  <c r="AC42" i="11" s="1"/>
  <c r="AD39" i="7"/>
  <c r="AD4" i="11"/>
  <c r="AD4" i="7"/>
  <c r="AD48" i="10"/>
  <c r="AE1" i="7"/>
  <c r="AE1" i="11"/>
  <c r="AE22" i="10"/>
  <c r="AD324" i="11" l="1"/>
  <c r="AD323" i="11"/>
  <c r="BC66" i="11"/>
  <c r="BC65" i="11" s="1"/>
  <c r="AD34" i="7"/>
  <c r="AD41" i="7" s="1"/>
  <c r="AC148" i="11"/>
  <c r="AC133" i="11"/>
  <c r="AD109" i="7"/>
  <c r="AD118" i="7"/>
  <c r="AD148" i="7"/>
  <c r="AD103" i="7"/>
  <c r="AD79" i="7"/>
  <c r="AD85" i="7" s="1"/>
  <c r="AD88" i="7"/>
  <c r="AD115" i="11"/>
  <c r="AD210" i="11"/>
  <c r="AD35" i="11"/>
  <c r="AD10" i="11"/>
  <c r="AD15" i="11" s="1"/>
  <c r="AD11" i="11"/>
  <c r="AD16" i="11" s="1"/>
  <c r="AD8" i="11"/>
  <c r="AD13" i="11" s="1"/>
  <c r="AD12" i="11"/>
  <c r="AD17" i="11" s="1"/>
  <c r="AD88" i="11" s="1"/>
  <c r="BB90" i="11" s="1"/>
  <c r="BB89" i="11" s="1"/>
  <c r="AD9" i="11"/>
  <c r="AD14" i="11" s="1"/>
  <c r="W87" i="11"/>
  <c r="AC110" i="11"/>
  <c r="AC26" i="11"/>
  <c r="AC20" i="11" s="1"/>
  <c r="W92" i="11"/>
  <c r="W142" i="11" s="1"/>
  <c r="W91" i="11"/>
  <c r="W155" i="11" s="1"/>
  <c r="W119" i="11"/>
  <c r="AD154" i="7"/>
  <c r="AD124" i="7"/>
  <c r="AD169" i="7"/>
  <c r="AD175" i="7" s="1"/>
  <c r="AD285" i="11"/>
  <c r="AD176" i="11"/>
  <c r="BC30" i="10"/>
  <c r="BC31" i="10"/>
  <c r="BD28" i="10"/>
  <c r="BD29" i="10" s="1"/>
  <c r="AD171" i="11"/>
  <c r="AD176" i="7"/>
  <c r="AD10" i="7"/>
  <c r="AE172" i="7"/>
  <c r="AE173" i="7" s="1"/>
  <c r="AE157" i="7"/>
  <c r="AE158" i="7" s="1"/>
  <c r="AE142" i="7"/>
  <c r="AE97" i="7"/>
  <c r="AE82" i="7"/>
  <c r="AE83" i="7" s="1"/>
  <c r="AE112" i="7"/>
  <c r="AE113" i="7" s="1"/>
  <c r="AE37" i="7"/>
  <c r="AE38" i="7" s="1"/>
  <c r="AE127" i="7"/>
  <c r="AE128" i="7" s="1"/>
  <c r="BD3" i="11"/>
  <c r="BD3" i="7"/>
  <c r="BE20" i="10"/>
  <c r="AE137" i="7"/>
  <c r="AE147" i="7" s="1"/>
  <c r="AE167" i="7"/>
  <c r="AE177" i="7" s="1"/>
  <c r="AE152" i="7"/>
  <c r="AE162" i="7" s="1"/>
  <c r="AE107" i="7"/>
  <c r="AE117" i="7" s="1"/>
  <c r="AE122" i="7"/>
  <c r="AE132" i="7" s="1"/>
  <c r="AE7" i="7"/>
  <c r="AE32" i="7"/>
  <c r="AE62" i="7"/>
  <c r="AE72" i="7" s="1"/>
  <c r="AE92" i="7"/>
  <c r="AE102" i="7" s="1"/>
  <c r="AE77" i="7"/>
  <c r="AE87" i="7" s="1"/>
  <c r="AE47" i="7"/>
  <c r="AE8" i="7"/>
  <c r="AE42" i="10"/>
  <c r="AE43" i="10"/>
  <c r="AE35" i="10"/>
  <c r="AE36" i="10"/>
  <c r="AE44" i="10"/>
  <c r="AE37" i="10"/>
  <c r="AE45" i="10"/>
  <c r="AE39" i="10"/>
  <c r="AE40" i="10"/>
  <c r="AE41" i="10"/>
  <c r="AE46" i="10"/>
  <c r="AE38" i="10"/>
  <c r="AE2" i="11"/>
  <c r="AE2" i="7"/>
  <c r="AF21" i="10"/>
  <c r="AE23" i="10"/>
  <c r="AE24" i="10"/>
  <c r="AE19" i="10"/>
  <c r="AD130" i="7" l="1"/>
  <c r="AD131" i="7"/>
  <c r="AD115" i="7"/>
  <c r="AD116" i="7"/>
  <c r="AD40" i="7"/>
  <c r="BD66" i="11"/>
  <c r="BD65" i="11" s="1"/>
  <c r="AC146" i="11"/>
  <c r="W149" i="11"/>
  <c r="AE33" i="7"/>
  <c r="AE43" i="7" s="1"/>
  <c r="AE42" i="7"/>
  <c r="AE48" i="7"/>
  <c r="AE58" i="7" s="1"/>
  <c r="AE57" i="7"/>
  <c r="AD19" i="11"/>
  <c r="AD52" i="11"/>
  <c r="AC108" i="11"/>
  <c r="W120" i="11"/>
  <c r="W111" i="11"/>
  <c r="W162" i="11"/>
  <c r="W104" i="11"/>
  <c r="W81" i="11"/>
  <c r="W136" i="11" s="1"/>
  <c r="W83" i="11"/>
  <c r="AD160" i="7"/>
  <c r="AD86" i="7"/>
  <c r="AD64" i="11"/>
  <c r="BD31" i="10"/>
  <c r="BD30" i="10"/>
  <c r="BE28" i="10"/>
  <c r="BE29" i="10" s="1"/>
  <c r="AF27" i="10"/>
  <c r="AE63" i="7"/>
  <c r="AE73" i="7" s="1"/>
  <c r="AE138" i="7"/>
  <c r="AE148" i="7" s="1"/>
  <c r="AE144" i="7"/>
  <c r="AE168" i="7"/>
  <c r="AE178" i="7" s="1"/>
  <c r="AE174" i="7"/>
  <c r="AE93" i="7"/>
  <c r="AE103" i="7" s="1"/>
  <c r="AE99" i="7"/>
  <c r="AE123" i="7"/>
  <c r="AE129" i="7"/>
  <c r="AE108" i="7"/>
  <c r="AE118" i="7" s="1"/>
  <c r="AE114" i="7"/>
  <c r="AE153" i="7"/>
  <c r="AE163" i="7" s="1"/>
  <c r="AE159" i="7"/>
  <c r="AE78" i="7"/>
  <c r="AE84" i="7"/>
  <c r="BF20" i="10"/>
  <c r="BE3" i="11"/>
  <c r="BE3" i="7"/>
  <c r="AE214" i="11"/>
  <c r="AE261" i="11" s="1"/>
  <c r="AE18" i="7" s="1"/>
  <c r="AE230" i="11"/>
  <c r="AE131" i="11"/>
  <c r="AE229" i="11"/>
  <c r="AD76" i="11"/>
  <c r="BB78" i="11" s="1"/>
  <c r="BB77" i="11" s="1"/>
  <c r="AD40" i="11"/>
  <c r="AD42" i="11" s="1"/>
  <c r="AE39" i="7"/>
  <c r="AE4" i="11"/>
  <c r="AE4" i="7"/>
  <c r="AF1" i="7"/>
  <c r="AF1" i="11"/>
  <c r="AF22" i="10"/>
  <c r="AE48" i="10"/>
  <c r="AE12" i="11" l="1"/>
  <c r="AE17" i="11" s="1"/>
  <c r="AE323" i="11"/>
  <c r="AE324" i="11"/>
  <c r="BE66" i="11"/>
  <c r="BE65" i="11" s="1"/>
  <c r="AE34" i="7"/>
  <c r="AE41" i="7" s="1"/>
  <c r="AD148" i="11"/>
  <c r="AD133" i="11"/>
  <c r="AE79" i="7"/>
  <c r="AE85" i="7" s="1"/>
  <c r="AE88" i="7"/>
  <c r="AE124" i="7"/>
  <c r="AE133" i="7"/>
  <c r="W150" i="11"/>
  <c r="AE115" i="11"/>
  <c r="AE210" i="11"/>
  <c r="AE35" i="11"/>
  <c r="AE10" i="11"/>
  <c r="AE15" i="11" s="1"/>
  <c r="AE64" i="11" s="1"/>
  <c r="AE8" i="11"/>
  <c r="AE13" i="11" s="1"/>
  <c r="AE40" i="11" s="1"/>
  <c r="AE42" i="11" s="1"/>
  <c r="AE9" i="11"/>
  <c r="AE14" i="11" s="1"/>
  <c r="AE52" i="11" s="1"/>
  <c r="AE11" i="11"/>
  <c r="AE16" i="11" s="1"/>
  <c r="AD110" i="11"/>
  <c r="AD26" i="11"/>
  <c r="AD20" i="11" s="1"/>
  <c r="W84" i="11"/>
  <c r="X75" i="11"/>
  <c r="W112" i="11"/>
  <c r="W95" i="11"/>
  <c r="W96" i="11" s="1"/>
  <c r="W93" i="11"/>
  <c r="W137" i="11" s="1"/>
  <c r="W163" i="11"/>
  <c r="W105" i="11"/>
  <c r="X80" i="11"/>
  <c r="X141" i="11" s="1"/>
  <c r="X79" i="11"/>
  <c r="X154" i="11" s="1"/>
  <c r="AE109" i="7"/>
  <c r="AE154" i="7"/>
  <c r="AE160" i="7" s="1"/>
  <c r="AE169" i="7"/>
  <c r="AE285" i="11"/>
  <c r="AE176" i="11"/>
  <c r="BE31" i="10"/>
  <c r="BF28" i="10"/>
  <c r="BF29" i="10" s="1"/>
  <c r="BE30" i="10"/>
  <c r="AE171" i="11"/>
  <c r="AE176" i="7"/>
  <c r="AE10" i="7"/>
  <c r="AF172" i="7"/>
  <c r="AF173" i="7" s="1"/>
  <c r="AF157" i="7"/>
  <c r="AF158" i="7" s="1"/>
  <c r="AF142" i="7"/>
  <c r="AF127" i="7"/>
  <c r="AF128" i="7" s="1"/>
  <c r="AF112" i="7"/>
  <c r="AF113" i="7" s="1"/>
  <c r="AF37" i="7"/>
  <c r="AF38" i="7" s="1"/>
  <c r="AF97" i="7"/>
  <c r="AF82" i="7"/>
  <c r="AF83" i="7" s="1"/>
  <c r="BF3" i="11"/>
  <c r="BF3" i="7"/>
  <c r="BG20" i="10"/>
  <c r="AF152" i="7"/>
  <c r="AF162" i="7" s="1"/>
  <c r="AF122" i="7"/>
  <c r="AF132" i="7" s="1"/>
  <c r="AF137" i="7"/>
  <c r="AF147" i="7" s="1"/>
  <c r="AF107" i="7"/>
  <c r="AF117" i="7" s="1"/>
  <c r="AF167" i="7"/>
  <c r="AF177" i="7" s="1"/>
  <c r="AF7" i="7"/>
  <c r="AF39" i="10"/>
  <c r="AF46" i="10"/>
  <c r="AF40" i="10"/>
  <c r="AF41" i="10"/>
  <c r="AF2" i="11"/>
  <c r="AF42" i="10"/>
  <c r="AF43" i="10"/>
  <c r="AF44" i="10"/>
  <c r="AF45" i="10"/>
  <c r="AF37" i="10"/>
  <c r="AF38" i="10"/>
  <c r="AF35" i="10"/>
  <c r="AF36" i="10"/>
  <c r="AF2" i="7"/>
  <c r="AF23" i="10"/>
  <c r="AG21" i="10"/>
  <c r="AF24" i="10"/>
  <c r="AF19" i="10"/>
  <c r="AF77" i="7"/>
  <c r="AF87" i="7" s="1"/>
  <c r="AF32" i="7"/>
  <c r="AF47" i="7"/>
  <c r="AF62" i="7"/>
  <c r="AF72" i="7" s="1"/>
  <c r="AF92" i="7"/>
  <c r="AF102" i="7" s="1"/>
  <c r="AF8" i="7"/>
  <c r="AE130" i="7" l="1"/>
  <c r="AE131" i="7"/>
  <c r="AE115" i="7"/>
  <c r="AE116" i="7"/>
  <c r="AE40" i="7"/>
  <c r="BF66" i="11"/>
  <c r="BF65" i="11" s="1"/>
  <c r="AE148" i="11"/>
  <c r="AE133" i="11"/>
  <c r="AD146" i="11"/>
  <c r="AF33" i="7"/>
  <c r="AF43" i="7" s="1"/>
  <c r="AF42" i="7"/>
  <c r="AF48" i="7"/>
  <c r="AF58" i="7" s="1"/>
  <c r="AF57" i="7"/>
  <c r="AE19" i="11"/>
  <c r="AE88" i="11"/>
  <c r="BC90" i="11" s="1"/>
  <c r="BC89" i="11" s="1"/>
  <c r="X87" i="11"/>
  <c r="AE110" i="11"/>
  <c r="AD108" i="11"/>
  <c r="X92" i="11"/>
  <c r="X142" i="11" s="1"/>
  <c r="X91" i="11"/>
  <c r="X155" i="11" s="1"/>
  <c r="X119" i="11"/>
  <c r="X149" i="11"/>
  <c r="AE175" i="7"/>
  <c r="AE86" i="7"/>
  <c r="BF31" i="10"/>
  <c r="AG27" i="10"/>
  <c r="BF30" i="10"/>
  <c r="BG28" i="10"/>
  <c r="BG29" i="10" s="1"/>
  <c r="AF63" i="7"/>
  <c r="AF73" i="7" s="1"/>
  <c r="AF123" i="7"/>
  <c r="AF133" i="7" s="1"/>
  <c r="AF129" i="7"/>
  <c r="AF108" i="7"/>
  <c r="AF114" i="7"/>
  <c r="AF153" i="7"/>
  <c r="AF163" i="7" s="1"/>
  <c r="AF159" i="7"/>
  <c r="AF138" i="7"/>
  <c r="AF144" i="7"/>
  <c r="AF93" i="7"/>
  <c r="AF99" i="7"/>
  <c r="AF168" i="7"/>
  <c r="AF178" i="7" s="1"/>
  <c r="AF174" i="7"/>
  <c r="AF78" i="7"/>
  <c r="AF84" i="7"/>
  <c r="BH20" i="10"/>
  <c r="BG3" i="11"/>
  <c r="BG3" i="7"/>
  <c r="AF131" i="11"/>
  <c r="AF229" i="11"/>
  <c r="AF214" i="11"/>
  <c r="AF261" i="11" s="1"/>
  <c r="AF18" i="7" s="1"/>
  <c r="AF230" i="11"/>
  <c r="AF48" i="10"/>
  <c r="AF4" i="11"/>
  <c r="AF4" i="7"/>
  <c r="AE76" i="11"/>
  <c r="BC78" i="11" s="1"/>
  <c r="BC77" i="11" s="1"/>
  <c r="AG1" i="7"/>
  <c r="AG1" i="11"/>
  <c r="AG22" i="10"/>
  <c r="AF39" i="7"/>
  <c r="AF323" i="11" l="1"/>
  <c r="AF324" i="11"/>
  <c r="BG66" i="11"/>
  <c r="BG65" i="11" s="1"/>
  <c r="AE146" i="11"/>
  <c r="AF34" i="7"/>
  <c r="AF79" i="7"/>
  <c r="AF85" i="7" s="1"/>
  <c r="AF88" i="7"/>
  <c r="AF109" i="7"/>
  <c r="AF118" i="7"/>
  <c r="AF148" i="7"/>
  <c r="AF103" i="7"/>
  <c r="AE26" i="11"/>
  <c r="AE20" i="11" s="1"/>
  <c r="AF11" i="11"/>
  <c r="AF16" i="11" s="1"/>
  <c r="AF210" i="11"/>
  <c r="AF115" i="11"/>
  <c r="AF35" i="11"/>
  <c r="AF12" i="11"/>
  <c r="AF17" i="11" s="1"/>
  <c r="AF8" i="11"/>
  <c r="AF13" i="11" s="1"/>
  <c r="AF9" i="11"/>
  <c r="AF14" i="11" s="1"/>
  <c r="AF52" i="11" s="1"/>
  <c r="AF10" i="11"/>
  <c r="AF15" i="11" s="1"/>
  <c r="AE108" i="11"/>
  <c r="X120" i="11"/>
  <c r="X111" i="11"/>
  <c r="X104" i="11"/>
  <c r="X162" i="11"/>
  <c r="X83" i="11"/>
  <c r="X81" i="11"/>
  <c r="X136" i="11" s="1"/>
  <c r="AF124" i="7"/>
  <c r="AF131" i="7" s="1"/>
  <c r="AF154" i="7"/>
  <c r="AF169" i="7"/>
  <c r="AF285" i="11"/>
  <c r="AF176" i="11"/>
  <c r="BG31" i="10"/>
  <c r="BG30" i="10"/>
  <c r="BH28" i="10"/>
  <c r="BH29" i="10" s="1"/>
  <c r="AF171" i="11"/>
  <c r="AF176" i="7"/>
  <c r="AF10" i="7"/>
  <c r="AG172" i="7"/>
  <c r="AG173" i="7" s="1"/>
  <c r="AG157" i="7"/>
  <c r="AG158" i="7" s="1"/>
  <c r="AG142" i="7"/>
  <c r="AG97" i="7"/>
  <c r="AG82" i="7"/>
  <c r="AG83" i="7" s="1"/>
  <c r="AG37" i="7"/>
  <c r="AG38" i="7" s="1"/>
  <c r="AG127" i="7"/>
  <c r="AG128" i="7" s="1"/>
  <c r="AG112" i="7"/>
  <c r="AG113" i="7" s="1"/>
  <c r="BH3" i="7"/>
  <c r="BI20" i="10"/>
  <c r="BH3" i="11"/>
  <c r="AG167" i="7"/>
  <c r="AG177" i="7" s="1"/>
  <c r="AG122" i="7"/>
  <c r="AG132" i="7" s="1"/>
  <c r="AG137" i="7"/>
  <c r="AG147" i="7" s="1"/>
  <c r="AG107" i="7"/>
  <c r="AG117" i="7" s="1"/>
  <c r="AG152" i="7"/>
  <c r="AG162" i="7" s="1"/>
  <c r="AG7" i="7"/>
  <c r="AG42" i="10"/>
  <c r="AG2" i="11"/>
  <c r="AG35" i="10"/>
  <c r="AG43" i="10"/>
  <c r="AG36" i="10"/>
  <c r="AG44" i="10"/>
  <c r="AG37" i="10"/>
  <c r="AG45" i="10"/>
  <c r="AG46" i="10"/>
  <c r="AG40" i="10"/>
  <c r="AG41" i="10"/>
  <c r="AG39" i="10"/>
  <c r="AG2" i="7"/>
  <c r="AG38" i="10"/>
  <c r="AH21" i="10"/>
  <c r="AG23" i="10"/>
  <c r="AG19" i="10"/>
  <c r="AG24" i="10"/>
  <c r="AG77" i="7"/>
  <c r="AG87" i="7" s="1"/>
  <c r="AG62" i="7"/>
  <c r="AG72" i="7" s="1"/>
  <c r="AG92" i="7"/>
  <c r="AG102" i="7" s="1"/>
  <c r="AG47" i="7"/>
  <c r="AG32" i="7"/>
  <c r="AG8" i="7"/>
  <c r="AF115" i="7" l="1"/>
  <c r="AF116" i="7"/>
  <c r="BH66" i="11"/>
  <c r="BH65" i="11" s="1"/>
  <c r="AF40" i="7"/>
  <c r="AF41" i="7"/>
  <c r="AG33" i="7"/>
  <c r="AG43" i="7" s="1"/>
  <c r="AG42" i="7"/>
  <c r="AG48" i="7"/>
  <c r="AG58" i="7" s="1"/>
  <c r="AG57" i="7"/>
  <c r="X150" i="11"/>
  <c r="AF19" i="11"/>
  <c r="AF76" i="11"/>
  <c r="BD78" i="11" s="1"/>
  <c r="BD77" i="11" s="1"/>
  <c r="AF88" i="11"/>
  <c r="BD90" i="11" s="1"/>
  <c r="BD89" i="11" s="1"/>
  <c r="Y79" i="11"/>
  <c r="Y154" i="11" s="1"/>
  <c r="X84" i="11"/>
  <c r="X112" i="11"/>
  <c r="X163" i="11"/>
  <c r="X105" i="11"/>
  <c r="X95" i="11"/>
  <c r="X96" i="11" s="1"/>
  <c r="X93" i="11"/>
  <c r="X137" i="11" s="1"/>
  <c r="Y80" i="11"/>
  <c r="Y141" i="11" s="1"/>
  <c r="Y75" i="11"/>
  <c r="AF130" i="7"/>
  <c r="AF160" i="7"/>
  <c r="AF175" i="7"/>
  <c r="AF86" i="7"/>
  <c r="BH31" i="10"/>
  <c r="BH30" i="10"/>
  <c r="BI28" i="10"/>
  <c r="BI29" i="10" s="1"/>
  <c r="AH27" i="10"/>
  <c r="AG63" i="7"/>
  <c r="AG73" i="7" s="1"/>
  <c r="AG153" i="7"/>
  <c r="AG163" i="7" s="1"/>
  <c r="AG159" i="7"/>
  <c r="AG93" i="7"/>
  <c r="AG103" i="7" s="1"/>
  <c r="AG99" i="7"/>
  <c r="AG138" i="7"/>
  <c r="AG148" i="7" s="1"/>
  <c r="AG144" i="7"/>
  <c r="AG123" i="7"/>
  <c r="AG133" i="7" s="1"/>
  <c r="AG129" i="7"/>
  <c r="AG108" i="7"/>
  <c r="AG118" i="7" s="1"/>
  <c r="AG114" i="7"/>
  <c r="AG168" i="7"/>
  <c r="AG174" i="7"/>
  <c r="AG78" i="7"/>
  <c r="AG84" i="7"/>
  <c r="BI3" i="11"/>
  <c r="BI3" i="7"/>
  <c r="BJ20" i="10"/>
  <c r="AG131" i="11"/>
  <c r="AG229" i="11"/>
  <c r="AG214" i="11"/>
  <c r="AG261" i="11" s="1"/>
  <c r="AG18" i="7" s="1"/>
  <c r="AG230" i="11"/>
  <c r="AF64" i="11"/>
  <c r="AG39" i="7"/>
  <c r="AG48" i="10"/>
  <c r="AH1" i="7"/>
  <c r="AH1" i="11"/>
  <c r="AH22" i="10"/>
  <c r="AG4" i="11"/>
  <c r="AG4" i="7"/>
  <c r="AF40" i="11"/>
  <c r="AF42" i="11" s="1"/>
  <c r="AG11" i="11" l="1"/>
  <c r="AG16" i="11" s="1"/>
  <c r="AG323" i="11"/>
  <c r="AG324" i="11"/>
  <c r="BI66" i="11"/>
  <c r="BI65" i="11" s="1"/>
  <c r="AF148" i="11"/>
  <c r="AF133" i="11"/>
  <c r="AG34" i="7"/>
  <c r="AG40" i="7" s="1"/>
  <c r="AG79" i="7"/>
  <c r="AG85" i="7" s="1"/>
  <c r="AG88" i="7"/>
  <c r="AG169" i="7"/>
  <c r="AG175" i="7" s="1"/>
  <c r="AG178" i="7"/>
  <c r="AG10" i="11"/>
  <c r="AG15" i="11" s="1"/>
  <c r="AG64" i="11" s="1"/>
  <c r="AG12" i="11"/>
  <c r="AG17" i="11" s="1"/>
  <c r="AG88" i="11" s="1"/>
  <c r="BE90" i="11" s="1"/>
  <c r="BE89" i="11" s="1"/>
  <c r="AG210" i="11"/>
  <c r="AG115" i="11"/>
  <c r="AG35" i="11"/>
  <c r="AG8" i="11"/>
  <c r="AG13" i="11" s="1"/>
  <c r="AG40" i="11" s="1"/>
  <c r="AG42" i="11" s="1"/>
  <c r="AG9" i="11"/>
  <c r="AG14" i="11" s="1"/>
  <c r="AG52" i="11" s="1"/>
  <c r="Y87" i="11"/>
  <c r="AF110" i="11"/>
  <c r="AF26" i="11"/>
  <c r="AF20" i="11" s="1"/>
  <c r="Y92" i="11"/>
  <c r="Y142" i="11" s="1"/>
  <c r="Y91" i="11"/>
  <c r="Y155" i="11" s="1"/>
  <c r="Y119" i="11"/>
  <c r="AG109" i="7"/>
  <c r="AG116" i="7" s="1"/>
  <c r="AG154" i="7"/>
  <c r="AG160" i="7" s="1"/>
  <c r="AG124" i="7"/>
  <c r="AG131" i="7" s="1"/>
  <c r="AG285" i="11"/>
  <c r="I194" i="2" s="1"/>
  <c r="AG176" i="11"/>
  <c r="BI31" i="10"/>
  <c r="BI30" i="10"/>
  <c r="BJ28" i="10"/>
  <c r="BJ29" i="10" s="1"/>
  <c r="AG171" i="11"/>
  <c r="AG176" i="7"/>
  <c r="AG10" i="7"/>
  <c r="AH97" i="7"/>
  <c r="AH37" i="7"/>
  <c r="AH38" i="7" s="1"/>
  <c r="AH142" i="7"/>
  <c r="AH127" i="7"/>
  <c r="AH128" i="7" s="1"/>
  <c r="AH172" i="7"/>
  <c r="AH173" i="7" s="1"/>
  <c r="AH82" i="7"/>
  <c r="AH157" i="7"/>
  <c r="AH158" i="7" s="1"/>
  <c r="AH112" i="7"/>
  <c r="AH113" i="7" s="1"/>
  <c r="BJ3" i="11"/>
  <c r="BJ66" i="11" s="1"/>
  <c r="BJ65" i="11" s="1"/>
  <c r="BK20" i="10"/>
  <c r="BJ3" i="7"/>
  <c r="AH122" i="7"/>
  <c r="AH132" i="7" s="1"/>
  <c r="AH137" i="7"/>
  <c r="AH147" i="7" s="1"/>
  <c r="AH107" i="7"/>
  <c r="AH117" i="7" s="1"/>
  <c r="AH167" i="7"/>
  <c r="AH177" i="7" s="1"/>
  <c r="AH152" i="7"/>
  <c r="AH162" i="7" s="1"/>
  <c r="AH7" i="7"/>
  <c r="AH35" i="10"/>
  <c r="AH43" i="10"/>
  <c r="AH2" i="11"/>
  <c r="AH36" i="10"/>
  <c r="AH44" i="10"/>
  <c r="AH37" i="10"/>
  <c r="AH45" i="10"/>
  <c r="AH38" i="10"/>
  <c r="AH46" i="10"/>
  <c r="AH42" i="10"/>
  <c r="AH40" i="10"/>
  <c r="AH39" i="10"/>
  <c r="AH41" i="10"/>
  <c r="AH2" i="7"/>
  <c r="AI21" i="10"/>
  <c r="AH23" i="10"/>
  <c r="AH24" i="10"/>
  <c r="AH19" i="10"/>
  <c r="AH92" i="7"/>
  <c r="AH102" i="7" s="1"/>
  <c r="AH77" i="7"/>
  <c r="AH87" i="7" s="1"/>
  <c r="AH32" i="7"/>
  <c r="AH8" i="7"/>
  <c r="AG41" i="7" l="1"/>
  <c r="AG148" i="11"/>
  <c r="AF146" i="11"/>
  <c r="AG133" i="11"/>
  <c r="AH33" i="7"/>
  <c r="AH43" i="7" s="1"/>
  <c r="AH42" i="7"/>
  <c r="Y162" i="11"/>
  <c r="Y149" i="11"/>
  <c r="AG19" i="11"/>
  <c r="Y104" i="11"/>
  <c r="AG110" i="11"/>
  <c r="Y83" i="11"/>
  <c r="Y84" i="11" s="1"/>
  <c r="Y111" i="11"/>
  <c r="Y81" i="11"/>
  <c r="Y136" i="11" s="1"/>
  <c r="AF108" i="11"/>
  <c r="Y120" i="11"/>
  <c r="AG130" i="7"/>
  <c r="AG115" i="7"/>
  <c r="AH83" i="7"/>
  <c r="AH84" i="7"/>
  <c r="AG86" i="7"/>
  <c r="BJ31" i="10"/>
  <c r="BJ30" i="10"/>
  <c r="AI27" i="10"/>
  <c r="BK28" i="10"/>
  <c r="BK29" i="10" s="1"/>
  <c r="AH138" i="7"/>
  <c r="AH148" i="7" s="1"/>
  <c r="AH144" i="7"/>
  <c r="AH153" i="7"/>
  <c r="AH163" i="7" s="1"/>
  <c r="AH159" i="7"/>
  <c r="AH168" i="7"/>
  <c r="AH178" i="7" s="1"/>
  <c r="AH174" i="7"/>
  <c r="AH93" i="7"/>
  <c r="AH99" i="7"/>
  <c r="AH108" i="7"/>
  <c r="AH114" i="7"/>
  <c r="AH123" i="7"/>
  <c r="AH129" i="7"/>
  <c r="AH78" i="7"/>
  <c r="AH88" i="7" s="1"/>
  <c r="BL20" i="10"/>
  <c r="BK3" i="11"/>
  <c r="BK66" i="11" s="1"/>
  <c r="BK65" i="11" s="1"/>
  <c r="BK3" i="7"/>
  <c r="AH214" i="11"/>
  <c r="AH285" i="11" s="1"/>
  <c r="AH230" i="11"/>
  <c r="AH131" i="11"/>
  <c r="AH229" i="11"/>
  <c r="AG76" i="11"/>
  <c r="AH39" i="7"/>
  <c r="AH4" i="11"/>
  <c r="AH4" i="7"/>
  <c r="AI1" i="7"/>
  <c r="AI77" i="7" s="1"/>
  <c r="AI87" i="7" s="1"/>
  <c r="AI1" i="11"/>
  <c r="AI22" i="10"/>
  <c r="AH48" i="10"/>
  <c r="AH323" i="11" l="1"/>
  <c r="AH324" i="11"/>
  <c r="AH34" i="7"/>
  <c r="AH41" i="7" s="1"/>
  <c r="AG26" i="11"/>
  <c r="AG20" i="11" s="1"/>
  <c r="BE78" i="11"/>
  <c r="BE77" i="11" s="1"/>
  <c r="AG146" i="11"/>
  <c r="AH109" i="7"/>
  <c r="AH118" i="7"/>
  <c r="AH103" i="7"/>
  <c r="AH124" i="7"/>
  <c r="AH133" i="7"/>
  <c r="Y150" i="11"/>
  <c r="Z80" i="11"/>
  <c r="Z141" i="11" s="1"/>
  <c r="AH12" i="11"/>
  <c r="AH17" i="11" s="1"/>
  <c r="AH8" i="11"/>
  <c r="AH13" i="11" s="1"/>
  <c r="AH115" i="11"/>
  <c r="AH210" i="11"/>
  <c r="AH35" i="11"/>
  <c r="AH11" i="11"/>
  <c r="AH16" i="11" s="1"/>
  <c r="AH10" i="11"/>
  <c r="AH15" i="11" s="1"/>
  <c r="AH9" i="11"/>
  <c r="AH14" i="11" s="1"/>
  <c r="Z79" i="11"/>
  <c r="Z154" i="11" s="1"/>
  <c r="Z75" i="11"/>
  <c r="AG108" i="11"/>
  <c r="Y112" i="11"/>
  <c r="Y105" i="11"/>
  <c r="Y163" i="11"/>
  <c r="Y93" i="11"/>
  <c r="Y137" i="11" s="1"/>
  <c r="Y95" i="11"/>
  <c r="AH79" i="7"/>
  <c r="AH85" i="7" s="1"/>
  <c r="AH169" i="7"/>
  <c r="AH175" i="7" s="1"/>
  <c r="AH154" i="7"/>
  <c r="AH160" i="7" s="1"/>
  <c r="AH176" i="11"/>
  <c r="BK31" i="10"/>
  <c r="BK30" i="10"/>
  <c r="BL28" i="10"/>
  <c r="BL29" i="10" s="1"/>
  <c r="AH171" i="11"/>
  <c r="AH176" i="7"/>
  <c r="AI172" i="7"/>
  <c r="AI173" i="7" s="1"/>
  <c r="AI157" i="7"/>
  <c r="AI158" i="7" s="1"/>
  <c r="AI142" i="7"/>
  <c r="AI127" i="7"/>
  <c r="AI128" i="7" s="1"/>
  <c r="AI112" i="7"/>
  <c r="AI113" i="7" s="1"/>
  <c r="AI37" i="7"/>
  <c r="AI38" i="7" s="1"/>
  <c r="AI97" i="7"/>
  <c r="AI82" i="7"/>
  <c r="AI83" i="7" s="1"/>
  <c r="BL3" i="7"/>
  <c r="BL3" i="11"/>
  <c r="BM20" i="10"/>
  <c r="AI152" i="7"/>
  <c r="AI162" i="7" s="1"/>
  <c r="AI137" i="7"/>
  <c r="AI147" i="7" s="1"/>
  <c r="AI107" i="7"/>
  <c r="AI117" i="7" s="1"/>
  <c r="AI167" i="7"/>
  <c r="AI177" i="7" s="1"/>
  <c r="AI122" i="7"/>
  <c r="AI132" i="7" s="1"/>
  <c r="AH261" i="11"/>
  <c r="AH18" i="7" s="1"/>
  <c r="AI7" i="7"/>
  <c r="AI37" i="10"/>
  <c r="AI45" i="10"/>
  <c r="AI2" i="11"/>
  <c r="AI38" i="10"/>
  <c r="AI46" i="10"/>
  <c r="AI39" i="10"/>
  <c r="AI42" i="10"/>
  <c r="AI43" i="10"/>
  <c r="AI44" i="10"/>
  <c r="AI35" i="10"/>
  <c r="AI40" i="10"/>
  <c r="AI36" i="10"/>
  <c r="AI41" i="10"/>
  <c r="AI2" i="7"/>
  <c r="AJ21" i="10"/>
  <c r="AI23" i="10"/>
  <c r="AI24" i="10"/>
  <c r="AI19" i="10"/>
  <c r="AI32" i="7"/>
  <c r="AI47" i="7"/>
  <c r="AI62" i="7"/>
  <c r="AI72" i="7" s="1"/>
  <c r="AI92" i="7"/>
  <c r="AI102" i="7" s="1"/>
  <c r="AI8" i="7"/>
  <c r="AH130" i="7" l="1"/>
  <c r="AH131" i="7"/>
  <c r="AH115" i="7"/>
  <c r="AH116" i="7"/>
  <c r="AH40" i="7"/>
  <c r="Z149" i="11"/>
  <c r="AI33" i="7"/>
  <c r="AI43" i="7" s="1"/>
  <c r="AI42" i="7"/>
  <c r="AI48" i="7"/>
  <c r="AI58" i="7" s="1"/>
  <c r="AI57" i="7"/>
  <c r="Z119" i="11"/>
  <c r="AH19" i="11"/>
  <c r="Z87" i="11"/>
  <c r="Y96" i="11"/>
  <c r="Z92" i="11"/>
  <c r="Z142" i="11" s="1"/>
  <c r="Z91" i="11"/>
  <c r="Z155" i="11" s="1"/>
  <c r="Z111" i="11"/>
  <c r="Z104" i="11"/>
  <c r="Z81" i="11"/>
  <c r="Z136" i="11" s="1"/>
  <c r="Z83" i="11"/>
  <c r="Z162" i="11"/>
  <c r="AH86" i="7"/>
  <c r="AH88" i="11"/>
  <c r="BF90" i="11" s="1"/>
  <c r="BF89" i="11" s="1"/>
  <c r="BL31" i="10"/>
  <c r="BM28" i="10"/>
  <c r="BM29" i="10" s="1"/>
  <c r="AJ27" i="10"/>
  <c r="BL30" i="10"/>
  <c r="AI63" i="7"/>
  <c r="AI73" i="7" s="1"/>
  <c r="AI168" i="7"/>
  <c r="AI174" i="7"/>
  <c r="AI108" i="7"/>
  <c r="AI118" i="7" s="1"/>
  <c r="AI114" i="7"/>
  <c r="AI138" i="7"/>
  <c r="AI148" i="7" s="1"/>
  <c r="AI144" i="7"/>
  <c r="AI153" i="7"/>
  <c r="AI159" i="7"/>
  <c r="AI123" i="7"/>
  <c r="AI133" i="7" s="1"/>
  <c r="AI129" i="7"/>
  <c r="AI93" i="7"/>
  <c r="AI103" i="7" s="1"/>
  <c r="AI99" i="7"/>
  <c r="AI78" i="7"/>
  <c r="AI88" i="7" s="1"/>
  <c r="AI84" i="7"/>
  <c r="BM3" i="11"/>
  <c r="BM3" i="7"/>
  <c r="BN20" i="10"/>
  <c r="AI131" i="11"/>
  <c r="AI229" i="11"/>
  <c r="AI214" i="11"/>
  <c r="AI230" i="11"/>
  <c r="AI48" i="10"/>
  <c r="AH40" i="11"/>
  <c r="AH42" i="11" s="1"/>
  <c r="AI4" i="11"/>
  <c r="AI4" i="7"/>
  <c r="AJ1" i="7"/>
  <c r="AJ1" i="11"/>
  <c r="AJ22" i="10"/>
  <c r="AH76" i="11"/>
  <c r="BF78" i="11" s="1"/>
  <c r="BF77" i="11" s="1"/>
  <c r="AI39" i="7"/>
  <c r="AH64" i="11"/>
  <c r="AI34" i="7" l="1"/>
  <c r="AI12" i="11"/>
  <c r="AI17" i="11" s="1"/>
  <c r="AI323" i="11"/>
  <c r="AI324" i="11"/>
  <c r="AH148" i="11"/>
  <c r="BL66" i="11"/>
  <c r="BL65" i="11" s="1"/>
  <c r="AH133" i="11"/>
  <c r="AI169" i="7"/>
  <c r="AI175" i="7" s="1"/>
  <c r="AI178" i="7"/>
  <c r="AI154" i="7"/>
  <c r="AI160" i="7" s="1"/>
  <c r="AI163" i="7"/>
  <c r="AI8" i="11"/>
  <c r="AI13" i="11" s="1"/>
  <c r="AI9" i="11"/>
  <c r="AI14" i="11" s="1"/>
  <c r="AI52" i="11" s="1"/>
  <c r="AI11" i="11"/>
  <c r="AI16" i="11" s="1"/>
  <c r="AI115" i="11"/>
  <c r="AI210" i="11"/>
  <c r="AI35" i="11"/>
  <c r="AI10" i="11"/>
  <c r="AI15" i="11" s="1"/>
  <c r="AH110" i="11"/>
  <c r="Z84" i="11"/>
  <c r="AA75" i="11"/>
  <c r="AI41" i="7"/>
  <c r="Z120" i="11"/>
  <c r="AA79" i="11"/>
  <c r="AA154" i="11" s="1"/>
  <c r="AA80" i="11"/>
  <c r="AA141" i="11" s="1"/>
  <c r="AI109" i="7"/>
  <c r="AI124" i="7"/>
  <c r="AI79" i="7"/>
  <c r="AI86" i="7" s="1"/>
  <c r="AI40" i="7"/>
  <c r="AH52" i="11"/>
  <c r="AH26" i="11" s="1"/>
  <c r="AI261" i="11"/>
  <c r="AI18" i="7" s="1"/>
  <c r="AI285" i="11"/>
  <c r="AI176" i="11"/>
  <c r="BM31" i="10"/>
  <c r="BM30" i="10"/>
  <c r="BN28" i="10"/>
  <c r="BN29" i="10" s="1"/>
  <c r="AI171" i="11"/>
  <c r="AI176" i="7"/>
  <c r="AI10" i="7"/>
  <c r="AJ172" i="7"/>
  <c r="AJ173" i="7" s="1"/>
  <c r="AJ157" i="7"/>
  <c r="AJ158" i="7" s="1"/>
  <c r="AJ142" i="7"/>
  <c r="AJ127" i="7"/>
  <c r="AJ128" i="7" s="1"/>
  <c r="AJ112" i="7"/>
  <c r="AJ113" i="7" s="1"/>
  <c r="AJ37" i="7"/>
  <c r="AJ38" i="7" s="1"/>
  <c r="AJ97" i="7"/>
  <c r="AJ82" i="7"/>
  <c r="AJ83" i="7" s="1"/>
  <c r="BN3" i="7"/>
  <c r="BO20" i="10"/>
  <c r="BN3" i="11"/>
  <c r="AJ152" i="7"/>
  <c r="AJ162" i="7" s="1"/>
  <c r="AJ137" i="7"/>
  <c r="AJ147" i="7" s="1"/>
  <c r="AJ167" i="7"/>
  <c r="AJ177" i="7" s="1"/>
  <c r="AJ122" i="7"/>
  <c r="AJ132" i="7" s="1"/>
  <c r="AJ107" i="7"/>
  <c r="AJ117" i="7" s="1"/>
  <c r="AJ7" i="7"/>
  <c r="AJ77" i="7"/>
  <c r="AJ87" i="7" s="1"/>
  <c r="AJ92" i="7"/>
  <c r="AJ102" i="7" s="1"/>
  <c r="AJ47" i="7"/>
  <c r="AJ62" i="7"/>
  <c r="AJ72" i="7" s="1"/>
  <c r="AJ32" i="7"/>
  <c r="AJ8" i="7"/>
  <c r="AJ38" i="10"/>
  <c r="AJ46" i="10"/>
  <c r="AJ39" i="10"/>
  <c r="AJ2" i="11"/>
  <c r="AJ40" i="10"/>
  <c r="AJ41" i="10"/>
  <c r="AJ42" i="10"/>
  <c r="AJ43" i="10"/>
  <c r="AJ44" i="10"/>
  <c r="AJ35" i="10"/>
  <c r="AJ37" i="10"/>
  <c r="AJ45" i="10"/>
  <c r="AJ36" i="10"/>
  <c r="AJ2" i="7"/>
  <c r="AJ23" i="10"/>
  <c r="AJ19" i="10"/>
  <c r="AJ24" i="10"/>
  <c r="AK21" i="10"/>
  <c r="AI130" i="7" l="1"/>
  <c r="AI131" i="7"/>
  <c r="AI115" i="7"/>
  <c r="AI116" i="7"/>
  <c r="AH146" i="11"/>
  <c r="Z150" i="11"/>
  <c r="AJ33" i="7"/>
  <c r="AJ43" i="7" s="1"/>
  <c r="AJ42" i="7"/>
  <c r="AJ48" i="7"/>
  <c r="AJ58" i="7" s="1"/>
  <c r="AJ57" i="7"/>
  <c r="AI19" i="11"/>
  <c r="AH108" i="11"/>
  <c r="Z112" i="11"/>
  <c r="Z93" i="11"/>
  <c r="Z137" i="11" s="1"/>
  <c r="Z163" i="11"/>
  <c r="Z105" i="11"/>
  <c r="Z95" i="11"/>
  <c r="AA119" i="11"/>
  <c r="AI85" i="7"/>
  <c r="AI76" i="11"/>
  <c r="BG78" i="11" s="1"/>
  <c r="BG77" i="11" s="1"/>
  <c r="AI88" i="11"/>
  <c r="BG90" i="11" s="1"/>
  <c r="BG89" i="11" s="1"/>
  <c r="BN31" i="10"/>
  <c r="BN30" i="10"/>
  <c r="AK27" i="10"/>
  <c r="BO28" i="10"/>
  <c r="BO29" i="10" s="1"/>
  <c r="AJ63" i="7"/>
  <c r="AJ73" i="7" s="1"/>
  <c r="AJ153" i="7"/>
  <c r="AJ163" i="7" s="1"/>
  <c r="AJ159" i="7"/>
  <c r="AJ93" i="7"/>
  <c r="AJ99" i="7"/>
  <c r="AJ138" i="7"/>
  <c r="AJ148" i="7" s="1"/>
  <c r="AJ144" i="7"/>
  <c r="AJ168" i="7"/>
  <c r="AJ178" i="7" s="1"/>
  <c r="AJ174" i="7"/>
  <c r="AJ108" i="7"/>
  <c r="AJ114" i="7"/>
  <c r="AJ123" i="7"/>
  <c r="AJ133" i="7" s="1"/>
  <c r="AJ129" i="7"/>
  <c r="AJ78" i="7"/>
  <c r="AJ84" i="7"/>
  <c r="BO3" i="11"/>
  <c r="BO3" i="7"/>
  <c r="BP20" i="10"/>
  <c r="AJ131" i="11"/>
  <c r="AJ229" i="11"/>
  <c r="AJ214" i="11"/>
  <c r="AJ285" i="11" s="1"/>
  <c r="AJ230" i="11"/>
  <c r="AJ4" i="11"/>
  <c r="AJ4" i="7"/>
  <c r="AJ48" i="10"/>
  <c r="AJ39" i="7"/>
  <c r="AK1" i="7"/>
  <c r="AK1" i="11"/>
  <c r="AK22" i="10"/>
  <c r="AI40" i="11"/>
  <c r="AI42" i="11" s="1"/>
  <c r="AJ323" i="11" l="1"/>
  <c r="AJ324" i="11"/>
  <c r="AJ34" i="7"/>
  <c r="AJ41" i="7" s="1"/>
  <c r="AI133" i="11"/>
  <c r="AA149" i="11"/>
  <c r="AJ79" i="7"/>
  <c r="AJ85" i="7" s="1"/>
  <c r="AJ88" i="7"/>
  <c r="AJ103" i="7"/>
  <c r="AJ109" i="7"/>
  <c r="AJ118" i="7"/>
  <c r="AI149" i="11"/>
  <c r="AJ210" i="11"/>
  <c r="AJ115" i="11"/>
  <c r="AJ35" i="11"/>
  <c r="AJ12" i="11"/>
  <c r="AJ17" i="11" s="1"/>
  <c r="AJ9" i="11"/>
  <c r="AJ14" i="11" s="1"/>
  <c r="AJ8" i="11"/>
  <c r="AJ13" i="11" s="1"/>
  <c r="AJ11" i="11"/>
  <c r="AJ16" i="11" s="1"/>
  <c r="AJ10" i="11"/>
  <c r="AJ15" i="11" s="1"/>
  <c r="AA87" i="11"/>
  <c r="Z96" i="11"/>
  <c r="AH20" i="11"/>
  <c r="AI111" i="11"/>
  <c r="AA91" i="11"/>
  <c r="AA155" i="11" s="1"/>
  <c r="AA92" i="11"/>
  <c r="AA142" i="11" s="1"/>
  <c r="AA81" i="11"/>
  <c r="AA136" i="11" s="1"/>
  <c r="AA104" i="11"/>
  <c r="AA83" i="11"/>
  <c r="AA111" i="11"/>
  <c r="AA162" i="11"/>
  <c r="AJ169" i="7"/>
  <c r="AJ175" i="7" s="1"/>
  <c r="AJ154" i="7"/>
  <c r="AJ160" i="7" s="1"/>
  <c r="AJ124" i="7"/>
  <c r="AI64" i="11"/>
  <c r="AJ176" i="11"/>
  <c r="BO31" i="10"/>
  <c r="BO30" i="10"/>
  <c r="BP28" i="10"/>
  <c r="BP29" i="10" s="1"/>
  <c r="AJ171" i="11"/>
  <c r="AJ176" i="7"/>
  <c r="AJ10" i="7"/>
  <c r="AK172" i="7"/>
  <c r="AK173" i="7" s="1"/>
  <c r="AK157" i="7"/>
  <c r="AK158" i="7" s="1"/>
  <c r="AK142" i="7"/>
  <c r="AK127" i="7"/>
  <c r="AK128" i="7" s="1"/>
  <c r="AK112" i="7"/>
  <c r="AK113" i="7" s="1"/>
  <c r="AK37" i="7"/>
  <c r="AK38" i="7" s="1"/>
  <c r="AK97" i="7"/>
  <c r="AK82" i="7"/>
  <c r="AK83" i="7" s="1"/>
  <c r="BP3" i="11"/>
  <c r="BP3" i="7"/>
  <c r="BQ20" i="10"/>
  <c r="BR20" i="10" s="1"/>
  <c r="AI83" i="11"/>
  <c r="AK137" i="7"/>
  <c r="AK147" i="7" s="1"/>
  <c r="AK152" i="7"/>
  <c r="AK162" i="7" s="1"/>
  <c r="AK122" i="7"/>
  <c r="AK132" i="7" s="1"/>
  <c r="AK107" i="7"/>
  <c r="AK117" i="7" s="1"/>
  <c r="AK167" i="7"/>
  <c r="AK177" i="7" s="1"/>
  <c r="AJ261" i="11"/>
  <c r="AJ18" i="7" s="1"/>
  <c r="AK7" i="7"/>
  <c r="AK77" i="7"/>
  <c r="AK87" i="7" s="1"/>
  <c r="AK32" i="7"/>
  <c r="AK62" i="7"/>
  <c r="AK72" i="7" s="1"/>
  <c r="AK8" i="7"/>
  <c r="AK92" i="7"/>
  <c r="AK102" i="7" s="1"/>
  <c r="AK40" i="10"/>
  <c r="AK41" i="10"/>
  <c r="AK42" i="10"/>
  <c r="AK38" i="10"/>
  <c r="AK39" i="10"/>
  <c r="AK43" i="10"/>
  <c r="AK44" i="10"/>
  <c r="AK36" i="10"/>
  <c r="AK35" i="10"/>
  <c r="AK37" i="10"/>
  <c r="AK45" i="10"/>
  <c r="AK46" i="10"/>
  <c r="AK2" i="11"/>
  <c r="AK2" i="7"/>
  <c r="AL21" i="10"/>
  <c r="AK23" i="10"/>
  <c r="AK24" i="10"/>
  <c r="AK19" i="10"/>
  <c r="AJ130" i="7" l="1"/>
  <c r="AJ131" i="7"/>
  <c r="AJ115" i="7"/>
  <c r="AJ116" i="7"/>
  <c r="AJ40" i="7"/>
  <c r="AI148" i="11"/>
  <c r="BM66" i="11"/>
  <c r="BM65" i="11" s="1"/>
  <c r="AI146" i="11"/>
  <c r="AK33" i="7"/>
  <c r="AK43" i="7" s="1"/>
  <c r="AK42" i="7"/>
  <c r="AJ19" i="11"/>
  <c r="AI110" i="11"/>
  <c r="AI26" i="11"/>
  <c r="AB80" i="11"/>
  <c r="AB141" i="11" s="1"/>
  <c r="AA84" i="11"/>
  <c r="AI108" i="11"/>
  <c r="AA120" i="11"/>
  <c r="AB75" i="11"/>
  <c r="AB79" i="11"/>
  <c r="AB154" i="11" s="1"/>
  <c r="AJ40" i="11"/>
  <c r="AJ42" i="11" s="1"/>
  <c r="AJ88" i="11"/>
  <c r="BH90" i="11" s="1"/>
  <c r="BH89" i="11" s="1"/>
  <c r="AJ52" i="11"/>
  <c r="AJ86" i="7"/>
  <c r="BP31" i="10"/>
  <c r="BP30" i="10"/>
  <c r="AL27" i="10"/>
  <c r="BQ28" i="10"/>
  <c r="BQ29" i="10" s="1"/>
  <c r="AK63" i="7"/>
  <c r="AK73" i="7" s="1"/>
  <c r="AK153" i="7"/>
  <c r="AK159" i="7"/>
  <c r="AK138" i="7"/>
  <c r="AK148" i="7" s="1"/>
  <c r="AK144" i="7"/>
  <c r="AK93" i="7"/>
  <c r="AK103" i="7" s="1"/>
  <c r="AK99" i="7"/>
  <c r="AK168" i="7"/>
  <c r="AK174" i="7"/>
  <c r="AK108" i="7"/>
  <c r="AK118" i="7" s="1"/>
  <c r="AK114" i="7"/>
  <c r="AK123" i="7"/>
  <c r="AK133" i="7" s="1"/>
  <c r="AK129" i="7"/>
  <c r="AK78" i="7"/>
  <c r="AK84" i="7"/>
  <c r="BQ3" i="7"/>
  <c r="BQ3" i="11"/>
  <c r="AK214" i="11"/>
  <c r="AK230" i="11"/>
  <c r="AK131" i="11"/>
  <c r="AK229" i="11"/>
  <c r="AK48" i="10"/>
  <c r="AK4" i="11"/>
  <c r="AK4" i="7"/>
  <c r="AJ76" i="11"/>
  <c r="BH78" i="11" s="1"/>
  <c r="BH77" i="11" s="1"/>
  <c r="AL1" i="7"/>
  <c r="AL1" i="11"/>
  <c r="AL22" i="10"/>
  <c r="AJ64" i="11"/>
  <c r="AK39" i="7"/>
  <c r="AK9" i="11" l="1"/>
  <c r="AK14" i="11" s="1"/>
  <c r="AK323" i="11"/>
  <c r="AK324" i="11"/>
  <c r="AJ148" i="11"/>
  <c r="BN66" i="11"/>
  <c r="BN65" i="11" s="1"/>
  <c r="AJ133" i="11"/>
  <c r="AA150" i="11"/>
  <c r="AK34" i="7"/>
  <c r="AK41" i="7" s="1"/>
  <c r="AK169" i="7"/>
  <c r="AK175" i="7" s="1"/>
  <c r="AK178" i="7"/>
  <c r="AK79" i="7"/>
  <c r="AK85" i="7" s="1"/>
  <c r="AK88" i="7"/>
  <c r="AK154" i="7"/>
  <c r="AK160" i="7" s="1"/>
  <c r="AK163" i="7"/>
  <c r="AK12" i="11"/>
  <c r="AK17" i="11" s="1"/>
  <c r="AK10" i="11"/>
  <c r="AK15" i="11" s="1"/>
  <c r="AK115" i="11"/>
  <c r="AK210" i="11"/>
  <c r="AK35" i="11"/>
  <c r="AK8" i="11"/>
  <c r="AK13" i="11" s="1"/>
  <c r="AK11" i="11"/>
  <c r="AK16" i="11" s="1"/>
  <c r="AK76" i="11" s="1"/>
  <c r="BI78" i="11" s="1"/>
  <c r="BI77" i="11" s="1"/>
  <c r="AJ110" i="11"/>
  <c r="AJ26" i="11"/>
  <c r="AJ20" i="11" s="1"/>
  <c r="AB119" i="11"/>
  <c r="AI20" i="11"/>
  <c r="AA112" i="11"/>
  <c r="AA95" i="11"/>
  <c r="AA105" i="11"/>
  <c r="AA93" i="11"/>
  <c r="AA137" i="11" s="1"/>
  <c r="AA163" i="11"/>
  <c r="AK109" i="7"/>
  <c r="AK124" i="7"/>
  <c r="AK261" i="11"/>
  <c r="AK18" i="7" s="1"/>
  <c r="AK285" i="11"/>
  <c r="AK176" i="11"/>
  <c r="BQ30" i="10"/>
  <c r="BQ31" i="10"/>
  <c r="BR28" i="10"/>
  <c r="BR29" i="10" s="1"/>
  <c r="AK171" i="11"/>
  <c r="AK176" i="7"/>
  <c r="AL172" i="7"/>
  <c r="AL173" i="7" s="1"/>
  <c r="AL157" i="7"/>
  <c r="AL158" i="7" s="1"/>
  <c r="AL142" i="7"/>
  <c r="AL127" i="7"/>
  <c r="AL128" i="7" s="1"/>
  <c r="AL112" i="7"/>
  <c r="AL113" i="7" s="1"/>
  <c r="AL37" i="7"/>
  <c r="AL38" i="7" s="1"/>
  <c r="AL97" i="7"/>
  <c r="AL82" i="7"/>
  <c r="AL83" i="7" s="1"/>
  <c r="BR3" i="7"/>
  <c r="BS20" i="10"/>
  <c r="BR3" i="11"/>
  <c r="AJ149" i="11"/>
  <c r="AL152" i="7"/>
  <c r="AL162" i="7" s="1"/>
  <c r="AL167" i="7"/>
  <c r="AL177" i="7" s="1"/>
  <c r="AL122" i="7"/>
  <c r="AL132" i="7" s="1"/>
  <c r="AL107" i="7"/>
  <c r="AL117" i="7" s="1"/>
  <c r="AL137" i="7"/>
  <c r="AL147" i="7" s="1"/>
  <c r="AL7" i="7"/>
  <c r="AL42" i="10"/>
  <c r="AL35" i="10"/>
  <c r="AL43" i="10"/>
  <c r="AL36" i="10"/>
  <c r="AL44" i="10"/>
  <c r="AL38" i="10"/>
  <c r="AL39" i="10"/>
  <c r="AL40" i="10"/>
  <c r="AL41" i="10"/>
  <c r="AL2" i="11"/>
  <c r="AL46" i="10"/>
  <c r="AL37" i="10"/>
  <c r="AL45" i="10"/>
  <c r="AL2" i="7"/>
  <c r="AM21" i="10"/>
  <c r="AL24" i="10"/>
  <c r="AL23" i="10"/>
  <c r="AL19" i="10"/>
  <c r="AL92" i="7"/>
  <c r="AL102" i="7" s="1"/>
  <c r="AL77" i="7"/>
  <c r="AL87" i="7" s="1"/>
  <c r="AL62" i="7"/>
  <c r="AL72" i="7" s="1"/>
  <c r="AL8" i="7"/>
  <c r="AL32" i="7"/>
  <c r="AK130" i="7" l="1"/>
  <c r="AK131" i="7"/>
  <c r="AK115" i="7"/>
  <c r="AK116" i="7"/>
  <c r="AK40" i="7"/>
  <c r="AJ146" i="11"/>
  <c r="AB149" i="11"/>
  <c r="AL33" i="7"/>
  <c r="AL43" i="7" s="1"/>
  <c r="AL42" i="7"/>
  <c r="AK19" i="11"/>
  <c r="AB87" i="11"/>
  <c r="AA96" i="11"/>
  <c r="AJ108" i="11"/>
  <c r="AB91" i="11"/>
  <c r="AB155" i="11" s="1"/>
  <c r="AJ111" i="11"/>
  <c r="AB92" i="11"/>
  <c r="AB142" i="11" s="1"/>
  <c r="AB111" i="11"/>
  <c r="AB83" i="11"/>
  <c r="AB81" i="11"/>
  <c r="AB136" i="11" s="1"/>
  <c r="AB162" i="11"/>
  <c r="AB104" i="11"/>
  <c r="AK52" i="11"/>
  <c r="AK86" i="7"/>
  <c r="BR31" i="10"/>
  <c r="BR30" i="10"/>
  <c r="BS28" i="10"/>
  <c r="BS29" i="10" s="1"/>
  <c r="AM27" i="10"/>
  <c r="AL63" i="7"/>
  <c r="AL73" i="7" s="1"/>
  <c r="AL108" i="7"/>
  <c r="AL114" i="7"/>
  <c r="AL123" i="7"/>
  <c r="AL129" i="7"/>
  <c r="AL138" i="7"/>
  <c r="AL148" i="7" s="1"/>
  <c r="AL144" i="7"/>
  <c r="AL168" i="7"/>
  <c r="AL178" i="7" s="1"/>
  <c r="AL174" i="7"/>
  <c r="AL153" i="7"/>
  <c r="AL163" i="7" s="1"/>
  <c r="AL159" i="7"/>
  <c r="AL93" i="7"/>
  <c r="AL99" i="7"/>
  <c r="AL78" i="7"/>
  <c r="AL84" i="7"/>
  <c r="BS3" i="7"/>
  <c r="BS3" i="11"/>
  <c r="BT20" i="10"/>
  <c r="AJ83" i="11"/>
  <c r="AK149" i="11"/>
  <c r="AL131" i="11"/>
  <c r="AL229" i="11"/>
  <c r="AL214" i="11"/>
  <c r="AL261" i="11" s="1"/>
  <c r="AL18" i="7" s="1"/>
  <c r="AL230" i="11"/>
  <c r="AL48" i="10"/>
  <c r="AL4" i="11"/>
  <c r="AL4" i="7"/>
  <c r="AL39" i="7"/>
  <c r="AK40" i="11"/>
  <c r="AK42" i="11" s="1"/>
  <c r="AM1" i="7"/>
  <c r="AM1" i="11"/>
  <c r="AM22" i="10"/>
  <c r="AK64" i="11"/>
  <c r="AL324" i="11" l="1"/>
  <c r="AL323" i="11"/>
  <c r="AK148" i="11"/>
  <c r="BO66" i="11"/>
  <c r="BO65" i="11" s="1"/>
  <c r="AK133" i="11"/>
  <c r="AL34" i="7"/>
  <c r="AL40" i="7" s="1"/>
  <c r="AL124" i="7"/>
  <c r="AL133" i="7"/>
  <c r="AL109" i="7"/>
  <c r="AL118" i="7"/>
  <c r="AL103" i="7"/>
  <c r="AL79" i="7"/>
  <c r="AL85" i="7" s="1"/>
  <c r="AL88" i="7"/>
  <c r="AL8" i="11"/>
  <c r="AL13" i="11" s="1"/>
  <c r="AL40" i="11" s="1"/>
  <c r="AL42" i="11" s="1"/>
  <c r="AL115" i="11"/>
  <c r="AL210" i="11"/>
  <c r="AL35" i="11"/>
  <c r="AL9" i="11"/>
  <c r="AL14" i="11" s="1"/>
  <c r="AL12" i="11"/>
  <c r="AL17" i="11" s="1"/>
  <c r="AL88" i="11" s="1"/>
  <c r="BJ90" i="11" s="1"/>
  <c r="BJ89" i="11" s="1"/>
  <c r="AL10" i="11"/>
  <c r="AL15" i="11" s="1"/>
  <c r="AL11" i="11"/>
  <c r="AL16" i="11" s="1"/>
  <c r="AK110" i="11"/>
  <c r="AC80" i="11"/>
  <c r="AC141" i="11" s="1"/>
  <c r="AB84" i="11"/>
  <c r="AK111" i="11"/>
  <c r="AB120" i="11"/>
  <c r="AC79" i="11"/>
  <c r="AC154" i="11" s="1"/>
  <c r="AC75" i="11"/>
  <c r="AL169" i="7"/>
  <c r="AL154" i="7"/>
  <c r="AL160" i="7" s="1"/>
  <c r="AK88" i="11"/>
  <c r="AL285" i="11"/>
  <c r="AL176" i="11"/>
  <c r="BS31" i="10"/>
  <c r="BS30" i="10"/>
  <c r="BT28" i="10"/>
  <c r="BT29" i="10" s="1"/>
  <c r="AL171" i="11"/>
  <c r="AK83" i="11"/>
  <c r="AL176" i="7"/>
  <c r="AM172" i="7"/>
  <c r="AM173" i="7" s="1"/>
  <c r="AM157" i="7"/>
  <c r="AM158" i="7" s="1"/>
  <c r="AM142" i="7"/>
  <c r="AM97" i="7"/>
  <c r="AM82" i="7"/>
  <c r="AM83" i="7" s="1"/>
  <c r="AM37" i="7"/>
  <c r="AM38" i="7" s="1"/>
  <c r="AM127" i="7"/>
  <c r="AM128" i="7" s="1"/>
  <c r="AM112" i="7"/>
  <c r="AM113" i="7" s="1"/>
  <c r="BT3" i="11"/>
  <c r="BU20" i="10"/>
  <c r="BT3" i="7"/>
  <c r="AM137" i="7"/>
  <c r="AM147" i="7" s="1"/>
  <c r="AM167" i="7"/>
  <c r="AM177" i="7" s="1"/>
  <c r="AM152" i="7"/>
  <c r="AM162" i="7" s="1"/>
  <c r="AM107" i="7"/>
  <c r="AM117" i="7" s="1"/>
  <c r="AM122" i="7"/>
  <c r="AM132" i="7" s="1"/>
  <c r="AM7" i="7"/>
  <c r="AM77" i="7"/>
  <c r="AM87" i="7" s="1"/>
  <c r="AM47" i="7"/>
  <c r="AM62" i="7"/>
  <c r="AM72" i="7" s="1"/>
  <c r="AM92" i="7"/>
  <c r="AM102" i="7" s="1"/>
  <c r="AM32" i="7"/>
  <c r="AM8" i="7"/>
  <c r="AM36" i="10"/>
  <c r="AM44" i="10"/>
  <c r="AM37" i="10"/>
  <c r="AM45" i="10"/>
  <c r="AM38" i="10"/>
  <c r="AM46" i="10"/>
  <c r="AM35" i="10"/>
  <c r="AM39" i="10"/>
  <c r="AM40" i="10"/>
  <c r="AM41" i="10"/>
  <c r="AM42" i="10"/>
  <c r="AM43" i="10"/>
  <c r="AM2" i="11"/>
  <c r="AM2" i="7"/>
  <c r="AN21" i="10"/>
  <c r="AM23" i="10"/>
  <c r="AM24" i="10"/>
  <c r="AM19" i="10"/>
  <c r="AL130" i="7" l="1"/>
  <c r="AL131" i="7"/>
  <c r="AL115" i="7"/>
  <c r="AL116" i="7"/>
  <c r="AK26" i="11"/>
  <c r="BI90" i="11"/>
  <c r="BI89" i="11" s="1"/>
  <c r="AL41" i="7"/>
  <c r="AL133" i="11"/>
  <c r="AB150" i="11"/>
  <c r="AK146" i="11"/>
  <c r="AM33" i="7"/>
  <c r="AM43" i="7" s="1"/>
  <c r="AM42" i="7"/>
  <c r="AM48" i="7"/>
  <c r="AM58" i="7" s="1"/>
  <c r="AM57" i="7"/>
  <c r="AL19" i="11"/>
  <c r="AL64" i="11"/>
  <c r="BP66" i="11" s="1"/>
  <c r="BP65" i="11" s="1"/>
  <c r="AC119" i="11"/>
  <c r="AB105" i="11"/>
  <c r="AB95" i="11"/>
  <c r="AB93" i="11"/>
  <c r="AB137" i="11" s="1"/>
  <c r="AB163" i="11"/>
  <c r="AB112" i="11"/>
  <c r="AK108" i="11"/>
  <c r="AL175" i="7"/>
  <c r="AL52" i="11"/>
  <c r="AL86" i="7"/>
  <c r="BT31" i="10"/>
  <c r="BT30" i="10"/>
  <c r="BU28" i="10"/>
  <c r="BU29" i="10" s="1"/>
  <c r="AN27" i="10"/>
  <c r="AM63" i="7"/>
  <c r="AM73" i="7" s="1"/>
  <c r="AM108" i="7"/>
  <c r="AM118" i="7" s="1"/>
  <c r="AM114" i="7"/>
  <c r="AM168" i="7"/>
  <c r="AM178" i="7" s="1"/>
  <c r="AM174" i="7"/>
  <c r="AM153" i="7"/>
  <c r="AM163" i="7" s="1"/>
  <c r="AM159" i="7"/>
  <c r="AM138" i="7"/>
  <c r="AM144" i="7"/>
  <c r="AM123" i="7"/>
  <c r="AM133" i="7" s="1"/>
  <c r="AM129" i="7"/>
  <c r="AM93" i="7"/>
  <c r="AM103" i="7" s="1"/>
  <c r="AM99" i="7"/>
  <c r="AM78" i="7"/>
  <c r="AM84" i="7"/>
  <c r="BU3" i="11"/>
  <c r="BU3" i="7"/>
  <c r="BV20" i="10"/>
  <c r="AM214" i="11"/>
  <c r="AM261" i="11" s="1"/>
  <c r="AM18" i="7" s="1"/>
  <c r="AM230" i="11"/>
  <c r="AM131" i="11"/>
  <c r="AM229" i="11"/>
  <c r="AN1" i="7"/>
  <c r="AN1" i="11"/>
  <c r="AN22" i="10"/>
  <c r="AM39" i="7"/>
  <c r="AM48" i="10"/>
  <c r="AM4" i="11"/>
  <c r="AM4" i="7"/>
  <c r="AL76" i="11"/>
  <c r="BJ78" i="11" s="1"/>
  <c r="BJ77" i="11" s="1"/>
  <c r="AM12" i="11" l="1"/>
  <c r="AM17" i="11" s="1"/>
  <c r="AM88" i="11" s="1"/>
  <c r="BK90" i="11" s="1"/>
  <c r="BK89" i="11" s="1"/>
  <c r="AM323" i="11"/>
  <c r="AM324" i="11"/>
  <c r="AL146" i="11"/>
  <c r="AM34" i="7"/>
  <c r="AM41" i="7" s="1"/>
  <c r="AC149" i="11"/>
  <c r="AM79" i="7"/>
  <c r="AM85" i="7" s="1"/>
  <c r="AM88" i="7"/>
  <c r="AM148" i="7"/>
  <c r="AL110" i="11"/>
  <c r="AL148" i="11"/>
  <c r="AM9" i="11"/>
  <c r="AM14" i="11" s="1"/>
  <c r="AL26" i="11"/>
  <c r="AL20" i="11" s="1"/>
  <c r="AM115" i="11"/>
  <c r="AM210" i="11"/>
  <c r="AM35" i="11"/>
  <c r="AM8" i="11"/>
  <c r="AM13" i="11" s="1"/>
  <c r="AM10" i="11"/>
  <c r="AM15" i="11" s="1"/>
  <c r="AM11" i="11"/>
  <c r="AM16" i="11" s="1"/>
  <c r="AM76" i="11" s="1"/>
  <c r="BK78" i="11" s="1"/>
  <c r="BK77" i="11" s="1"/>
  <c r="AC87" i="11"/>
  <c r="AB96" i="11"/>
  <c r="AK20" i="11"/>
  <c r="AL108" i="11"/>
  <c r="AC92" i="11"/>
  <c r="AC142" i="11" s="1"/>
  <c r="AC91" i="11"/>
  <c r="AC155" i="11" s="1"/>
  <c r="AC81" i="11"/>
  <c r="AC136" i="11" s="1"/>
  <c r="AC104" i="11"/>
  <c r="AC83" i="11"/>
  <c r="AC111" i="11"/>
  <c r="AC162" i="11"/>
  <c r="AM169" i="7"/>
  <c r="AM175" i="7" s="1"/>
  <c r="AM109" i="7"/>
  <c r="AM116" i="7" s="1"/>
  <c r="AM124" i="7"/>
  <c r="AM154" i="7"/>
  <c r="AM160" i="7" s="1"/>
  <c r="AM285" i="11"/>
  <c r="AM176" i="11"/>
  <c r="BU31" i="10"/>
  <c r="BU30" i="10"/>
  <c r="BV28" i="10"/>
  <c r="BV29" i="10" s="1"/>
  <c r="AM171" i="11"/>
  <c r="AM176" i="7"/>
  <c r="AM10" i="7"/>
  <c r="AN172" i="7"/>
  <c r="AN173" i="7" s="1"/>
  <c r="AN157" i="7"/>
  <c r="AN158" i="7" s="1"/>
  <c r="AN142" i="7"/>
  <c r="AN127" i="7"/>
  <c r="AN128" i="7" s="1"/>
  <c r="AN112" i="7"/>
  <c r="AN113" i="7" s="1"/>
  <c r="AN37" i="7"/>
  <c r="AN38" i="7" s="1"/>
  <c r="AN97" i="7"/>
  <c r="AN82" i="7"/>
  <c r="AN83" i="7" s="1"/>
  <c r="BV3" i="11"/>
  <c r="BV3" i="7"/>
  <c r="BW20" i="10"/>
  <c r="AL149" i="11"/>
  <c r="AN122" i="7"/>
  <c r="AN132" i="7" s="1"/>
  <c r="AN137" i="7"/>
  <c r="AN147" i="7" s="1"/>
  <c r="AN107" i="7"/>
  <c r="AN117" i="7" s="1"/>
  <c r="AN152" i="7"/>
  <c r="AN162" i="7" s="1"/>
  <c r="AN167" i="7"/>
  <c r="AN177" i="7" s="1"/>
  <c r="AN7" i="7"/>
  <c r="AN2" i="11"/>
  <c r="AN38" i="10"/>
  <c r="AN46" i="10"/>
  <c r="AN39" i="10"/>
  <c r="AN35" i="10"/>
  <c r="AN45" i="10"/>
  <c r="AN36" i="10"/>
  <c r="AN37" i="10"/>
  <c r="AN40" i="10"/>
  <c r="AN43" i="10"/>
  <c r="AN41" i="10"/>
  <c r="AN42" i="10"/>
  <c r="AN44" i="10"/>
  <c r="AN2" i="7"/>
  <c r="AN23" i="10"/>
  <c r="AO21" i="10"/>
  <c r="AN24" i="10"/>
  <c r="AN19" i="10"/>
  <c r="AN77" i="7"/>
  <c r="AN87" i="7" s="1"/>
  <c r="AN32" i="7"/>
  <c r="AN62" i="7"/>
  <c r="AN72" i="7" s="1"/>
  <c r="AN47" i="7"/>
  <c r="AN8" i="7"/>
  <c r="AN92" i="7"/>
  <c r="AN102" i="7" s="1"/>
  <c r="AM130" i="7" l="1"/>
  <c r="AM131" i="7"/>
  <c r="AM40" i="7"/>
  <c r="AN33" i="7"/>
  <c r="AN43" i="7" s="1"/>
  <c r="AN42" i="7"/>
  <c r="AN48" i="7"/>
  <c r="AN58" i="7" s="1"/>
  <c r="AN57" i="7"/>
  <c r="AM52" i="11"/>
  <c r="AM19" i="11"/>
  <c r="AD75" i="11"/>
  <c r="AC84" i="11"/>
  <c r="AC120" i="11"/>
  <c r="AL111" i="11"/>
  <c r="AD79" i="11"/>
  <c r="AD154" i="11" s="1"/>
  <c r="AD80" i="11"/>
  <c r="AD141" i="11" s="1"/>
  <c r="AM115" i="7"/>
  <c r="AM86" i="7"/>
  <c r="BV31" i="10"/>
  <c r="BV30" i="10"/>
  <c r="AO27" i="10"/>
  <c r="BW28" i="10"/>
  <c r="BW29" i="10" s="1"/>
  <c r="AL83" i="11"/>
  <c r="AN63" i="7"/>
  <c r="AN73" i="7" s="1"/>
  <c r="AN123" i="7"/>
  <c r="AN129" i="7"/>
  <c r="AN93" i="7"/>
  <c r="AN103" i="7" s="1"/>
  <c r="AN99" i="7"/>
  <c r="AN168" i="7"/>
  <c r="AN174" i="7"/>
  <c r="AN108" i="7"/>
  <c r="AN118" i="7" s="1"/>
  <c r="AN114" i="7"/>
  <c r="AN153" i="7"/>
  <c r="AN163" i="7" s="1"/>
  <c r="AN159" i="7"/>
  <c r="AN138" i="7"/>
  <c r="AN148" i="7" s="1"/>
  <c r="AN144" i="7"/>
  <c r="AN78" i="7"/>
  <c r="AN84" i="7"/>
  <c r="BX20" i="10"/>
  <c r="BW3" i="11"/>
  <c r="BW3" i="7"/>
  <c r="AM149" i="11"/>
  <c r="AN214" i="11"/>
  <c r="AN261" i="11" s="1"/>
  <c r="AN18" i="7" s="1"/>
  <c r="AN230" i="11"/>
  <c r="AN131" i="11"/>
  <c r="AN229" i="11"/>
  <c r="AN39" i="7"/>
  <c r="AM40" i="11"/>
  <c r="AM42" i="11" s="1"/>
  <c r="AN48" i="10"/>
  <c r="AO1" i="7"/>
  <c r="AO1" i="11"/>
  <c r="AO22" i="10"/>
  <c r="AM64" i="11"/>
  <c r="AN4" i="11"/>
  <c r="AN4" i="7"/>
  <c r="AN34" i="7" l="1"/>
  <c r="AN323" i="11"/>
  <c r="AN324" i="11"/>
  <c r="AM148" i="11"/>
  <c r="BQ66" i="11"/>
  <c r="BQ65" i="11" s="1"/>
  <c r="AM133" i="11"/>
  <c r="AC150" i="11"/>
  <c r="AN79" i="7"/>
  <c r="AN85" i="7" s="1"/>
  <c r="AN88" i="7"/>
  <c r="AN169" i="7"/>
  <c r="AN175" i="7" s="1"/>
  <c r="AN178" i="7"/>
  <c r="AN124" i="7"/>
  <c r="AN133" i="7"/>
  <c r="AN210" i="11"/>
  <c r="AN115" i="11"/>
  <c r="AN35" i="11"/>
  <c r="AN9" i="11"/>
  <c r="AN14" i="11" s="1"/>
  <c r="AN12" i="11"/>
  <c r="AN17" i="11" s="1"/>
  <c r="AN88" i="11" s="1"/>
  <c r="BL90" i="11" s="1"/>
  <c r="BL89" i="11" s="1"/>
  <c r="AN8" i="11"/>
  <c r="AN13" i="11" s="1"/>
  <c r="AN11" i="11"/>
  <c r="AN16" i="11" s="1"/>
  <c r="AN10" i="11"/>
  <c r="AN15" i="11" s="1"/>
  <c r="AN64" i="11" s="1"/>
  <c r="AM110" i="11"/>
  <c r="AM26" i="11"/>
  <c r="AM20" i="11" s="1"/>
  <c r="AN41" i="7"/>
  <c r="AC163" i="11"/>
  <c r="AC105" i="11"/>
  <c r="AC95" i="11"/>
  <c r="AC112" i="11"/>
  <c r="AC93" i="11"/>
  <c r="AC137" i="11" s="1"/>
  <c r="AM111" i="11"/>
  <c r="AD119" i="11"/>
  <c r="AN154" i="7"/>
  <c r="AN160" i="7" s="1"/>
  <c r="AN109" i="7"/>
  <c r="AN116" i="7" s="1"/>
  <c r="AN40" i="7"/>
  <c r="AN285" i="11"/>
  <c r="AN176" i="11"/>
  <c r="BW31" i="10"/>
  <c r="BW30" i="10"/>
  <c r="BX28" i="10"/>
  <c r="BX29" i="10" s="1"/>
  <c r="AN171" i="11"/>
  <c r="AM83" i="11"/>
  <c r="AN176" i="7"/>
  <c r="AN10" i="7"/>
  <c r="AO172" i="7"/>
  <c r="AO173" i="7" s="1"/>
  <c r="AO157" i="7"/>
  <c r="AO158" i="7" s="1"/>
  <c r="AO142" i="7"/>
  <c r="AO97" i="7"/>
  <c r="AO82" i="7"/>
  <c r="AO83" i="7" s="1"/>
  <c r="AO37" i="7"/>
  <c r="AO38" i="7" s="1"/>
  <c r="AO127" i="7"/>
  <c r="AO128" i="7" s="1"/>
  <c r="AO112" i="7"/>
  <c r="AO113" i="7" s="1"/>
  <c r="BY20" i="10"/>
  <c r="BX3" i="7"/>
  <c r="BX3" i="11"/>
  <c r="AO167" i="7"/>
  <c r="AO177" i="7" s="1"/>
  <c r="AO122" i="7"/>
  <c r="AO132" i="7" s="1"/>
  <c r="AO152" i="7"/>
  <c r="AO162" i="7" s="1"/>
  <c r="AO107" i="7"/>
  <c r="AO117" i="7" s="1"/>
  <c r="AO137" i="7"/>
  <c r="AO147" i="7" s="1"/>
  <c r="AO7" i="7"/>
  <c r="AO40" i="10"/>
  <c r="AO41" i="10"/>
  <c r="AO2" i="11"/>
  <c r="AO43" i="10"/>
  <c r="AO44" i="10"/>
  <c r="AO35" i="10"/>
  <c r="AO45" i="10"/>
  <c r="AO36" i="10"/>
  <c r="AO46" i="10"/>
  <c r="AO39" i="10"/>
  <c r="AO42" i="10"/>
  <c r="AO37" i="10"/>
  <c r="AO38" i="10"/>
  <c r="AO2" i="7"/>
  <c r="AP21" i="10"/>
  <c r="AO23" i="10"/>
  <c r="AO24" i="10"/>
  <c r="AO19" i="10"/>
  <c r="AO77" i="7"/>
  <c r="AO87" i="7" s="1"/>
  <c r="AO47" i="7"/>
  <c r="AO62" i="7"/>
  <c r="AO72" i="7" s="1"/>
  <c r="AO92" i="7"/>
  <c r="AO102" i="7" s="1"/>
  <c r="AO32" i="7"/>
  <c r="AO8" i="7"/>
  <c r="AN130" i="7" l="1"/>
  <c r="AN131" i="7"/>
  <c r="AN148" i="11"/>
  <c r="BR66" i="11"/>
  <c r="BR65" i="11" s="1"/>
  <c r="AD149" i="11"/>
  <c r="AM146" i="11"/>
  <c r="AO33" i="7"/>
  <c r="AO43" i="7" s="1"/>
  <c r="AO42" i="7"/>
  <c r="AO48" i="7"/>
  <c r="AO58" i="7" s="1"/>
  <c r="AO57" i="7"/>
  <c r="AN52" i="11"/>
  <c r="AN19" i="11"/>
  <c r="AD87" i="11"/>
  <c r="AN110" i="11"/>
  <c r="AC96" i="11"/>
  <c r="AD92" i="11"/>
  <c r="AD142" i="11" s="1"/>
  <c r="AD91" i="11"/>
  <c r="AD155" i="11" s="1"/>
  <c r="AM108" i="11"/>
  <c r="AD81" i="11"/>
  <c r="AD136" i="11" s="1"/>
  <c r="AD104" i="11"/>
  <c r="AD162" i="11"/>
  <c r="AD111" i="11"/>
  <c r="AD83" i="11"/>
  <c r="AN115" i="7"/>
  <c r="AN86" i="7"/>
  <c r="BX31" i="10"/>
  <c r="BX30" i="10"/>
  <c r="BY28" i="10"/>
  <c r="BY29" i="10" s="1"/>
  <c r="AP27" i="10"/>
  <c r="AO63" i="7"/>
  <c r="AO73" i="7" s="1"/>
  <c r="AO168" i="7"/>
  <c r="AO178" i="7" s="1"/>
  <c r="AO174" i="7"/>
  <c r="AO93" i="7"/>
  <c r="AO99" i="7"/>
  <c r="AO138" i="7"/>
  <c r="AO148" i="7" s="1"/>
  <c r="AO144" i="7"/>
  <c r="AO108" i="7"/>
  <c r="AO118" i="7" s="1"/>
  <c r="AO114" i="7"/>
  <c r="AO153" i="7"/>
  <c r="AO159" i="7"/>
  <c r="AO123" i="7"/>
  <c r="AO133" i="7" s="1"/>
  <c r="AO129" i="7"/>
  <c r="AO78" i="7"/>
  <c r="AO84" i="7"/>
  <c r="BY3" i="11"/>
  <c r="BZ20" i="10"/>
  <c r="BY3" i="7"/>
  <c r="AO214" i="11"/>
  <c r="AO261" i="11" s="1"/>
  <c r="AO18" i="7" s="1"/>
  <c r="AO230" i="11"/>
  <c r="AO131" i="11"/>
  <c r="AO229" i="11"/>
  <c r="AN40" i="11"/>
  <c r="AN42" i="11" s="1"/>
  <c r="AO4" i="11"/>
  <c r="AO4" i="7"/>
  <c r="AO39" i="7"/>
  <c r="AO48" i="10"/>
  <c r="AP1" i="7"/>
  <c r="AP1" i="11"/>
  <c r="AP22" i="10"/>
  <c r="AO9" i="11" l="1"/>
  <c r="AO14" i="11" s="1"/>
  <c r="AO52" i="11" s="1"/>
  <c r="AO324" i="11"/>
  <c r="AO323" i="11"/>
  <c r="AN133" i="11"/>
  <c r="AO34" i="7"/>
  <c r="AO40" i="7" s="1"/>
  <c r="AO79" i="7"/>
  <c r="AO85" i="7" s="1"/>
  <c r="AO88" i="7"/>
  <c r="AO103" i="7"/>
  <c r="AO154" i="7"/>
  <c r="AO160" i="7" s="1"/>
  <c r="AO163" i="7"/>
  <c r="AO12" i="11"/>
  <c r="AO17" i="11" s="1"/>
  <c r="AO11" i="11"/>
  <c r="AO16" i="11" s="1"/>
  <c r="AO10" i="11"/>
  <c r="AO15" i="11" s="1"/>
  <c r="AO210" i="11"/>
  <c r="AO115" i="11"/>
  <c r="AO35" i="11"/>
  <c r="AO8" i="11"/>
  <c r="AO13" i="11" s="1"/>
  <c r="AE75" i="11"/>
  <c r="AD84" i="11"/>
  <c r="AD120" i="11"/>
  <c r="AE80" i="11"/>
  <c r="AE141" i="11" s="1"/>
  <c r="AE79" i="11"/>
  <c r="AE154" i="11" s="1"/>
  <c r="AO124" i="7"/>
  <c r="AO169" i="7"/>
  <c r="AO109" i="7"/>
  <c r="AO116" i="7" s="1"/>
  <c r="AO285" i="11"/>
  <c r="AO176" i="11"/>
  <c r="AN76" i="11"/>
  <c r="BY30" i="10"/>
  <c r="BY31" i="10"/>
  <c r="BZ28" i="10"/>
  <c r="BZ29" i="10" s="1"/>
  <c r="AO171" i="11"/>
  <c r="AO176" i="7"/>
  <c r="AO10" i="7"/>
  <c r="AP127" i="7"/>
  <c r="AP128" i="7" s="1"/>
  <c r="AP82" i="7"/>
  <c r="AP83" i="7" s="1"/>
  <c r="AP97" i="7"/>
  <c r="AP112" i="7"/>
  <c r="AP113" i="7" s="1"/>
  <c r="AP172" i="7"/>
  <c r="AP173" i="7" s="1"/>
  <c r="AP37" i="7"/>
  <c r="AP38" i="7" s="1"/>
  <c r="AP157" i="7"/>
  <c r="AP158" i="7" s="1"/>
  <c r="AP142" i="7"/>
  <c r="BZ3" i="11"/>
  <c r="BZ3" i="7"/>
  <c r="CA20" i="10"/>
  <c r="AP122" i="7"/>
  <c r="AP132" i="7" s="1"/>
  <c r="AP152" i="7"/>
  <c r="AP162" i="7" s="1"/>
  <c r="AP107" i="7"/>
  <c r="AP117" i="7" s="1"/>
  <c r="AP137" i="7"/>
  <c r="AP147" i="7" s="1"/>
  <c r="AP167" i="7"/>
  <c r="AP177" i="7" s="1"/>
  <c r="AP7" i="7"/>
  <c r="AP2" i="11"/>
  <c r="AP42" i="10"/>
  <c r="AP35" i="10"/>
  <c r="AP43" i="10"/>
  <c r="AP39" i="10"/>
  <c r="AP40" i="10"/>
  <c r="AP41" i="10"/>
  <c r="AP44" i="10"/>
  <c r="AP37" i="10"/>
  <c r="AP36" i="10"/>
  <c r="AP38" i="10"/>
  <c r="AP46" i="10"/>
  <c r="AP45" i="10"/>
  <c r="AP2" i="7"/>
  <c r="AQ21" i="10"/>
  <c r="AP23" i="10"/>
  <c r="AP19" i="10"/>
  <c r="AP24" i="10"/>
  <c r="AP32" i="7"/>
  <c r="AP77" i="7"/>
  <c r="AP87" i="7" s="1"/>
  <c r="AP92" i="7"/>
  <c r="AP102" i="7" s="1"/>
  <c r="AP47" i="7"/>
  <c r="AP62" i="7"/>
  <c r="AP72" i="7" s="1"/>
  <c r="AP8" i="7"/>
  <c r="AO130" i="7" l="1"/>
  <c r="AO131" i="7"/>
  <c r="AO41" i="7"/>
  <c r="AN26" i="11"/>
  <c r="AN20" i="11" s="1"/>
  <c r="BL78" i="11"/>
  <c r="BL77" i="11" s="1"/>
  <c r="AN146" i="11"/>
  <c r="AD150" i="11"/>
  <c r="AP33" i="7"/>
  <c r="AP43" i="7" s="1"/>
  <c r="AP42" i="7"/>
  <c r="AP48" i="7"/>
  <c r="AP58" i="7" s="1"/>
  <c r="AP57" i="7"/>
  <c r="AN149" i="11"/>
  <c r="AO19" i="11"/>
  <c r="AO88" i="11"/>
  <c r="BM90" i="11" s="1"/>
  <c r="BM89" i="11" s="1"/>
  <c r="AD95" i="11"/>
  <c r="AD93" i="11"/>
  <c r="AD137" i="11" s="1"/>
  <c r="AD163" i="11"/>
  <c r="AD105" i="11"/>
  <c r="AD112" i="11"/>
  <c r="AN108" i="11"/>
  <c r="AE119" i="11"/>
  <c r="AN111" i="11"/>
  <c r="AO175" i="7"/>
  <c r="AO115" i="7"/>
  <c r="AO86" i="7"/>
  <c r="AO64" i="11"/>
  <c r="BZ31" i="10"/>
  <c r="CA28" i="10"/>
  <c r="CA29" i="10" s="1"/>
  <c r="AQ27" i="10"/>
  <c r="BZ30" i="10"/>
  <c r="AN83" i="11"/>
  <c r="AP63" i="7"/>
  <c r="AP73" i="7" s="1"/>
  <c r="AP168" i="7"/>
  <c r="AP178" i="7" s="1"/>
  <c r="AP174" i="7"/>
  <c r="AP108" i="7"/>
  <c r="AP118" i="7" s="1"/>
  <c r="AP114" i="7"/>
  <c r="AP93" i="7"/>
  <c r="AP103" i="7" s="1"/>
  <c r="AP99" i="7"/>
  <c r="AP138" i="7"/>
  <c r="AP144" i="7"/>
  <c r="AP123" i="7"/>
  <c r="AP133" i="7" s="1"/>
  <c r="AP129" i="7"/>
  <c r="AP153" i="7"/>
  <c r="AP163" i="7" s="1"/>
  <c r="AP159" i="7"/>
  <c r="AP78" i="7"/>
  <c r="AP84" i="7"/>
  <c r="CB20" i="10"/>
  <c r="CA3" i="11"/>
  <c r="CA3" i="7"/>
  <c r="AP131" i="11"/>
  <c r="AP229" i="11"/>
  <c r="AP214" i="11"/>
  <c r="AP261" i="11" s="1"/>
  <c r="AP18" i="7" s="1"/>
  <c r="AP230" i="11"/>
  <c r="AQ1" i="7"/>
  <c r="AQ1" i="11"/>
  <c r="AQ22" i="10"/>
  <c r="AP48" i="10"/>
  <c r="AP39" i="7"/>
  <c r="AP4" i="11"/>
  <c r="AP4" i="7"/>
  <c r="AO76" i="11"/>
  <c r="BM78" i="11" s="1"/>
  <c r="BM77" i="11" s="1"/>
  <c r="AO40" i="11"/>
  <c r="AO42" i="11" s="1"/>
  <c r="AP12" i="11" l="1"/>
  <c r="AP17" i="11" s="1"/>
  <c r="AP88" i="11" s="1"/>
  <c r="BN90" i="11" s="1"/>
  <c r="BN89" i="11" s="1"/>
  <c r="AP323" i="11"/>
  <c r="AP324" i="11"/>
  <c r="AO148" i="11"/>
  <c r="BS66" i="11"/>
  <c r="BS65" i="11" s="1"/>
  <c r="AP34" i="7"/>
  <c r="AP41" i="7" s="1"/>
  <c r="AO133" i="11"/>
  <c r="AH149" i="11"/>
  <c r="AE149" i="11"/>
  <c r="AP148" i="7"/>
  <c r="AP79" i="7"/>
  <c r="AP85" i="7" s="1"/>
  <c r="AP88" i="7"/>
  <c r="AP115" i="11"/>
  <c r="AP210" i="11"/>
  <c r="AP35" i="11"/>
  <c r="AP9" i="11"/>
  <c r="AP14" i="11" s="1"/>
  <c r="AP52" i="11" s="1"/>
  <c r="AP11" i="11"/>
  <c r="AP16" i="11" s="1"/>
  <c r="AP76" i="11" s="1"/>
  <c r="BN78" i="11" s="1"/>
  <c r="BN77" i="11" s="1"/>
  <c r="AP10" i="11"/>
  <c r="AP15" i="11" s="1"/>
  <c r="AP8" i="11"/>
  <c r="AP13" i="11" s="1"/>
  <c r="AE87" i="11"/>
  <c r="AO110" i="11"/>
  <c r="AO26" i="11"/>
  <c r="AO20" i="11" s="1"/>
  <c r="AD96" i="11"/>
  <c r="AE92" i="11"/>
  <c r="AE142" i="11" s="1"/>
  <c r="AE91" i="11"/>
  <c r="AE155" i="11" s="1"/>
  <c r="AE104" i="11"/>
  <c r="AE83" i="11"/>
  <c r="AE111" i="11"/>
  <c r="AE81" i="11"/>
  <c r="AE136" i="11" s="1"/>
  <c r="AE162" i="11"/>
  <c r="AH111" i="11"/>
  <c r="AP154" i="7"/>
  <c r="AP169" i="7"/>
  <c r="AP109" i="7"/>
  <c r="AP124" i="7"/>
  <c r="AP285" i="11"/>
  <c r="AP176" i="11"/>
  <c r="CA30" i="10"/>
  <c r="AH83" i="11"/>
  <c r="CA31" i="10"/>
  <c r="CB28" i="10"/>
  <c r="CB29" i="10" s="1"/>
  <c r="AP171" i="11"/>
  <c r="AQ62" i="7"/>
  <c r="AQ72" i="7" s="1"/>
  <c r="AQ47" i="7"/>
  <c r="AQ57" i="7" s="1"/>
  <c r="AP176" i="7"/>
  <c r="AP10" i="7"/>
  <c r="AQ172" i="7"/>
  <c r="AQ173" i="7" s="1"/>
  <c r="AQ157" i="7"/>
  <c r="AQ158" i="7" s="1"/>
  <c r="AQ142" i="7"/>
  <c r="AQ127" i="7"/>
  <c r="AQ128" i="7" s="1"/>
  <c r="AQ112" i="7"/>
  <c r="AQ113" i="7" s="1"/>
  <c r="AQ37" i="7"/>
  <c r="AQ38" i="7" s="1"/>
  <c r="AQ82" i="7"/>
  <c r="AQ83" i="7" s="1"/>
  <c r="AQ97" i="7"/>
  <c r="CB3" i="11"/>
  <c r="CB3" i="7"/>
  <c r="CC20" i="10"/>
  <c r="CD20" i="10" s="1"/>
  <c r="AO149" i="11"/>
  <c r="AQ152" i="7"/>
  <c r="AQ162" i="7" s="1"/>
  <c r="AQ107" i="7"/>
  <c r="AQ117" i="7" s="1"/>
  <c r="AQ167" i="7"/>
  <c r="AQ177" i="7" s="1"/>
  <c r="AQ137" i="7"/>
  <c r="AQ147" i="7" s="1"/>
  <c r="AQ122" i="7"/>
  <c r="AQ132" i="7" s="1"/>
  <c r="AQ7" i="7"/>
  <c r="AQ2" i="11"/>
  <c r="AQ36" i="10"/>
  <c r="AQ44" i="10"/>
  <c r="AQ37" i="10"/>
  <c r="AQ45" i="10"/>
  <c r="AQ35" i="10"/>
  <c r="AQ38" i="10"/>
  <c r="AQ39" i="10"/>
  <c r="AQ40" i="10"/>
  <c r="AQ43" i="10"/>
  <c r="AQ42" i="10"/>
  <c r="AQ46" i="10"/>
  <c r="AQ41" i="10"/>
  <c r="AQ2" i="7"/>
  <c r="AR21" i="10"/>
  <c r="AQ23" i="10"/>
  <c r="AQ24" i="10"/>
  <c r="AQ19" i="10"/>
  <c r="AQ77" i="7"/>
  <c r="AQ87" i="7" s="1"/>
  <c r="AQ92" i="7"/>
  <c r="AQ102" i="7" s="1"/>
  <c r="AQ32" i="7"/>
  <c r="AQ8" i="7"/>
  <c r="AP130" i="7" l="1"/>
  <c r="AP131" i="7"/>
  <c r="AP115" i="7"/>
  <c r="AP116" i="7"/>
  <c r="AP40" i="7"/>
  <c r="AO108" i="11"/>
  <c r="AQ33" i="7"/>
  <c r="AQ43" i="7" s="1"/>
  <c r="AQ42" i="7"/>
  <c r="CD3" i="7"/>
  <c r="CD3" i="11"/>
  <c r="AP19" i="11"/>
  <c r="AP40" i="11"/>
  <c r="AP42" i="11" s="1"/>
  <c r="AF75" i="11"/>
  <c r="AE84" i="11"/>
  <c r="CD28" i="10"/>
  <c r="CD29" i="10" s="1"/>
  <c r="CE20" i="10"/>
  <c r="AE120" i="11"/>
  <c r="AF80" i="11"/>
  <c r="AF141" i="11" s="1"/>
  <c r="AF79" i="11"/>
  <c r="AF154" i="11" s="1"/>
  <c r="AO111" i="11"/>
  <c r="AP160" i="7"/>
  <c r="AP175" i="7"/>
  <c r="AP86" i="7"/>
  <c r="CB31" i="10"/>
  <c r="CB30" i="10"/>
  <c r="CC28" i="10"/>
  <c r="CC29" i="10" s="1"/>
  <c r="AR27" i="10"/>
  <c r="AO83" i="11"/>
  <c r="AQ63" i="7"/>
  <c r="AQ73" i="7" s="1"/>
  <c r="AQ93" i="7"/>
  <c r="AQ103" i="7" s="1"/>
  <c r="AQ99" i="7"/>
  <c r="AQ168" i="7"/>
  <c r="AQ174" i="7"/>
  <c r="AQ123" i="7"/>
  <c r="AQ133" i="7" s="1"/>
  <c r="AQ129" i="7"/>
  <c r="AQ108" i="7"/>
  <c r="AQ118" i="7" s="1"/>
  <c r="AQ114" i="7"/>
  <c r="AQ153" i="7"/>
  <c r="AQ163" i="7" s="1"/>
  <c r="AQ159" i="7"/>
  <c r="AQ138" i="7"/>
  <c r="AQ148" i="7" s="1"/>
  <c r="AQ144" i="7"/>
  <c r="AQ78" i="7"/>
  <c r="AQ84" i="7"/>
  <c r="AQ48" i="7"/>
  <c r="AQ58" i="7" s="1"/>
  <c r="CC3" i="11"/>
  <c r="CC3" i="7"/>
  <c r="AP149" i="11"/>
  <c r="AQ214" i="11"/>
  <c r="AQ261" i="11" s="1"/>
  <c r="AQ18" i="7" s="1"/>
  <c r="AQ230" i="11"/>
  <c r="AQ131" i="11"/>
  <c r="AQ229" i="11"/>
  <c r="AQ4" i="11"/>
  <c r="AQ4" i="7"/>
  <c r="AR1" i="7"/>
  <c r="AR1" i="11"/>
  <c r="AR22" i="10"/>
  <c r="AQ48" i="10"/>
  <c r="AP64" i="11"/>
  <c r="AQ39" i="7"/>
  <c r="AQ34" i="7" l="1"/>
  <c r="AQ323" i="11"/>
  <c r="AQ324" i="11"/>
  <c r="AP148" i="11"/>
  <c r="BT66" i="11"/>
  <c r="BT65" i="11" s="1"/>
  <c r="AO146" i="11"/>
  <c r="AP133" i="11"/>
  <c r="AE150" i="11"/>
  <c r="AQ79" i="7"/>
  <c r="AQ85" i="7" s="1"/>
  <c r="AQ88" i="7"/>
  <c r="AQ169" i="7"/>
  <c r="AQ175" i="7" s="1"/>
  <c r="AQ178" i="7"/>
  <c r="CE3" i="7"/>
  <c r="CE3" i="11"/>
  <c r="AQ10" i="11"/>
  <c r="AQ15" i="11" s="1"/>
  <c r="AQ64" i="11" s="1"/>
  <c r="AQ9" i="11"/>
  <c r="AQ14" i="11" s="1"/>
  <c r="AQ52" i="11" s="1"/>
  <c r="AQ11" i="11"/>
  <c r="AQ16" i="11" s="1"/>
  <c r="AQ8" i="11"/>
  <c r="AQ13" i="11" s="1"/>
  <c r="AQ115" i="11"/>
  <c r="AQ210" i="11"/>
  <c r="AQ35" i="11"/>
  <c r="AQ12" i="11"/>
  <c r="AQ17" i="11" s="1"/>
  <c r="AQ88" i="11" s="1"/>
  <c r="BO90" i="11" s="1"/>
  <c r="BO89" i="11" s="1"/>
  <c r="AP110" i="11"/>
  <c r="AP26" i="11"/>
  <c r="AP20" i="11" s="1"/>
  <c r="CE28" i="10"/>
  <c r="CE29" i="10" s="1"/>
  <c r="CF20" i="10"/>
  <c r="CD31" i="10"/>
  <c r="CD30" i="10"/>
  <c r="AQ41" i="7"/>
  <c r="AE163" i="11"/>
  <c r="AE112" i="11"/>
  <c r="AE93" i="11"/>
  <c r="AE137" i="11" s="1"/>
  <c r="AE95" i="11"/>
  <c r="AE105" i="11"/>
  <c r="AF119" i="11"/>
  <c r="AP111" i="11"/>
  <c r="AQ109" i="7"/>
  <c r="AQ116" i="7" s="1"/>
  <c r="AQ124" i="7"/>
  <c r="AQ154" i="7"/>
  <c r="AQ40" i="7"/>
  <c r="AQ285" i="11"/>
  <c r="AQ176" i="11"/>
  <c r="CC31" i="10"/>
  <c r="CC30" i="10"/>
  <c r="AQ171" i="11"/>
  <c r="AQ176" i="7"/>
  <c r="AQ10" i="7"/>
  <c r="AR172" i="7"/>
  <c r="AR173" i="7" s="1"/>
  <c r="AR157" i="7"/>
  <c r="AR158" i="7" s="1"/>
  <c r="AR142" i="7"/>
  <c r="AR127" i="7"/>
  <c r="AR128" i="7" s="1"/>
  <c r="AR112" i="7"/>
  <c r="AR113" i="7" s="1"/>
  <c r="AR37" i="7"/>
  <c r="AR38" i="7" s="1"/>
  <c r="AR97" i="7"/>
  <c r="AR82" i="7"/>
  <c r="AR83" i="7" s="1"/>
  <c r="AP83" i="11"/>
  <c r="AR152" i="7"/>
  <c r="AR162" i="7" s="1"/>
  <c r="AR137" i="7"/>
  <c r="AR147" i="7" s="1"/>
  <c r="AR107" i="7"/>
  <c r="AR117" i="7" s="1"/>
  <c r="AR167" i="7"/>
  <c r="AR177" i="7" s="1"/>
  <c r="AR122" i="7"/>
  <c r="AR132" i="7" s="1"/>
  <c r="AR7" i="7"/>
  <c r="AR77" i="7"/>
  <c r="AR87" i="7" s="1"/>
  <c r="AR32" i="7"/>
  <c r="AR47" i="7"/>
  <c r="AR62" i="7"/>
  <c r="AR72" i="7" s="1"/>
  <c r="AR92" i="7"/>
  <c r="AR102" i="7" s="1"/>
  <c r="AR8" i="7"/>
  <c r="AR38" i="10"/>
  <c r="AR46" i="10"/>
  <c r="AR2" i="11"/>
  <c r="AR39" i="10"/>
  <c r="AR43" i="10"/>
  <c r="AR44" i="10"/>
  <c r="AR35" i="10"/>
  <c r="AR45" i="10"/>
  <c r="AR36" i="10"/>
  <c r="AR41" i="10"/>
  <c r="AR37" i="10"/>
  <c r="AR40" i="10"/>
  <c r="AR42" i="10"/>
  <c r="AR2" i="7"/>
  <c r="AR23" i="10"/>
  <c r="AS21" i="10"/>
  <c r="AR19" i="10"/>
  <c r="AR24" i="10"/>
  <c r="AQ130" i="7" l="1"/>
  <c r="AQ131" i="7"/>
  <c r="AQ148" i="11"/>
  <c r="BU66" i="11"/>
  <c r="BU65" i="11" s="1"/>
  <c r="AF149" i="11"/>
  <c r="AR33" i="7"/>
  <c r="AR43" i="7" s="1"/>
  <c r="AR42" i="7"/>
  <c r="AR48" i="7"/>
  <c r="AR58" i="7" s="1"/>
  <c r="AR57" i="7"/>
  <c r="CF3" i="7"/>
  <c r="CF3" i="11"/>
  <c r="AQ19" i="11"/>
  <c r="AF87" i="11"/>
  <c r="AQ110" i="11"/>
  <c r="AE96" i="11"/>
  <c r="CF28" i="10"/>
  <c r="CF29" i="10" s="1"/>
  <c r="CG20" i="10"/>
  <c r="CE31" i="10"/>
  <c r="CE30" i="10"/>
  <c r="AF92" i="11"/>
  <c r="AF142" i="11" s="1"/>
  <c r="AF91" i="11"/>
  <c r="AF155" i="11" s="1"/>
  <c r="AF104" i="11"/>
  <c r="AF81" i="11"/>
  <c r="AF136" i="11" s="1"/>
  <c r="AF83" i="11"/>
  <c r="AF162" i="11"/>
  <c r="AF111" i="11"/>
  <c r="AQ115" i="7"/>
  <c r="AQ160" i="7"/>
  <c r="AQ86" i="7"/>
  <c r="AS27" i="10"/>
  <c r="AR63" i="7"/>
  <c r="AR73" i="7" s="1"/>
  <c r="AR168" i="7"/>
  <c r="AR178" i="7" s="1"/>
  <c r="AR174" i="7"/>
  <c r="AR93" i="7"/>
  <c r="AR103" i="7" s="1"/>
  <c r="AR99" i="7"/>
  <c r="AR108" i="7"/>
  <c r="AR118" i="7" s="1"/>
  <c r="AR114" i="7"/>
  <c r="AR138" i="7"/>
  <c r="AR144" i="7"/>
  <c r="AR153" i="7"/>
  <c r="AR163" i="7" s="1"/>
  <c r="AR159" i="7"/>
  <c r="AR123" i="7"/>
  <c r="AR133" i="7" s="1"/>
  <c r="AR129" i="7"/>
  <c r="AR78" i="7"/>
  <c r="AR84" i="7"/>
  <c r="AR214" i="11"/>
  <c r="AR261" i="11" s="1"/>
  <c r="AR18" i="7" s="1"/>
  <c r="AR230" i="11"/>
  <c r="AR131" i="11"/>
  <c r="AR229" i="11"/>
  <c r="AR4" i="11"/>
  <c r="AR4" i="7"/>
  <c r="AQ40" i="11"/>
  <c r="AQ42" i="11" s="1"/>
  <c r="AQ76" i="11"/>
  <c r="BO78" i="11" s="1"/>
  <c r="BO77" i="11" s="1"/>
  <c r="AR39" i="7"/>
  <c r="AS1" i="7"/>
  <c r="AS1" i="11"/>
  <c r="AS22" i="10"/>
  <c r="AR48" i="10"/>
  <c r="AR12" i="11" l="1"/>
  <c r="AR17" i="11" s="1"/>
  <c r="AR88" i="11" s="1"/>
  <c r="BP90" i="11" s="1"/>
  <c r="BP89" i="11" s="1"/>
  <c r="AR323" i="11"/>
  <c r="AR324" i="11"/>
  <c r="AR34" i="7"/>
  <c r="AR40" i="7" s="1"/>
  <c r="AP146" i="11"/>
  <c r="AP108" i="11"/>
  <c r="AQ133" i="11"/>
  <c r="AR148" i="7"/>
  <c r="AR79" i="7"/>
  <c r="AR85" i="7" s="1"/>
  <c r="AR88" i="7"/>
  <c r="CG3" i="7"/>
  <c r="CG3" i="11"/>
  <c r="AQ26" i="11"/>
  <c r="AQ20" i="11" s="1"/>
  <c r="AR10" i="11"/>
  <c r="AR15" i="11" s="1"/>
  <c r="AR9" i="11"/>
  <c r="AR14" i="11" s="1"/>
  <c r="AR8" i="11"/>
  <c r="AR13" i="11" s="1"/>
  <c r="AR210" i="11"/>
  <c r="AR115" i="11"/>
  <c r="AR35" i="11"/>
  <c r="AR11" i="11"/>
  <c r="AR16" i="11" s="1"/>
  <c r="AF84" i="11"/>
  <c r="AG80" i="11"/>
  <c r="AG141" i="11" s="1"/>
  <c r="CH20" i="10"/>
  <c r="CG28" i="10"/>
  <c r="CG29" i="10" s="1"/>
  <c r="CF31" i="10"/>
  <c r="CF30" i="10"/>
  <c r="AF120" i="11"/>
  <c r="AG79" i="11"/>
  <c r="AG154" i="11" s="1"/>
  <c r="AG75" i="11"/>
  <c r="O135" i="3"/>
  <c r="O136" i="3" s="1"/>
  <c r="E168" i="7" s="1"/>
  <c r="N135" i="3"/>
  <c r="N136" i="3" s="1"/>
  <c r="E153" i="7" s="1"/>
  <c r="F135" i="3"/>
  <c r="F136" i="3" s="1"/>
  <c r="AR109" i="7"/>
  <c r="AR116" i="7" s="1"/>
  <c r="AR124" i="7"/>
  <c r="AR131" i="7" s="1"/>
  <c r="AR169" i="7"/>
  <c r="AR175" i="7" s="1"/>
  <c r="AR154" i="7"/>
  <c r="AR160" i="7" s="1"/>
  <c r="AR285" i="11"/>
  <c r="AR176" i="11"/>
  <c r="AR171" i="11"/>
  <c r="AR176" i="7"/>
  <c r="AR10" i="7"/>
  <c r="AS172" i="7"/>
  <c r="AS173" i="7" s="1"/>
  <c r="AS157" i="7"/>
  <c r="AS158" i="7" s="1"/>
  <c r="AS142" i="7"/>
  <c r="AS127" i="7"/>
  <c r="AS128" i="7" s="1"/>
  <c r="AS112" i="7"/>
  <c r="AS113" i="7" s="1"/>
  <c r="AS37" i="7"/>
  <c r="AS38" i="7" s="1"/>
  <c r="AS97" i="7"/>
  <c r="AS82" i="7"/>
  <c r="AS83" i="7" s="1"/>
  <c r="AQ149" i="11"/>
  <c r="AS137" i="7"/>
  <c r="AS147" i="7" s="1"/>
  <c r="AS152" i="7"/>
  <c r="AS162" i="7" s="1"/>
  <c r="AS167" i="7"/>
  <c r="AS177" i="7" s="1"/>
  <c r="AS122" i="7"/>
  <c r="AS132" i="7" s="1"/>
  <c r="AS107" i="7"/>
  <c r="AS117" i="7" s="1"/>
  <c r="AS7" i="7"/>
  <c r="AS32" i="7"/>
  <c r="AS62" i="7"/>
  <c r="AS72" i="7" s="1"/>
  <c r="AS92" i="7"/>
  <c r="AS102" i="7" s="1"/>
  <c r="AS47" i="7"/>
  <c r="AS8" i="7"/>
  <c r="AS77" i="7"/>
  <c r="AS87" i="7" s="1"/>
  <c r="AS2" i="11"/>
  <c r="AS39" i="10"/>
  <c r="AS40" i="10"/>
  <c r="AS41" i="10"/>
  <c r="AS42" i="10"/>
  <c r="AS37" i="10"/>
  <c r="AS45" i="10"/>
  <c r="AS43" i="10"/>
  <c r="AS44" i="10"/>
  <c r="AS46" i="10"/>
  <c r="AS36" i="10"/>
  <c r="AS35" i="10"/>
  <c r="AS38" i="10"/>
  <c r="AT21" i="10"/>
  <c r="AS2" i="7"/>
  <c r="AS23" i="10"/>
  <c r="AS19" i="10"/>
  <c r="AS24" i="10"/>
  <c r="AR41" i="7" l="1"/>
  <c r="AF150" i="11"/>
  <c r="AQ146" i="11"/>
  <c r="AS33" i="7"/>
  <c r="AS43" i="7" s="1"/>
  <c r="AS42" i="7"/>
  <c r="AS48" i="7"/>
  <c r="AS58" i="7" s="1"/>
  <c r="AS57" i="7"/>
  <c r="CH3" i="7"/>
  <c r="CH3" i="11"/>
  <c r="AR19" i="11"/>
  <c r="AR52" i="11"/>
  <c r="AG119" i="11"/>
  <c r="CG31" i="10"/>
  <c r="CG30" i="10"/>
  <c r="CH28" i="10"/>
  <c r="CH29" i="10" s="1"/>
  <c r="CI20" i="10"/>
  <c r="AQ108" i="11"/>
  <c r="J53" i="7"/>
  <c r="J49" i="7" s="1"/>
  <c r="AF95" i="11"/>
  <c r="AF93" i="11"/>
  <c r="AF137" i="11" s="1"/>
  <c r="AF112" i="11"/>
  <c r="AF163" i="11"/>
  <c r="AF105" i="11"/>
  <c r="AQ111" i="11"/>
  <c r="AR130" i="7"/>
  <c r="AR115" i="7"/>
  <c r="AR86" i="7"/>
  <c r="AT27" i="10"/>
  <c r="AS63" i="7"/>
  <c r="AS73" i="7" s="1"/>
  <c r="AS123" i="7"/>
  <c r="AS133" i="7" s="1"/>
  <c r="AS129" i="7"/>
  <c r="AS168" i="7"/>
  <c r="AS178" i="7" s="1"/>
  <c r="AS174" i="7"/>
  <c r="AS138" i="7"/>
  <c r="AS148" i="7" s="1"/>
  <c r="AS144" i="7"/>
  <c r="AS153" i="7"/>
  <c r="AS159" i="7"/>
  <c r="AS93" i="7"/>
  <c r="AS99" i="7"/>
  <c r="AS108" i="7"/>
  <c r="AS118" i="7" s="1"/>
  <c r="AS114" i="7"/>
  <c r="AS78" i="7"/>
  <c r="AS84" i="7"/>
  <c r="AQ83" i="11"/>
  <c r="AS131" i="11"/>
  <c r="AS229" i="11"/>
  <c r="AS214" i="11"/>
  <c r="AS261" i="11" s="1"/>
  <c r="AS18" i="7" s="1"/>
  <c r="AS230" i="11"/>
  <c r="AR40" i="11"/>
  <c r="AR42" i="11" s="1"/>
  <c r="AR64" i="11"/>
  <c r="AT1" i="7"/>
  <c r="AT1" i="11"/>
  <c r="AT22" i="10"/>
  <c r="AS48" i="10"/>
  <c r="AR76" i="11"/>
  <c r="BP78" i="11" s="1"/>
  <c r="BP77" i="11" s="1"/>
  <c r="AS4" i="11"/>
  <c r="AS4" i="7"/>
  <c r="AS39" i="7"/>
  <c r="AS323" i="11" l="1"/>
  <c r="AS324" i="11"/>
  <c r="AS34" i="7"/>
  <c r="AS41" i="7" s="1"/>
  <c r="AR148" i="11"/>
  <c r="BV66" i="11"/>
  <c r="BV65" i="11" s="1"/>
  <c r="J56" i="7"/>
  <c r="AR133" i="11"/>
  <c r="AG149" i="11"/>
  <c r="AS79" i="7"/>
  <c r="AS85" i="7" s="1"/>
  <c r="AS88" i="7"/>
  <c r="AS154" i="7"/>
  <c r="AS160" i="7" s="1"/>
  <c r="AS163" i="7"/>
  <c r="AS103" i="7"/>
  <c r="CI3" i="7"/>
  <c r="CI3" i="11"/>
  <c r="AS8" i="11"/>
  <c r="AS13" i="11" s="1"/>
  <c r="AS11" i="11"/>
  <c r="AS16" i="11" s="1"/>
  <c r="AS115" i="11"/>
  <c r="AS210" i="11"/>
  <c r="AS35" i="11"/>
  <c r="AS12" i="11"/>
  <c r="AS17" i="11" s="1"/>
  <c r="AS88" i="11" s="1"/>
  <c r="BQ90" i="11" s="1"/>
  <c r="BQ89" i="11" s="1"/>
  <c r="AS10" i="11"/>
  <c r="AS15" i="11" s="1"/>
  <c r="AS64" i="11" s="1"/>
  <c r="AS9" i="11"/>
  <c r="AS14" i="11" s="1"/>
  <c r="AS52" i="11" s="1"/>
  <c r="AG87" i="11"/>
  <c r="AR110" i="11"/>
  <c r="AR26" i="11"/>
  <c r="AR20" i="11" s="1"/>
  <c r="AF96" i="11"/>
  <c r="CI28" i="10"/>
  <c r="CI29" i="10" s="1"/>
  <c r="CJ20" i="10"/>
  <c r="CH31" i="10"/>
  <c r="CH30" i="10"/>
  <c r="AG91" i="11"/>
  <c r="AG155" i="11" s="1"/>
  <c r="AG92" i="11"/>
  <c r="AG142" i="11" s="1"/>
  <c r="AG162" i="11"/>
  <c r="AG83" i="11"/>
  <c r="AG81" i="11"/>
  <c r="AG136" i="11" s="1"/>
  <c r="AG111" i="11"/>
  <c r="AG104" i="11"/>
  <c r="AS109" i="7"/>
  <c r="AS116" i="7" s="1"/>
  <c r="AS124" i="7"/>
  <c r="AS169" i="7"/>
  <c r="AS285" i="11"/>
  <c r="J194" i="2" s="1"/>
  <c r="AS176" i="11"/>
  <c r="AS171" i="11"/>
  <c r="AS176" i="7"/>
  <c r="AS10" i="7"/>
  <c r="AT172" i="7"/>
  <c r="AT173" i="7" s="1"/>
  <c r="AT157" i="7"/>
  <c r="AT158" i="7" s="1"/>
  <c r="AT142" i="7"/>
  <c r="AT127" i="7"/>
  <c r="AT128" i="7" s="1"/>
  <c r="AT112" i="7"/>
  <c r="AT113" i="7" s="1"/>
  <c r="AT37" i="7"/>
  <c r="AT38" i="7" s="1"/>
  <c r="AT97" i="7"/>
  <c r="AT82" i="7"/>
  <c r="AT83" i="7" s="1"/>
  <c r="AT152" i="7"/>
  <c r="AT162" i="7" s="1"/>
  <c r="AT167" i="7"/>
  <c r="AT177" i="7" s="1"/>
  <c r="AT137" i="7"/>
  <c r="AT147" i="7" s="1"/>
  <c r="AT122" i="7"/>
  <c r="AT132" i="7" s="1"/>
  <c r="AT107" i="7"/>
  <c r="AT117" i="7" s="1"/>
  <c r="AT7" i="7"/>
  <c r="AT41" i="10"/>
  <c r="AT2" i="11"/>
  <c r="AT42" i="10"/>
  <c r="AT35" i="10"/>
  <c r="AT43" i="10"/>
  <c r="AT36" i="10"/>
  <c r="AT44" i="10"/>
  <c r="AT39" i="10"/>
  <c r="AT37" i="10"/>
  <c r="AT45" i="10"/>
  <c r="AT40" i="10"/>
  <c r="AT38" i="10"/>
  <c r="AT46" i="10"/>
  <c r="AT2" i="7"/>
  <c r="AU21" i="10"/>
  <c r="AT19" i="10"/>
  <c r="AT23" i="10"/>
  <c r="AT24" i="10"/>
  <c r="AT32" i="7"/>
  <c r="AT92" i="7"/>
  <c r="AT102" i="7" s="1"/>
  <c r="AT77" i="7"/>
  <c r="AT87" i="7" s="1"/>
  <c r="AT62" i="7"/>
  <c r="AT72" i="7" s="1"/>
  <c r="AT8" i="7"/>
  <c r="AS40" i="7" l="1"/>
  <c r="AS130" i="7"/>
  <c r="AS131" i="7"/>
  <c r="AS148" i="11"/>
  <c r="BW66" i="11"/>
  <c r="BW65" i="11" s="1"/>
  <c r="AR146" i="11"/>
  <c r="AT33" i="7"/>
  <c r="AT43" i="7" s="1"/>
  <c r="AT42" i="7"/>
  <c r="CJ3" i="7"/>
  <c r="CJ3" i="11"/>
  <c r="AR149" i="11"/>
  <c r="AS19" i="11"/>
  <c r="AS76" i="11"/>
  <c r="BQ78" i="11" s="1"/>
  <c r="BQ77" i="11" s="1"/>
  <c r="AS110" i="11"/>
  <c r="AH80" i="11"/>
  <c r="AH141" i="11" s="1"/>
  <c r="AG84" i="11"/>
  <c r="CJ28" i="10"/>
  <c r="CJ29" i="10" s="1"/>
  <c r="CK20" i="10"/>
  <c r="CI30" i="10"/>
  <c r="CI31" i="10"/>
  <c r="AG120" i="11"/>
  <c r="AH79" i="11"/>
  <c r="AH154" i="11" s="1"/>
  <c r="F13" i="14"/>
  <c r="AH75" i="11"/>
  <c r="AR111" i="11"/>
  <c r="AS175" i="7"/>
  <c r="AS115" i="7"/>
  <c r="AS86" i="7"/>
  <c r="AU27" i="10"/>
  <c r="AT63" i="7"/>
  <c r="AT73" i="7" s="1"/>
  <c r="AT93" i="7"/>
  <c r="AT103" i="7" s="1"/>
  <c r="AT99" i="7"/>
  <c r="AT153" i="7"/>
  <c r="AT163" i="7" s="1"/>
  <c r="AT159" i="7"/>
  <c r="AT108" i="7"/>
  <c r="AT118" i="7" s="1"/>
  <c r="AT114" i="7"/>
  <c r="AT123" i="7"/>
  <c r="AT129" i="7"/>
  <c r="AT138" i="7"/>
  <c r="AT144" i="7"/>
  <c r="AT168" i="7"/>
  <c r="AT178" i="7" s="1"/>
  <c r="AT174" i="7"/>
  <c r="AT78" i="7"/>
  <c r="AT84" i="7"/>
  <c r="AR83" i="11"/>
  <c r="AT214" i="11"/>
  <c r="AT261" i="11" s="1"/>
  <c r="AT18" i="7" s="1"/>
  <c r="AT230" i="11"/>
  <c r="AT131" i="11"/>
  <c r="AT229" i="11"/>
  <c r="AS40" i="11"/>
  <c r="AS42" i="11" s="1"/>
  <c r="AT4" i="11"/>
  <c r="AT4" i="7"/>
  <c r="AT48" i="10"/>
  <c r="AT39" i="7"/>
  <c r="AU1" i="7"/>
  <c r="AU1" i="11"/>
  <c r="AU22" i="10"/>
  <c r="AT324" i="11" l="1"/>
  <c r="AT323" i="11"/>
  <c r="AT34" i="7"/>
  <c r="AT41" i="7" s="1"/>
  <c r="AR108" i="11"/>
  <c r="AG150" i="11"/>
  <c r="AT79" i="7"/>
  <c r="AT85" i="7" s="1"/>
  <c r="AT88" i="7"/>
  <c r="AT148" i="7"/>
  <c r="AT124" i="7"/>
  <c r="AT133" i="7"/>
  <c r="CK3" i="7"/>
  <c r="CK3" i="11"/>
  <c r="AS149" i="11"/>
  <c r="AS26" i="11"/>
  <c r="AS20" i="11" s="1"/>
  <c r="AS133" i="11"/>
  <c r="AT9" i="11"/>
  <c r="AT14" i="11" s="1"/>
  <c r="AT12" i="11"/>
  <c r="AT17" i="11" s="1"/>
  <c r="AT115" i="11"/>
  <c r="AT210" i="11"/>
  <c r="AT35" i="11"/>
  <c r="AT8" i="11"/>
  <c r="AT13" i="11" s="1"/>
  <c r="AT11" i="11"/>
  <c r="AT16" i="11" s="1"/>
  <c r="AT10" i="11"/>
  <c r="AT15" i="11" s="1"/>
  <c r="AH84" i="11"/>
  <c r="CK28" i="10"/>
  <c r="CK29" i="10" s="1"/>
  <c r="CL20" i="10"/>
  <c r="CJ31" i="10"/>
  <c r="CJ30" i="10"/>
  <c r="AG112" i="11"/>
  <c r="AG93" i="11"/>
  <c r="AG137" i="11" s="1"/>
  <c r="AG163" i="11"/>
  <c r="AG95" i="11"/>
  <c r="AG105" i="11"/>
  <c r="AH119" i="11"/>
  <c r="AH81" i="11"/>
  <c r="AH136" i="11" s="1"/>
  <c r="AH162" i="11"/>
  <c r="AH104" i="11"/>
  <c r="AS111" i="11"/>
  <c r="AT154" i="7"/>
  <c r="AT169" i="7"/>
  <c r="AT109" i="7"/>
  <c r="AT116" i="7" s="1"/>
  <c r="AT285" i="11"/>
  <c r="AT176" i="11"/>
  <c r="AT171" i="11"/>
  <c r="AT176" i="7"/>
  <c r="AU172" i="7"/>
  <c r="AU173" i="7" s="1"/>
  <c r="AU157" i="7"/>
  <c r="AU158" i="7" s="1"/>
  <c r="AU142" i="7"/>
  <c r="AU97" i="7"/>
  <c r="AU82" i="7"/>
  <c r="AU83" i="7" s="1"/>
  <c r="AU112" i="7"/>
  <c r="AU113" i="7" s="1"/>
  <c r="AU127" i="7"/>
  <c r="AU128" i="7" s="1"/>
  <c r="AU37" i="7"/>
  <c r="AU38" i="7" s="1"/>
  <c r="AS83" i="11"/>
  <c r="AU137" i="7"/>
  <c r="AU147" i="7" s="1"/>
  <c r="AU167" i="7"/>
  <c r="AU177" i="7" s="1"/>
  <c r="AU107" i="7"/>
  <c r="AU117" i="7" s="1"/>
  <c r="AU152" i="7"/>
  <c r="AU162" i="7" s="1"/>
  <c r="AU122" i="7"/>
  <c r="AU132" i="7" s="1"/>
  <c r="AU7" i="7"/>
  <c r="AU35" i="10"/>
  <c r="AU43" i="10"/>
  <c r="AU36" i="10"/>
  <c r="AU44" i="10"/>
  <c r="AU2" i="11"/>
  <c r="AU37" i="10"/>
  <c r="AU45" i="10"/>
  <c r="AU38" i="10"/>
  <c r="AU46" i="10"/>
  <c r="AU41" i="10"/>
  <c r="AU39" i="10"/>
  <c r="AU40" i="10"/>
  <c r="AU42" i="10"/>
  <c r="AU2" i="7"/>
  <c r="AV21" i="10"/>
  <c r="AU23" i="10"/>
  <c r="AU24" i="10"/>
  <c r="AU19" i="10"/>
  <c r="AU77" i="7"/>
  <c r="AU87" i="7" s="1"/>
  <c r="AU62" i="7"/>
  <c r="AU72" i="7" s="1"/>
  <c r="AU92" i="7"/>
  <c r="AU102" i="7" s="1"/>
  <c r="AU32" i="7"/>
  <c r="AU47" i="7"/>
  <c r="AU8" i="7"/>
  <c r="AT130" i="7" l="1"/>
  <c r="AT131" i="7"/>
  <c r="AT40" i="7"/>
  <c r="AS146" i="11"/>
  <c r="AU33" i="7"/>
  <c r="AU43" i="7" s="1"/>
  <c r="AU42" i="7"/>
  <c r="AU48" i="7"/>
  <c r="AU58" i="7" s="1"/>
  <c r="AU57" i="7"/>
  <c r="CL3" i="7"/>
  <c r="CL3" i="11"/>
  <c r="AT19" i="11"/>
  <c r="AH87" i="11"/>
  <c r="AI84" i="11"/>
  <c r="AI75" i="11"/>
  <c r="AI104" i="11" s="1"/>
  <c r="AG96" i="11"/>
  <c r="CM20" i="10"/>
  <c r="CL28" i="10"/>
  <c r="CL29" i="10" s="1"/>
  <c r="CK31" i="10"/>
  <c r="CK30" i="10"/>
  <c r="F14" i="14"/>
  <c r="AH91" i="11"/>
  <c r="AH155" i="11" s="1"/>
  <c r="AH92" i="11"/>
  <c r="AH142" i="11" s="1"/>
  <c r="AI80" i="11"/>
  <c r="AI141" i="11" s="1"/>
  <c r="AI79" i="11"/>
  <c r="AI154" i="11" s="1"/>
  <c r="AS108" i="11"/>
  <c r="AT160" i="7"/>
  <c r="AT175" i="7"/>
  <c r="AT115" i="7"/>
  <c r="AT52" i="11"/>
  <c r="AT88" i="11"/>
  <c r="BR90" i="11" s="1"/>
  <c r="BR89" i="11" s="1"/>
  <c r="AT40" i="11"/>
  <c r="AT42" i="11" s="1"/>
  <c r="AT86" i="7"/>
  <c r="AV27" i="10"/>
  <c r="AU63" i="7"/>
  <c r="AU73" i="7" s="1"/>
  <c r="AU93" i="7"/>
  <c r="AU103" i="7" s="1"/>
  <c r="AU99" i="7"/>
  <c r="AU168" i="7"/>
  <c r="AU178" i="7" s="1"/>
  <c r="AU174" i="7"/>
  <c r="AU138" i="7"/>
  <c r="AU148" i="7" s="1"/>
  <c r="AU144" i="7"/>
  <c r="AU153" i="7"/>
  <c r="AU163" i="7" s="1"/>
  <c r="AU159" i="7"/>
  <c r="AU108" i="7"/>
  <c r="AU118" i="7" s="1"/>
  <c r="AU114" i="7"/>
  <c r="AU123" i="7"/>
  <c r="AU133" i="7" s="1"/>
  <c r="AU129" i="7"/>
  <c r="AU78" i="7"/>
  <c r="AU84" i="7"/>
  <c r="AU131" i="11"/>
  <c r="AU229" i="11"/>
  <c r="AU214" i="11"/>
  <c r="AU285" i="11" s="1"/>
  <c r="AU230" i="11"/>
  <c r="AU48" i="10"/>
  <c r="AU4" i="11"/>
  <c r="AU4" i="7"/>
  <c r="AV1" i="7"/>
  <c r="AV1" i="11"/>
  <c r="AV22" i="10"/>
  <c r="AT76" i="11"/>
  <c r="BR78" i="11" s="1"/>
  <c r="BR77" i="11" s="1"/>
  <c r="AU39" i="7"/>
  <c r="AT64" i="11"/>
  <c r="AU323" i="11" l="1"/>
  <c r="AU324" i="11"/>
  <c r="AU34" i="7"/>
  <c r="AU41" i="7" s="1"/>
  <c r="AT148" i="11"/>
  <c r="BX66" i="11"/>
  <c r="BX65" i="11" s="1"/>
  <c r="AT133" i="11"/>
  <c r="AU79" i="7"/>
  <c r="AU85" i="7" s="1"/>
  <c r="AU88" i="7"/>
  <c r="CM3" i="7"/>
  <c r="CM3" i="11"/>
  <c r="AU8" i="11"/>
  <c r="AU13" i="11" s="1"/>
  <c r="AU115" i="11"/>
  <c r="AU210" i="11"/>
  <c r="AU35" i="11"/>
  <c r="AU12" i="11"/>
  <c r="AU17" i="11" s="1"/>
  <c r="AU11" i="11"/>
  <c r="AU16" i="11" s="1"/>
  <c r="AU10" i="11"/>
  <c r="AU15" i="11" s="1"/>
  <c r="AU9" i="11"/>
  <c r="AU14" i="11" s="1"/>
  <c r="AT110" i="11"/>
  <c r="AT26" i="11"/>
  <c r="AJ84" i="11"/>
  <c r="CL31" i="10"/>
  <c r="CL30" i="10"/>
  <c r="CM28" i="10"/>
  <c r="CM29" i="10" s="1"/>
  <c r="CN20" i="10"/>
  <c r="AH120" i="11"/>
  <c r="AI162" i="11"/>
  <c r="AI81" i="11"/>
  <c r="AI136" i="11" s="1"/>
  <c r="AI119" i="11"/>
  <c r="AU124" i="7"/>
  <c r="AU131" i="7" s="1"/>
  <c r="AU109" i="7"/>
  <c r="AU154" i="7"/>
  <c r="AU160" i="7" s="1"/>
  <c r="AU169" i="7"/>
  <c r="AU176" i="11"/>
  <c r="AU171" i="11"/>
  <c r="AU176" i="7"/>
  <c r="AU10" i="7"/>
  <c r="AV172" i="7"/>
  <c r="AV173" i="7" s="1"/>
  <c r="AV157" i="7"/>
  <c r="AV158" i="7" s="1"/>
  <c r="AV142" i="7"/>
  <c r="AV127" i="7"/>
  <c r="AV128" i="7" s="1"/>
  <c r="AV112" i="7"/>
  <c r="AV113" i="7" s="1"/>
  <c r="AV37" i="7"/>
  <c r="AV38" i="7" s="1"/>
  <c r="AV82" i="7"/>
  <c r="AV83" i="7" s="1"/>
  <c r="AV97" i="7"/>
  <c r="AT149" i="11"/>
  <c r="AV167" i="7"/>
  <c r="AV177" i="7" s="1"/>
  <c r="AV137" i="7"/>
  <c r="AV147" i="7" s="1"/>
  <c r="AV122" i="7"/>
  <c r="AV132" i="7" s="1"/>
  <c r="AV107" i="7"/>
  <c r="AV117" i="7" s="1"/>
  <c r="AV152" i="7"/>
  <c r="AV162" i="7" s="1"/>
  <c r="AU261" i="11"/>
  <c r="AU18" i="7" s="1"/>
  <c r="AV7" i="7"/>
  <c r="AV77" i="7"/>
  <c r="AV87" i="7" s="1"/>
  <c r="AV32" i="7"/>
  <c r="AV47" i="7"/>
  <c r="AV62" i="7"/>
  <c r="AV72" i="7" s="1"/>
  <c r="AV92" i="7"/>
  <c r="AV102" i="7" s="1"/>
  <c r="AV8" i="7"/>
  <c r="AV37" i="10"/>
  <c r="AV45" i="10"/>
  <c r="AV38" i="10"/>
  <c r="AV46" i="10"/>
  <c r="AV39" i="10"/>
  <c r="AV2" i="11"/>
  <c r="AV40" i="10"/>
  <c r="AV35" i="10"/>
  <c r="AV43" i="10"/>
  <c r="AV42" i="10"/>
  <c r="AV44" i="10"/>
  <c r="AV36" i="10"/>
  <c r="AV41" i="10"/>
  <c r="AV2" i="7"/>
  <c r="AW21" i="10"/>
  <c r="AV23" i="10"/>
  <c r="AV24" i="10"/>
  <c r="AV19" i="10"/>
  <c r="AU40" i="7" l="1"/>
  <c r="AU115" i="7"/>
  <c r="AU116" i="7"/>
  <c r="AH150" i="11"/>
  <c r="AT146" i="11"/>
  <c r="AV33" i="7"/>
  <c r="AV43" i="7" s="1"/>
  <c r="AV42" i="7"/>
  <c r="AV48" i="7"/>
  <c r="AV58" i="7" s="1"/>
  <c r="AV57" i="7"/>
  <c r="CN3" i="7"/>
  <c r="CN3" i="11"/>
  <c r="AU19" i="11"/>
  <c r="AJ80" i="11"/>
  <c r="AJ141" i="11" s="1"/>
  <c r="AK84" i="11"/>
  <c r="AT20" i="11"/>
  <c r="CN28" i="10"/>
  <c r="CN29" i="10" s="1"/>
  <c r="CO20" i="10"/>
  <c r="CM30" i="10"/>
  <c r="CM31" i="10"/>
  <c r="AH93" i="11"/>
  <c r="AH137" i="11" s="1"/>
  <c r="AH163" i="11"/>
  <c r="AH95" i="11"/>
  <c r="AH112" i="11"/>
  <c r="AH105" i="11"/>
  <c r="AJ75" i="11"/>
  <c r="AJ79" i="11"/>
  <c r="AJ154" i="11" s="1"/>
  <c r="AT108" i="11"/>
  <c r="AT111" i="11"/>
  <c r="AU175" i="7"/>
  <c r="AU130" i="7"/>
  <c r="AU52" i="11"/>
  <c r="AU88" i="11"/>
  <c r="BS90" i="11" s="1"/>
  <c r="BS89" i="11" s="1"/>
  <c r="AU64" i="11"/>
  <c r="AU86" i="7"/>
  <c r="AW27" i="10"/>
  <c r="AV63" i="7"/>
  <c r="AV73" i="7" s="1"/>
  <c r="AV138" i="7"/>
  <c r="AV148" i="7" s="1"/>
  <c r="AV144" i="7"/>
  <c r="AV153" i="7"/>
  <c r="AV163" i="7" s="1"/>
  <c r="AV159" i="7"/>
  <c r="AV108" i="7"/>
  <c r="AV114" i="7"/>
  <c r="AV123" i="7"/>
  <c r="AV133" i="7" s="1"/>
  <c r="AV129" i="7"/>
  <c r="AV168" i="7"/>
  <c r="AV178" i="7" s="1"/>
  <c r="AV174" i="7"/>
  <c r="AV93" i="7"/>
  <c r="AV103" i="7" s="1"/>
  <c r="AV99" i="7"/>
  <c r="AV78" i="7"/>
  <c r="AV84" i="7"/>
  <c r="AT83" i="11"/>
  <c r="AV131" i="11"/>
  <c r="AV229" i="11"/>
  <c r="AV214" i="11"/>
  <c r="AV285" i="11" s="1"/>
  <c r="AV230" i="11"/>
  <c r="AU76" i="11"/>
  <c r="BS78" i="11" s="1"/>
  <c r="BS77" i="11" s="1"/>
  <c r="AV4" i="11"/>
  <c r="AV4" i="7"/>
  <c r="AV48" i="10"/>
  <c r="AW1" i="7"/>
  <c r="AW1" i="11"/>
  <c r="AW22" i="10"/>
  <c r="AU40" i="11"/>
  <c r="AU42" i="11" s="1"/>
  <c r="AV39" i="7"/>
  <c r="AV34" i="7" l="1"/>
  <c r="AV41" i="7" s="1"/>
  <c r="AV323" i="11"/>
  <c r="AV324" i="11"/>
  <c r="AU148" i="11"/>
  <c r="BY66" i="11"/>
  <c r="BY65" i="11" s="1"/>
  <c r="AU133" i="11"/>
  <c r="AV79" i="7"/>
  <c r="AV85" i="7" s="1"/>
  <c r="AV88" i="7"/>
  <c r="AV109" i="7"/>
  <c r="AV118" i="7"/>
  <c r="CO3" i="7"/>
  <c r="CO3" i="11"/>
  <c r="AV11" i="11"/>
  <c r="AV16" i="11" s="1"/>
  <c r="AV210" i="11"/>
  <c r="AV115" i="11"/>
  <c r="AV35" i="11"/>
  <c r="AV8" i="11"/>
  <c r="AV13" i="11" s="1"/>
  <c r="AV12" i="11"/>
  <c r="AV17" i="11" s="1"/>
  <c r="AV10" i="11"/>
  <c r="AV15" i="11" s="1"/>
  <c r="AV9" i="11"/>
  <c r="AV14" i="11" s="1"/>
  <c r="AI87" i="11"/>
  <c r="AU110" i="11"/>
  <c r="AU26" i="11"/>
  <c r="AH96" i="11"/>
  <c r="AL84" i="11"/>
  <c r="CO28" i="10"/>
  <c r="CO29" i="10" s="1"/>
  <c r="CP20" i="10"/>
  <c r="CN31" i="10"/>
  <c r="CN30" i="10"/>
  <c r="AI91" i="11"/>
  <c r="AI155" i="11" s="1"/>
  <c r="AI92" i="11"/>
  <c r="AI142" i="11" s="1"/>
  <c r="AJ104" i="11"/>
  <c r="AJ162" i="11"/>
  <c r="AJ119" i="11"/>
  <c r="AJ81" i="11"/>
  <c r="AJ136" i="11" s="1"/>
  <c r="AV154" i="7"/>
  <c r="AV169" i="7"/>
  <c r="AV124" i="7"/>
  <c r="AV176" i="11"/>
  <c r="AV171" i="11"/>
  <c r="AV176" i="7"/>
  <c r="AV10" i="7"/>
  <c r="AW172" i="7"/>
  <c r="AW173" i="7" s="1"/>
  <c r="AW157" i="7"/>
  <c r="AW158" i="7" s="1"/>
  <c r="AW142" i="7"/>
  <c r="AW97" i="7"/>
  <c r="AW82" i="7"/>
  <c r="AW83" i="7" s="1"/>
  <c r="AW112" i="7"/>
  <c r="AW113" i="7" s="1"/>
  <c r="AW37" i="7"/>
  <c r="AW38" i="7" s="1"/>
  <c r="AW127" i="7"/>
  <c r="AW128" i="7" s="1"/>
  <c r="AU149" i="11"/>
  <c r="AW167" i="7"/>
  <c r="AW177" i="7" s="1"/>
  <c r="AW137" i="7"/>
  <c r="AW147" i="7" s="1"/>
  <c r="AW122" i="7"/>
  <c r="AW132" i="7" s="1"/>
  <c r="AW107" i="7"/>
  <c r="AW117" i="7" s="1"/>
  <c r="AW152" i="7"/>
  <c r="AW162" i="7" s="1"/>
  <c r="AV261" i="11"/>
  <c r="AV18" i="7" s="1"/>
  <c r="AW7" i="7"/>
  <c r="AW77" i="7"/>
  <c r="AW87" i="7" s="1"/>
  <c r="AW32" i="7"/>
  <c r="AW62" i="7"/>
  <c r="AW72" i="7" s="1"/>
  <c r="AW47" i="7"/>
  <c r="AW8" i="7"/>
  <c r="AW92" i="7"/>
  <c r="AW102" i="7" s="1"/>
  <c r="AW39" i="10"/>
  <c r="AW40" i="10"/>
  <c r="AW41" i="10"/>
  <c r="AW42" i="10"/>
  <c r="AW37" i="10"/>
  <c r="AW45" i="10"/>
  <c r="AW35" i="10"/>
  <c r="AW36" i="10"/>
  <c r="AW44" i="10"/>
  <c r="AW2" i="11"/>
  <c r="AW38" i="10"/>
  <c r="AW43" i="10"/>
  <c r="AW46" i="10"/>
  <c r="AW2" i="7"/>
  <c r="AX21" i="10"/>
  <c r="AW23" i="10"/>
  <c r="AW24" i="10"/>
  <c r="AW19" i="10"/>
  <c r="AV40" i="7" l="1"/>
  <c r="AV130" i="7"/>
  <c r="AV131" i="7"/>
  <c r="AV115" i="7"/>
  <c r="AV116" i="7"/>
  <c r="AU146" i="11"/>
  <c r="AI150" i="11"/>
  <c r="AW33" i="7"/>
  <c r="AW43" i="7" s="1"/>
  <c r="AW42" i="7"/>
  <c r="AW48" i="7"/>
  <c r="AW58" i="7" s="1"/>
  <c r="AW57" i="7"/>
  <c r="CP3" i="7"/>
  <c r="CP3" i="11"/>
  <c r="AV19" i="11"/>
  <c r="AK75" i="11"/>
  <c r="AK104" i="11" s="1"/>
  <c r="AM84" i="11"/>
  <c r="AU20" i="11"/>
  <c r="CP28" i="10"/>
  <c r="CP29" i="10" s="1"/>
  <c r="CQ20" i="10"/>
  <c r="CO30" i="10"/>
  <c r="CO31" i="10"/>
  <c r="AI120" i="11"/>
  <c r="AI93" i="11"/>
  <c r="AI137" i="11" s="1"/>
  <c r="AI163" i="11"/>
  <c r="AI95" i="11"/>
  <c r="AI112" i="11"/>
  <c r="AI105" i="11"/>
  <c r="AK80" i="11"/>
  <c r="AK141" i="11" s="1"/>
  <c r="AK79" i="11"/>
  <c r="AK154" i="11" s="1"/>
  <c r="AU108" i="11"/>
  <c r="AU111" i="11"/>
  <c r="AV175" i="7"/>
  <c r="AV160" i="7"/>
  <c r="AV52" i="11"/>
  <c r="AV88" i="11"/>
  <c r="BT90" i="11" s="1"/>
  <c r="BT89" i="11" s="1"/>
  <c r="AV86" i="7"/>
  <c r="AX27" i="10"/>
  <c r="AW63" i="7"/>
  <c r="AW73" i="7" s="1"/>
  <c r="AW138" i="7"/>
  <c r="AW144" i="7"/>
  <c r="AW168" i="7"/>
  <c r="AW174" i="7"/>
  <c r="AW93" i="7"/>
  <c r="AW103" i="7" s="1"/>
  <c r="AW99" i="7"/>
  <c r="AW153" i="7"/>
  <c r="AW163" i="7" s="1"/>
  <c r="AW159" i="7"/>
  <c r="AW108" i="7"/>
  <c r="AW118" i="7" s="1"/>
  <c r="AW114" i="7"/>
  <c r="AW123" i="7"/>
  <c r="AW129" i="7"/>
  <c r="AW78" i="7"/>
  <c r="AW84" i="7"/>
  <c r="AU83" i="11"/>
  <c r="AW214" i="11"/>
  <c r="AW285" i="11" s="1"/>
  <c r="AW230" i="11"/>
  <c r="AW131" i="11"/>
  <c r="AW229" i="11"/>
  <c r="AW39" i="7"/>
  <c r="AW4" i="11"/>
  <c r="AW4" i="7"/>
  <c r="AV64" i="11"/>
  <c r="AV76" i="11"/>
  <c r="BT78" i="11" s="1"/>
  <c r="BT77" i="11" s="1"/>
  <c r="AW48" i="10"/>
  <c r="AV40" i="11"/>
  <c r="AV42" i="11" s="1"/>
  <c r="AX1" i="7"/>
  <c r="AX1" i="11"/>
  <c r="AX22" i="10"/>
  <c r="AW8" i="11" l="1"/>
  <c r="AW13" i="11" s="1"/>
  <c r="AW323" i="11"/>
  <c r="AW324" i="11"/>
  <c r="AV148" i="11"/>
  <c r="BZ66" i="11"/>
  <c r="BZ65" i="11" s="1"/>
  <c r="AV133" i="11"/>
  <c r="AW34" i="7"/>
  <c r="AW41" i="7" s="1"/>
  <c r="AW79" i="7"/>
  <c r="AW85" i="7" s="1"/>
  <c r="AW88" i="7"/>
  <c r="AW148" i="7"/>
  <c r="AW124" i="7"/>
  <c r="AW133" i="7"/>
  <c r="AW169" i="7"/>
  <c r="AW175" i="7" s="1"/>
  <c r="AW178" i="7"/>
  <c r="CQ3" i="7"/>
  <c r="CQ3" i="11"/>
  <c r="AW12" i="11"/>
  <c r="AW17" i="11" s="1"/>
  <c r="AW10" i="11"/>
  <c r="AW15" i="11" s="1"/>
  <c r="AW210" i="11"/>
  <c r="AW115" i="11"/>
  <c r="AW35" i="11"/>
  <c r="AW11" i="11"/>
  <c r="AW16" i="11" s="1"/>
  <c r="AW9" i="11"/>
  <c r="AW14" i="11" s="1"/>
  <c r="AJ87" i="11"/>
  <c r="AV110" i="11"/>
  <c r="AV26" i="11"/>
  <c r="AN84" i="11"/>
  <c r="AI96" i="11"/>
  <c r="CQ28" i="10"/>
  <c r="CQ29" i="10" s="1"/>
  <c r="CR20" i="10"/>
  <c r="CP31" i="10"/>
  <c r="CP30" i="10"/>
  <c r="AJ91" i="11"/>
  <c r="AJ155" i="11" s="1"/>
  <c r="AJ92" i="11"/>
  <c r="AJ142" i="11" s="1"/>
  <c r="AK81" i="11"/>
  <c r="AK136" i="11" s="1"/>
  <c r="AK119" i="11"/>
  <c r="AK162" i="11"/>
  <c r="AW109" i="7"/>
  <c r="AW154" i="7"/>
  <c r="AW176" i="11"/>
  <c r="AW171" i="11"/>
  <c r="AW176" i="7"/>
  <c r="AW10" i="7"/>
  <c r="AX112" i="7"/>
  <c r="AX113" i="7" s="1"/>
  <c r="AX172" i="7"/>
  <c r="AX173" i="7" s="1"/>
  <c r="AX157" i="7"/>
  <c r="AX158" i="7" s="1"/>
  <c r="AX97" i="7"/>
  <c r="AX37" i="7"/>
  <c r="AX38" i="7" s="1"/>
  <c r="AX142" i="7"/>
  <c r="AX127" i="7"/>
  <c r="AX128" i="7" s="1"/>
  <c r="AX82" i="7"/>
  <c r="AX83" i="7" s="1"/>
  <c r="AV149" i="11"/>
  <c r="AX167" i="7"/>
  <c r="AX177" i="7" s="1"/>
  <c r="AX122" i="7"/>
  <c r="AX132" i="7" s="1"/>
  <c r="AX107" i="7"/>
  <c r="AX117" i="7" s="1"/>
  <c r="AX152" i="7"/>
  <c r="AX162" i="7" s="1"/>
  <c r="AX137" i="7"/>
  <c r="AX147" i="7" s="1"/>
  <c r="AW261" i="11"/>
  <c r="AW18" i="7" s="1"/>
  <c r="AX7" i="7"/>
  <c r="AX2" i="11"/>
  <c r="AX41" i="10"/>
  <c r="AX42" i="10"/>
  <c r="AX35" i="10"/>
  <c r="AX43" i="10"/>
  <c r="AX36" i="10"/>
  <c r="AX44" i="10"/>
  <c r="AX39" i="10"/>
  <c r="AX37" i="10"/>
  <c r="AX38" i="10"/>
  <c r="AX40" i="10"/>
  <c r="AX45" i="10"/>
  <c r="AX46" i="10"/>
  <c r="AX2" i="7"/>
  <c r="AY21" i="10"/>
  <c r="AX23" i="10"/>
  <c r="AX24" i="10"/>
  <c r="AX19" i="10"/>
  <c r="AX77" i="7"/>
  <c r="AX87" i="7" s="1"/>
  <c r="AX47" i="7"/>
  <c r="AX62" i="7"/>
  <c r="AX72" i="7" s="1"/>
  <c r="AX92" i="7"/>
  <c r="AX102" i="7" s="1"/>
  <c r="AX32" i="7"/>
  <c r="AX8" i="7"/>
  <c r="AW130" i="7" l="1"/>
  <c r="AW131" i="7"/>
  <c r="AW115" i="7"/>
  <c r="AW116" i="7"/>
  <c r="AW40" i="7"/>
  <c r="AV146" i="11"/>
  <c r="AX33" i="7"/>
  <c r="AX43" i="7" s="1"/>
  <c r="AX42" i="7"/>
  <c r="AX48" i="7"/>
  <c r="AX58" i="7" s="1"/>
  <c r="AX57" i="7"/>
  <c r="CR3" i="7"/>
  <c r="CR3" i="11"/>
  <c r="AW19" i="11"/>
  <c r="AL80" i="11"/>
  <c r="AL141" i="11" s="1"/>
  <c r="AO84" i="11"/>
  <c r="AP84" i="11" s="1"/>
  <c r="AQ84" i="11" s="1"/>
  <c r="AR84" i="11" s="1"/>
  <c r="AS84" i="11" s="1"/>
  <c r="AT84" i="11" s="1"/>
  <c r="AU84" i="11" s="1"/>
  <c r="AV20" i="11"/>
  <c r="CR28" i="10"/>
  <c r="CR29" i="10" s="1"/>
  <c r="CS20" i="10"/>
  <c r="CQ31" i="10"/>
  <c r="CQ30" i="10"/>
  <c r="AJ120" i="11"/>
  <c r="AL79" i="11"/>
  <c r="AL154" i="11" s="1"/>
  <c r="AL75" i="11"/>
  <c r="AV108" i="11"/>
  <c r="AV111" i="11"/>
  <c r="AW160" i="7"/>
  <c r="AW88" i="11"/>
  <c r="BU90" i="11" s="1"/>
  <c r="BU89" i="11" s="1"/>
  <c r="AW86" i="7"/>
  <c r="AW40" i="11"/>
  <c r="AW42" i="11" s="1"/>
  <c r="AY27" i="10"/>
  <c r="AV83" i="11"/>
  <c r="AX63" i="7"/>
  <c r="AX73" i="7" s="1"/>
  <c r="AX168" i="7"/>
  <c r="AX178" i="7" s="1"/>
  <c r="AX174" i="7"/>
  <c r="AX138" i="7"/>
  <c r="AX148" i="7" s="1"/>
  <c r="AX144" i="7"/>
  <c r="AX93" i="7"/>
  <c r="AX103" i="7" s="1"/>
  <c r="AX99" i="7"/>
  <c r="AX153" i="7"/>
  <c r="AX163" i="7" s="1"/>
  <c r="AX159" i="7"/>
  <c r="AX108" i="7"/>
  <c r="AX114" i="7"/>
  <c r="AX123" i="7"/>
  <c r="AX133" i="7" s="1"/>
  <c r="AX129" i="7"/>
  <c r="AX78" i="7"/>
  <c r="AX84" i="7"/>
  <c r="AX214" i="11"/>
  <c r="AX230" i="11"/>
  <c r="AX131" i="11"/>
  <c r="AX229" i="11"/>
  <c r="AW64" i="11"/>
  <c r="AW76" i="11"/>
  <c r="BU78" i="11" s="1"/>
  <c r="BU77" i="11" s="1"/>
  <c r="AX4" i="11"/>
  <c r="AX4" i="7"/>
  <c r="AY1" i="7"/>
  <c r="AY1" i="11"/>
  <c r="AY22" i="10"/>
  <c r="AX48" i="10"/>
  <c r="AX39" i="7"/>
  <c r="AX323" i="11" l="1"/>
  <c r="AX324" i="11"/>
  <c r="AX34" i="7"/>
  <c r="AX41" i="7" s="1"/>
  <c r="AW148" i="11"/>
  <c r="CA66" i="11"/>
  <c r="CA65" i="11" s="1"/>
  <c r="AW133" i="11"/>
  <c r="AJ150" i="11"/>
  <c r="AX79" i="7"/>
  <c r="AX85" i="7" s="1"/>
  <c r="AX88" i="7"/>
  <c r="AX109" i="7"/>
  <c r="AX118" i="7"/>
  <c r="CS3" i="7"/>
  <c r="CS3" i="11"/>
  <c r="AX11" i="11"/>
  <c r="AX16" i="11" s="1"/>
  <c r="AX10" i="11"/>
  <c r="AX15" i="11" s="1"/>
  <c r="AX115" i="11"/>
  <c r="AX210" i="11"/>
  <c r="AX35" i="11"/>
  <c r="AX8" i="11"/>
  <c r="AX13" i="11" s="1"/>
  <c r="AX12" i="11"/>
  <c r="AX17" i="11" s="1"/>
  <c r="AX9" i="11"/>
  <c r="AX14" i="11" s="1"/>
  <c r="AX52" i="11" s="1"/>
  <c r="AV84" i="11"/>
  <c r="AW110" i="11"/>
  <c r="CS28" i="10"/>
  <c r="CS29" i="10" s="1"/>
  <c r="CT20" i="10"/>
  <c r="CR31" i="10"/>
  <c r="CR30" i="10"/>
  <c r="AJ163" i="11"/>
  <c r="AJ93" i="11"/>
  <c r="AJ137" i="11" s="1"/>
  <c r="AJ105" i="11"/>
  <c r="AJ112" i="11"/>
  <c r="AJ95" i="11"/>
  <c r="AL104" i="11"/>
  <c r="AL81" i="11"/>
  <c r="AL136" i="11" s="1"/>
  <c r="AL162" i="11"/>
  <c r="AL119" i="11"/>
  <c r="AX169" i="7"/>
  <c r="AX124" i="7"/>
  <c r="AX131" i="7" s="1"/>
  <c r="AX154" i="7"/>
  <c r="AW52" i="11"/>
  <c r="AW26" i="11" s="1"/>
  <c r="AX261" i="11"/>
  <c r="AX18" i="7" s="1"/>
  <c r="AX285" i="11"/>
  <c r="AX176" i="11"/>
  <c r="AX171" i="11"/>
  <c r="AX176" i="7"/>
  <c r="AX10" i="7"/>
  <c r="AY172" i="7"/>
  <c r="AY173" i="7" s="1"/>
  <c r="AY157" i="7"/>
  <c r="AY158" i="7" s="1"/>
  <c r="AY142" i="7"/>
  <c r="AY127" i="7"/>
  <c r="AY128" i="7" s="1"/>
  <c r="AY112" i="7"/>
  <c r="AY113" i="7" s="1"/>
  <c r="AY37" i="7"/>
  <c r="AY38" i="7" s="1"/>
  <c r="AY97" i="7"/>
  <c r="AY82" i="7"/>
  <c r="AY83" i="7" s="1"/>
  <c r="AW149" i="11"/>
  <c r="AY152" i="7"/>
  <c r="AY162" i="7" s="1"/>
  <c r="AY107" i="7"/>
  <c r="AY117" i="7" s="1"/>
  <c r="AY167" i="7"/>
  <c r="AY177" i="7" s="1"/>
  <c r="AY122" i="7"/>
  <c r="AY132" i="7" s="1"/>
  <c r="AY137" i="7"/>
  <c r="AY147" i="7" s="1"/>
  <c r="AY7" i="7"/>
  <c r="AY77" i="7"/>
  <c r="AY87" i="7" s="1"/>
  <c r="AY32" i="7"/>
  <c r="AY47" i="7"/>
  <c r="AY62" i="7"/>
  <c r="AY72" i="7" s="1"/>
  <c r="AY8" i="7"/>
  <c r="AY92" i="7"/>
  <c r="AY102" i="7" s="1"/>
  <c r="AY2" i="11"/>
  <c r="AY35" i="10"/>
  <c r="AY43" i="10"/>
  <c r="AY36" i="10"/>
  <c r="AY44" i="10"/>
  <c r="AY37" i="10"/>
  <c r="AY45" i="10"/>
  <c r="AY38" i="10"/>
  <c r="AY46" i="10"/>
  <c r="AY41" i="10"/>
  <c r="AY42" i="10"/>
  <c r="AY39" i="10"/>
  <c r="AY40" i="10"/>
  <c r="AY2" i="7"/>
  <c r="AZ21" i="10"/>
  <c r="AY23" i="10"/>
  <c r="AY19" i="10"/>
  <c r="AY24" i="10"/>
  <c r="AX115" i="7" l="1"/>
  <c r="AX116" i="7"/>
  <c r="AX40" i="7"/>
  <c r="AW108" i="11"/>
  <c r="AW146" i="11"/>
  <c r="AY33" i="7"/>
  <c r="AY43" i="7" s="1"/>
  <c r="AY42" i="7"/>
  <c r="AY48" i="7"/>
  <c r="AY58" i="7" s="1"/>
  <c r="AY57" i="7"/>
  <c r="CT3" i="7"/>
  <c r="CT3" i="11"/>
  <c r="AX19" i="11"/>
  <c r="AK87" i="11"/>
  <c r="AM75" i="11"/>
  <c r="AM104" i="11" s="1"/>
  <c r="AJ96" i="11"/>
  <c r="CT28" i="10"/>
  <c r="CT29" i="10" s="1"/>
  <c r="CU20" i="10"/>
  <c r="CS30" i="10"/>
  <c r="CS31" i="10"/>
  <c r="AK92" i="11"/>
  <c r="AK142" i="11" s="1"/>
  <c r="AK91" i="11"/>
  <c r="AK155" i="11" s="1"/>
  <c r="AM79" i="11"/>
  <c r="AM154" i="11" s="1"/>
  <c r="AM80" i="11"/>
  <c r="AM141" i="11" s="1"/>
  <c r="AW111" i="11"/>
  <c r="AX130" i="7"/>
  <c r="AX175" i="7"/>
  <c r="AX160" i="7"/>
  <c r="AX88" i="11"/>
  <c r="BV90" i="11" s="1"/>
  <c r="BV89" i="11" s="1"/>
  <c r="AX86" i="7"/>
  <c r="AZ27" i="10"/>
  <c r="AY63" i="7"/>
  <c r="AY73" i="7" s="1"/>
  <c r="AY108" i="7"/>
  <c r="AY118" i="7" s="1"/>
  <c r="AY114" i="7"/>
  <c r="AY153" i="7"/>
  <c r="AY163" i="7" s="1"/>
  <c r="AY159" i="7"/>
  <c r="AY138" i="7"/>
  <c r="AY144" i="7"/>
  <c r="AY123" i="7"/>
  <c r="AY133" i="7" s="1"/>
  <c r="AY129" i="7"/>
  <c r="AY93" i="7"/>
  <c r="AY99" i="7"/>
  <c r="AY168" i="7"/>
  <c r="AY174" i="7"/>
  <c r="AY78" i="7"/>
  <c r="AY84" i="7"/>
  <c r="AW83" i="11"/>
  <c r="AW84" i="11" s="1"/>
  <c r="AY214" i="11"/>
  <c r="AY261" i="11" s="1"/>
  <c r="AY18" i="7" s="1"/>
  <c r="AY230" i="11"/>
  <c r="AY131" i="11"/>
  <c r="AY229" i="11"/>
  <c r="AY39" i="7"/>
  <c r="AZ1" i="7"/>
  <c r="AZ1" i="11"/>
  <c r="AZ22" i="10"/>
  <c r="AY48" i="10"/>
  <c r="AY4" i="11"/>
  <c r="AY4" i="7"/>
  <c r="AX40" i="11"/>
  <c r="AX42" i="11" s="1"/>
  <c r="AX64" i="11"/>
  <c r="AY10" i="11" l="1"/>
  <c r="AY15" i="11" s="1"/>
  <c r="AY323" i="11"/>
  <c r="AY324" i="11"/>
  <c r="AY34" i="7"/>
  <c r="AY40" i="7" s="1"/>
  <c r="AX148" i="11"/>
  <c r="CB66" i="11"/>
  <c r="CB65" i="11" s="1"/>
  <c r="AX133" i="11"/>
  <c r="AY169" i="7"/>
  <c r="AY175" i="7" s="1"/>
  <c r="AY178" i="7"/>
  <c r="AY103" i="7"/>
  <c r="AY79" i="7"/>
  <c r="AY85" i="7" s="1"/>
  <c r="AY88" i="7"/>
  <c r="AY148" i="7"/>
  <c r="CU3" i="7"/>
  <c r="CU3" i="11"/>
  <c r="AY8" i="11"/>
  <c r="AY13" i="11" s="1"/>
  <c r="AY11" i="11"/>
  <c r="AY16" i="11" s="1"/>
  <c r="AY115" i="11"/>
  <c r="AY210" i="11"/>
  <c r="AY35" i="11"/>
  <c r="AY12" i="11"/>
  <c r="AY17" i="11" s="1"/>
  <c r="AY9" i="11"/>
  <c r="AY14" i="11" s="1"/>
  <c r="AY52" i="11" s="1"/>
  <c r="AX110" i="11"/>
  <c r="AW20" i="11"/>
  <c r="CU28" i="10"/>
  <c r="CU29" i="10" s="1"/>
  <c r="CV20" i="10"/>
  <c r="CT31" i="10"/>
  <c r="CT30" i="10"/>
  <c r="AK120" i="11"/>
  <c r="AM119" i="11"/>
  <c r="AM81" i="11"/>
  <c r="AM136" i="11" s="1"/>
  <c r="AM162" i="11"/>
  <c r="AY109" i="7"/>
  <c r="AY124" i="7"/>
  <c r="AY154" i="7"/>
  <c r="AY285" i="11"/>
  <c r="AY176" i="11"/>
  <c r="AX76" i="11"/>
  <c r="AY171" i="11"/>
  <c r="AY176" i="7"/>
  <c r="AY10" i="7"/>
  <c r="AZ172" i="7"/>
  <c r="AZ173" i="7" s="1"/>
  <c r="AZ157" i="7"/>
  <c r="AZ158" i="7" s="1"/>
  <c r="AZ142" i="7"/>
  <c r="AZ127" i="7"/>
  <c r="AZ128" i="7" s="1"/>
  <c r="AZ112" i="7"/>
  <c r="AZ113" i="7" s="1"/>
  <c r="AZ37" i="7"/>
  <c r="AZ38" i="7" s="1"/>
  <c r="AZ97" i="7"/>
  <c r="AZ82" i="7"/>
  <c r="AZ83" i="7" s="1"/>
  <c r="AZ152" i="7"/>
  <c r="AZ162" i="7" s="1"/>
  <c r="AZ137" i="7"/>
  <c r="AZ147" i="7" s="1"/>
  <c r="AZ122" i="7"/>
  <c r="AZ132" i="7" s="1"/>
  <c r="AZ167" i="7"/>
  <c r="AZ177" i="7" s="1"/>
  <c r="AZ107" i="7"/>
  <c r="AZ117" i="7" s="1"/>
  <c r="AZ7" i="7"/>
  <c r="AZ92" i="7"/>
  <c r="AZ102" i="7" s="1"/>
  <c r="AZ77" i="7"/>
  <c r="AZ87" i="7" s="1"/>
  <c r="AZ32" i="7"/>
  <c r="AZ62" i="7"/>
  <c r="AZ72" i="7" s="1"/>
  <c r="AZ8" i="7"/>
  <c r="AZ2" i="11"/>
  <c r="AZ37" i="10"/>
  <c r="AZ45" i="10"/>
  <c r="AZ38" i="10"/>
  <c r="AZ46" i="10"/>
  <c r="AZ39" i="10"/>
  <c r="AZ40" i="10"/>
  <c r="AZ35" i="10"/>
  <c r="AZ43" i="10"/>
  <c r="AZ36" i="10"/>
  <c r="AZ44" i="10"/>
  <c r="AZ41" i="10"/>
  <c r="AZ42" i="10"/>
  <c r="AZ2" i="7"/>
  <c r="BA21" i="10"/>
  <c r="AZ23" i="10"/>
  <c r="AZ24" i="10"/>
  <c r="AZ19" i="10"/>
  <c r="AY130" i="7" l="1"/>
  <c r="AY131" i="7"/>
  <c r="AY115" i="7"/>
  <c r="AY116" i="7"/>
  <c r="AY41" i="7"/>
  <c r="AX26" i="11"/>
  <c r="BV78" i="11"/>
  <c r="BV77" i="11" s="1"/>
  <c r="AK150" i="11"/>
  <c r="AX146" i="11"/>
  <c r="AZ33" i="7"/>
  <c r="AZ43" i="7" s="1"/>
  <c r="AZ42" i="7"/>
  <c r="CV3" i="7"/>
  <c r="CV3" i="11"/>
  <c r="AX149" i="11"/>
  <c r="AY19" i="11"/>
  <c r="AY88" i="11"/>
  <c r="BW90" i="11" s="1"/>
  <c r="BW89" i="11" s="1"/>
  <c r="AN80" i="11"/>
  <c r="AN141" i="11" s="1"/>
  <c r="CV28" i="10"/>
  <c r="CV29" i="10" s="1"/>
  <c r="CW20" i="10"/>
  <c r="CU31" i="10"/>
  <c r="CU30" i="10"/>
  <c r="AK112" i="11"/>
  <c r="AK95" i="11"/>
  <c r="AK93" i="11"/>
  <c r="AK137" i="11" s="1"/>
  <c r="AK105" i="11"/>
  <c r="AK163" i="11"/>
  <c r="AN79" i="11"/>
  <c r="AN154" i="11" s="1"/>
  <c r="AN75" i="11"/>
  <c r="AX108" i="11"/>
  <c r="AX111" i="11"/>
  <c r="AY160" i="7"/>
  <c r="AY86" i="7"/>
  <c r="AY64" i="11"/>
  <c r="BA27" i="10"/>
  <c r="AZ63" i="7"/>
  <c r="AZ73" i="7" s="1"/>
  <c r="AZ123" i="7"/>
  <c r="AZ129" i="7"/>
  <c r="AZ168" i="7"/>
  <c r="AZ178" i="7" s="1"/>
  <c r="AZ174" i="7"/>
  <c r="AZ93" i="7"/>
  <c r="AZ103" i="7" s="1"/>
  <c r="AZ99" i="7"/>
  <c r="AZ138" i="7"/>
  <c r="AZ148" i="7" s="1"/>
  <c r="AZ144" i="7"/>
  <c r="AZ153" i="7"/>
  <c r="AZ163" i="7" s="1"/>
  <c r="AZ159" i="7"/>
  <c r="AZ108" i="7"/>
  <c r="AZ118" i="7" s="1"/>
  <c r="AZ114" i="7"/>
  <c r="AZ78" i="7"/>
  <c r="AZ84" i="7"/>
  <c r="AX83" i="11"/>
  <c r="AX84" i="11" s="1"/>
  <c r="AZ214" i="11"/>
  <c r="AZ261" i="11" s="1"/>
  <c r="AZ18" i="7" s="1"/>
  <c r="AZ230" i="11"/>
  <c r="AZ131" i="11"/>
  <c r="AZ229" i="11"/>
  <c r="AZ4" i="11"/>
  <c r="AZ4" i="7"/>
  <c r="BA1" i="7"/>
  <c r="BA1" i="11"/>
  <c r="BA22" i="10"/>
  <c r="AZ48" i="10"/>
  <c r="AY76" i="11"/>
  <c r="BW78" i="11" s="1"/>
  <c r="BW77" i="11" s="1"/>
  <c r="AZ39" i="7"/>
  <c r="AZ323" i="11" l="1"/>
  <c r="AZ324" i="11"/>
  <c r="AY148" i="11"/>
  <c r="CC66" i="11"/>
  <c r="CC65" i="11" s="1"/>
  <c r="AZ34" i="7"/>
  <c r="AZ41" i="7" s="1"/>
  <c r="AZ79" i="7"/>
  <c r="AZ85" i="7" s="1"/>
  <c r="AZ88" i="7"/>
  <c r="AZ124" i="7"/>
  <c r="AZ133" i="7"/>
  <c r="CW3" i="7"/>
  <c r="CW3" i="11"/>
  <c r="AZ8" i="11"/>
  <c r="AZ13" i="11" s="1"/>
  <c r="AZ12" i="11"/>
  <c r="AZ17" i="11" s="1"/>
  <c r="AZ11" i="11"/>
  <c r="AZ16" i="11" s="1"/>
  <c r="AZ210" i="11"/>
  <c r="AZ115" i="11"/>
  <c r="AZ35" i="11"/>
  <c r="AZ10" i="11"/>
  <c r="AZ15" i="11" s="1"/>
  <c r="AZ9" i="11"/>
  <c r="AZ14" i="11" s="1"/>
  <c r="AZ52" i="11" s="1"/>
  <c r="AL87" i="11"/>
  <c r="AY110" i="11"/>
  <c r="AK96" i="11"/>
  <c r="AX20" i="11"/>
  <c r="CW28" i="10"/>
  <c r="CW29" i="10" s="1"/>
  <c r="CX20" i="10"/>
  <c r="CV31" i="10"/>
  <c r="CV30" i="10"/>
  <c r="AL91" i="11"/>
  <c r="AL155" i="11" s="1"/>
  <c r="AL92" i="11"/>
  <c r="AL142" i="11" s="1"/>
  <c r="AN81" i="11"/>
  <c r="AN136" i="11" s="1"/>
  <c r="AN119" i="11"/>
  <c r="AN162" i="11"/>
  <c r="AN104" i="11"/>
  <c r="AZ169" i="7"/>
  <c r="AZ154" i="7"/>
  <c r="AZ109" i="7"/>
  <c r="AZ116" i="7" s="1"/>
  <c r="AZ285" i="11"/>
  <c r="AZ176" i="11"/>
  <c r="AY40" i="11"/>
  <c r="AY42" i="11" s="1"/>
  <c r="AZ171" i="11"/>
  <c r="AZ176" i="7"/>
  <c r="BA172" i="7"/>
  <c r="BA173" i="7" s="1"/>
  <c r="BA157" i="7"/>
  <c r="BA158" i="7" s="1"/>
  <c r="BA142" i="7"/>
  <c r="BA127" i="7"/>
  <c r="BA128" i="7" s="1"/>
  <c r="BA112" i="7"/>
  <c r="BA113" i="7" s="1"/>
  <c r="BA37" i="7"/>
  <c r="BA38" i="7" s="1"/>
  <c r="BA97" i="7"/>
  <c r="BA82" i="7"/>
  <c r="BA83" i="7" s="1"/>
  <c r="AY149" i="11"/>
  <c r="BA137" i="7"/>
  <c r="BA147" i="7" s="1"/>
  <c r="BA167" i="7"/>
  <c r="BA177" i="7" s="1"/>
  <c r="BA122" i="7"/>
  <c r="BA132" i="7" s="1"/>
  <c r="BA152" i="7"/>
  <c r="BA162" i="7" s="1"/>
  <c r="BA107" i="7"/>
  <c r="BA117" i="7" s="1"/>
  <c r="BA7" i="7"/>
  <c r="BA2" i="11"/>
  <c r="BA39" i="10"/>
  <c r="BA40" i="10"/>
  <c r="BA41" i="10"/>
  <c r="BA42" i="10"/>
  <c r="BA37" i="10"/>
  <c r="BA45" i="10"/>
  <c r="BA36" i="10"/>
  <c r="BA38" i="10"/>
  <c r="BA43" i="10"/>
  <c r="BA44" i="10"/>
  <c r="BA35" i="10"/>
  <c r="BA46" i="10"/>
  <c r="BB21" i="10"/>
  <c r="BA2" i="7"/>
  <c r="BA23" i="10"/>
  <c r="BA19" i="10"/>
  <c r="BA24" i="10"/>
  <c r="BA47" i="7"/>
  <c r="BA62" i="7"/>
  <c r="BA72" i="7" s="1"/>
  <c r="BA92" i="7"/>
  <c r="BA102" i="7" s="1"/>
  <c r="BA77" i="7"/>
  <c r="BA87" i="7" s="1"/>
  <c r="BA32" i="7"/>
  <c r="BA8" i="7"/>
  <c r="AZ130" i="7" l="1"/>
  <c r="AZ131" i="7"/>
  <c r="AZ40" i="7"/>
  <c r="AY133" i="11"/>
  <c r="BA33" i="7"/>
  <c r="BA43" i="7" s="1"/>
  <c r="BA42" i="7"/>
  <c r="BA48" i="7"/>
  <c r="BA58" i="7" s="1"/>
  <c r="BA57" i="7"/>
  <c r="CX3" i="7"/>
  <c r="CX3" i="11"/>
  <c r="AZ19" i="11"/>
  <c r="AY26" i="11"/>
  <c r="AY20" i="11" s="1"/>
  <c r="AO80" i="11"/>
  <c r="AO141" i="11" s="1"/>
  <c r="CX28" i="10"/>
  <c r="CX29" i="10" s="1"/>
  <c r="CY20" i="10"/>
  <c r="CW31" i="10"/>
  <c r="CW30" i="10"/>
  <c r="AL120" i="11"/>
  <c r="AO75" i="11"/>
  <c r="AO79" i="11"/>
  <c r="AO154" i="11" s="1"/>
  <c r="AY111" i="11"/>
  <c r="AZ175" i="7"/>
  <c r="AZ115" i="7"/>
  <c r="AZ160" i="7"/>
  <c r="AZ86" i="7"/>
  <c r="AZ88" i="11"/>
  <c r="BX90" i="11" s="1"/>
  <c r="BX89" i="11" s="1"/>
  <c r="AZ40" i="11"/>
  <c r="AZ42" i="11" s="1"/>
  <c r="BB27" i="10"/>
  <c r="BA63" i="7"/>
  <c r="BA73" i="7" s="1"/>
  <c r="BA138" i="7"/>
  <c r="BA144" i="7"/>
  <c r="BA168" i="7"/>
  <c r="BA178" i="7" s="1"/>
  <c r="BA174" i="7"/>
  <c r="BA108" i="7"/>
  <c r="BA118" i="7" s="1"/>
  <c r="BA114" i="7"/>
  <c r="BA153" i="7"/>
  <c r="BA159" i="7"/>
  <c r="BA93" i="7"/>
  <c r="BA103" i="7" s="1"/>
  <c r="BA99" i="7"/>
  <c r="BA123" i="7"/>
  <c r="BA133" i="7" s="1"/>
  <c r="BA129" i="7"/>
  <c r="BA78" i="7"/>
  <c r="BA84" i="7"/>
  <c r="AY83" i="11"/>
  <c r="AY84" i="11" s="1"/>
  <c r="BA214" i="11"/>
  <c r="BA261" i="11" s="1"/>
  <c r="BA18" i="7" s="1"/>
  <c r="BA230" i="11"/>
  <c r="BA131" i="11"/>
  <c r="BA229" i="11"/>
  <c r="AZ76" i="11"/>
  <c r="BX78" i="11" s="1"/>
  <c r="BX77" i="11" s="1"/>
  <c r="BB1" i="7"/>
  <c r="BB1" i="11"/>
  <c r="BB22" i="10"/>
  <c r="BA48" i="10"/>
  <c r="BA39" i="7"/>
  <c r="AZ64" i="11"/>
  <c r="BA4" i="11"/>
  <c r="BA4" i="7"/>
  <c r="BA9" i="11" l="1"/>
  <c r="BA14" i="11" s="1"/>
  <c r="BA52" i="11" s="1"/>
  <c r="BA323" i="11"/>
  <c r="BA324" i="11"/>
  <c r="AZ148" i="11"/>
  <c r="CD66" i="11"/>
  <c r="CD65" i="11" s="1"/>
  <c r="AZ133" i="11"/>
  <c r="AY146" i="11"/>
  <c r="AL150" i="11"/>
  <c r="BA34" i="7"/>
  <c r="BA40" i="7" s="1"/>
  <c r="BA148" i="7"/>
  <c r="BA154" i="7"/>
  <c r="BA160" i="7" s="1"/>
  <c r="BA163" i="7"/>
  <c r="BA79" i="7"/>
  <c r="BA85" i="7" s="1"/>
  <c r="BA88" i="7"/>
  <c r="CY3" i="7"/>
  <c r="CY3" i="11"/>
  <c r="BA115" i="11"/>
  <c r="BA210" i="11"/>
  <c r="BA35" i="11"/>
  <c r="BA12" i="11"/>
  <c r="BA17" i="11" s="1"/>
  <c r="BA88" i="11" s="1"/>
  <c r="BY90" i="11" s="1"/>
  <c r="BY89" i="11" s="1"/>
  <c r="BA8" i="11"/>
  <c r="BA13" i="11" s="1"/>
  <c r="BA10" i="11"/>
  <c r="BA15" i="11" s="1"/>
  <c r="BA11" i="11"/>
  <c r="BA16" i="11" s="1"/>
  <c r="AZ110" i="11"/>
  <c r="AZ26" i="11"/>
  <c r="AZ20" i="11" s="1"/>
  <c r="CY28" i="10"/>
  <c r="CY29" i="10" s="1"/>
  <c r="CZ20" i="10"/>
  <c r="CX31" i="10"/>
  <c r="CX30" i="10"/>
  <c r="AL163" i="11"/>
  <c r="AL95" i="11"/>
  <c r="AL112" i="11"/>
  <c r="AL93" i="11"/>
  <c r="AL137" i="11" s="1"/>
  <c r="AL105" i="11"/>
  <c r="AO104" i="11"/>
  <c r="AO119" i="11"/>
  <c r="AO162" i="11"/>
  <c r="AO81" i="11"/>
  <c r="AO136" i="11" s="1"/>
  <c r="AY108" i="11"/>
  <c r="BA109" i="7"/>
  <c r="BA116" i="7" s="1"/>
  <c r="BA124" i="7"/>
  <c r="BA131" i="7" s="1"/>
  <c r="BA169" i="7"/>
  <c r="BA285" i="11"/>
  <c r="BA176" i="11"/>
  <c r="BA171" i="11"/>
  <c r="BA176" i="7"/>
  <c r="BA10" i="7"/>
  <c r="BB172" i="7"/>
  <c r="BB173" i="7" s="1"/>
  <c r="BB157" i="7"/>
  <c r="BB158" i="7" s="1"/>
  <c r="BB142" i="7"/>
  <c r="BB127" i="7"/>
  <c r="BB128" i="7" s="1"/>
  <c r="BB112" i="7"/>
  <c r="BB113" i="7" s="1"/>
  <c r="BB37" i="7"/>
  <c r="BB38" i="7" s="1"/>
  <c r="BB97" i="7"/>
  <c r="BB82" i="7"/>
  <c r="BB83" i="7" s="1"/>
  <c r="AZ149" i="11"/>
  <c r="BB152" i="7"/>
  <c r="BB162" i="7" s="1"/>
  <c r="BB167" i="7"/>
  <c r="BB177" i="7" s="1"/>
  <c r="BB122" i="7"/>
  <c r="BB132" i="7" s="1"/>
  <c r="BB137" i="7"/>
  <c r="BB147" i="7" s="1"/>
  <c r="BB107" i="7"/>
  <c r="BB117" i="7" s="1"/>
  <c r="BB7" i="7"/>
  <c r="BB41" i="10"/>
  <c r="BB42" i="10"/>
  <c r="BB35" i="10"/>
  <c r="BB43" i="10"/>
  <c r="BB36" i="10"/>
  <c r="BB44" i="10"/>
  <c r="BB39" i="10"/>
  <c r="BB2" i="11"/>
  <c r="BB45" i="10"/>
  <c r="BB46" i="10"/>
  <c r="BB38" i="10"/>
  <c r="BB40" i="10"/>
  <c r="BB37" i="10"/>
  <c r="BB2" i="7"/>
  <c r="BC21" i="10"/>
  <c r="BB19" i="10"/>
  <c r="BB24" i="10"/>
  <c r="BB23" i="10"/>
  <c r="BB77" i="7"/>
  <c r="BB87" i="7" s="1"/>
  <c r="BB32" i="7"/>
  <c r="BB92" i="7"/>
  <c r="BB102" i="7" s="1"/>
  <c r="BB62" i="7"/>
  <c r="BB72" i="7" s="1"/>
  <c r="BB47" i="7"/>
  <c r="BB8" i="7"/>
  <c r="BA41" i="7" l="1"/>
  <c r="AZ146" i="11"/>
  <c r="BB33" i="7"/>
  <c r="BB43" i="7" s="1"/>
  <c r="BB42" i="7"/>
  <c r="BB48" i="7"/>
  <c r="BB58" i="7" s="1"/>
  <c r="BB57" i="7"/>
  <c r="CZ3" i="7"/>
  <c r="CZ3" i="11"/>
  <c r="BA64" i="11"/>
  <c r="CE66" i="11" s="1"/>
  <c r="CE65" i="11" s="1"/>
  <c r="BA19" i="11"/>
  <c r="AM87" i="11"/>
  <c r="AP75" i="11"/>
  <c r="AL96" i="11"/>
  <c r="CZ28" i="10"/>
  <c r="CZ29" i="10" s="1"/>
  <c r="DA20" i="10"/>
  <c r="CY31" i="10"/>
  <c r="CY30" i="10"/>
  <c r="AM91" i="11"/>
  <c r="AM155" i="11" s="1"/>
  <c r="AM92" i="11"/>
  <c r="AM142" i="11" s="1"/>
  <c r="AP79" i="11"/>
  <c r="AP154" i="11" s="1"/>
  <c r="AP80" i="11"/>
  <c r="AP141" i="11" s="1"/>
  <c r="AZ108" i="11"/>
  <c r="AZ111" i="11"/>
  <c r="BA175" i="7"/>
  <c r="BA115" i="7"/>
  <c r="BA130" i="7"/>
  <c r="BA86" i="7"/>
  <c r="BA40" i="11"/>
  <c r="BA42" i="11" s="1"/>
  <c r="BA76" i="11"/>
  <c r="BY78" i="11" s="1"/>
  <c r="BY77" i="11" s="1"/>
  <c r="BC27" i="10"/>
  <c r="BB63" i="7"/>
  <c r="BB73" i="7" s="1"/>
  <c r="BB153" i="7"/>
  <c r="BB163" i="7" s="1"/>
  <c r="BB159" i="7"/>
  <c r="BB108" i="7"/>
  <c r="BB118" i="7" s="1"/>
  <c r="BB114" i="7"/>
  <c r="BB138" i="7"/>
  <c r="BB148" i="7" s="1"/>
  <c r="BB144" i="7"/>
  <c r="BB123" i="7"/>
  <c r="BB133" i="7" s="1"/>
  <c r="BB129" i="7"/>
  <c r="BB93" i="7"/>
  <c r="BB103" i="7" s="1"/>
  <c r="BB99" i="7"/>
  <c r="BB168" i="7"/>
  <c r="BB178" i="7" s="1"/>
  <c r="BB174" i="7"/>
  <c r="BB78" i="7"/>
  <c r="BB84" i="7"/>
  <c r="AZ83" i="11"/>
  <c r="AZ84" i="11" s="1"/>
  <c r="BB131" i="11"/>
  <c r="BB229" i="11"/>
  <c r="BB214" i="11"/>
  <c r="BB261" i="11" s="1"/>
  <c r="BB18" i="7" s="1"/>
  <c r="BB230" i="11"/>
  <c r="BB48" i="10"/>
  <c r="BB39" i="7"/>
  <c r="BC1" i="7"/>
  <c r="BC1" i="11"/>
  <c r="BC22" i="10"/>
  <c r="BB4" i="11"/>
  <c r="BB4" i="7"/>
  <c r="BB8" i="11" l="1"/>
  <c r="BB13" i="11" s="1"/>
  <c r="BB324" i="11"/>
  <c r="BB323" i="11"/>
  <c r="BB34" i="7"/>
  <c r="BB41" i="7" s="1"/>
  <c r="BA133" i="11"/>
  <c r="BB79" i="7"/>
  <c r="BB85" i="7" s="1"/>
  <c r="BB88" i="7"/>
  <c r="DA3" i="7"/>
  <c r="DA3" i="11"/>
  <c r="BA110" i="11"/>
  <c r="BA148" i="11"/>
  <c r="BB12" i="11"/>
  <c r="BB17" i="11" s="1"/>
  <c r="BB10" i="11"/>
  <c r="BB15" i="11" s="1"/>
  <c r="BA26" i="11"/>
  <c r="BA20" i="11" s="1"/>
  <c r="BB115" i="11"/>
  <c r="BB210" i="11"/>
  <c r="BB35" i="11"/>
  <c r="BB9" i="11"/>
  <c r="BB14" i="11" s="1"/>
  <c r="BB52" i="11" s="1"/>
  <c r="BB11" i="11"/>
  <c r="BB16" i="11" s="1"/>
  <c r="AP104" i="11"/>
  <c r="DA28" i="10"/>
  <c r="DA29" i="10" s="1"/>
  <c r="DB20" i="10"/>
  <c r="CZ30" i="10"/>
  <c r="CZ31" i="10"/>
  <c r="AM120" i="11"/>
  <c r="AP162" i="11"/>
  <c r="AP119" i="11"/>
  <c r="AP81" i="11"/>
  <c r="AP136" i="11" s="1"/>
  <c r="BB154" i="7"/>
  <c r="BB160" i="7" s="1"/>
  <c r="BB124" i="7"/>
  <c r="BB131" i="7" s="1"/>
  <c r="BB169" i="7"/>
  <c r="BB109" i="7"/>
  <c r="BB116" i="7" s="1"/>
  <c r="BB285" i="11"/>
  <c r="BB176" i="11"/>
  <c r="BB171" i="11"/>
  <c r="BB176" i="7"/>
  <c r="BB10" i="7"/>
  <c r="BC172" i="7"/>
  <c r="BC173" i="7" s="1"/>
  <c r="BC157" i="7"/>
  <c r="BC158" i="7" s="1"/>
  <c r="BC142" i="7"/>
  <c r="BC97" i="7"/>
  <c r="BC82" i="7"/>
  <c r="BC83" i="7" s="1"/>
  <c r="BC112" i="7"/>
  <c r="BC113" i="7" s="1"/>
  <c r="BC37" i="7"/>
  <c r="BC38" i="7" s="1"/>
  <c r="BC127" i="7"/>
  <c r="BC128" i="7" s="1"/>
  <c r="BA149" i="11"/>
  <c r="BC137" i="7"/>
  <c r="BC147" i="7" s="1"/>
  <c r="BC167" i="7"/>
  <c r="BC177" i="7" s="1"/>
  <c r="BC152" i="7"/>
  <c r="BC162" i="7" s="1"/>
  <c r="BC107" i="7"/>
  <c r="BC117" i="7" s="1"/>
  <c r="BC122" i="7"/>
  <c r="BC132" i="7" s="1"/>
  <c r="BC7" i="7"/>
  <c r="BC77" i="7"/>
  <c r="BC87" i="7" s="1"/>
  <c r="BC62" i="7"/>
  <c r="BC72" i="7" s="1"/>
  <c r="BC92" i="7"/>
  <c r="BC102" i="7" s="1"/>
  <c r="BC32" i="7"/>
  <c r="BC8" i="7"/>
  <c r="BC47" i="7"/>
  <c r="BC35" i="10"/>
  <c r="BC43" i="10"/>
  <c r="BC36" i="10"/>
  <c r="BC44" i="10"/>
  <c r="BC37" i="10"/>
  <c r="BC45" i="10"/>
  <c r="BC38" i="10"/>
  <c r="BC46" i="10"/>
  <c r="BC2" i="11"/>
  <c r="BC41" i="10"/>
  <c r="BC39" i="10"/>
  <c r="BC42" i="10"/>
  <c r="BC40" i="10"/>
  <c r="BC2" i="7"/>
  <c r="BD21" i="10"/>
  <c r="BC23" i="10"/>
  <c r="BC19" i="10"/>
  <c r="BC24" i="10"/>
  <c r="BB40" i="7" l="1"/>
  <c r="BA146" i="11"/>
  <c r="AM150" i="11"/>
  <c r="BC33" i="7"/>
  <c r="BC43" i="7" s="1"/>
  <c r="BC42" i="7"/>
  <c r="BC48" i="7"/>
  <c r="BC58" i="7" s="1"/>
  <c r="BC57" i="7"/>
  <c r="DB3" i="7"/>
  <c r="DB3" i="11"/>
  <c r="BB19" i="11"/>
  <c r="AQ75" i="11"/>
  <c r="AQ104" i="11" s="1"/>
  <c r="DB28" i="10"/>
  <c r="DB29" i="10" s="1"/>
  <c r="DC20" i="10"/>
  <c r="DA31" i="10"/>
  <c r="DA30" i="10"/>
  <c r="AM163" i="11"/>
  <c r="AM95" i="11"/>
  <c r="AM112" i="11"/>
  <c r="AM105" i="11"/>
  <c r="AM93" i="11"/>
  <c r="AM137" i="11" s="1"/>
  <c r="AQ79" i="11"/>
  <c r="AQ154" i="11" s="1"/>
  <c r="AQ80" i="11"/>
  <c r="AQ141" i="11" s="1"/>
  <c r="BA108" i="11"/>
  <c r="BA111" i="11"/>
  <c r="BB130" i="7"/>
  <c r="BB115" i="7"/>
  <c r="BB175" i="7"/>
  <c r="BB86" i="7"/>
  <c r="BB88" i="11"/>
  <c r="BZ90" i="11" s="1"/>
  <c r="BZ89" i="11" s="1"/>
  <c r="BB76" i="11"/>
  <c r="BZ78" i="11" s="1"/>
  <c r="BZ77" i="11" s="1"/>
  <c r="BD27" i="10"/>
  <c r="BC63" i="7"/>
  <c r="BC73" i="7" s="1"/>
  <c r="BC168" i="7"/>
  <c r="BC178" i="7" s="1"/>
  <c r="BC174" i="7"/>
  <c r="BC93" i="7"/>
  <c r="BC103" i="7" s="1"/>
  <c r="BC99" i="7"/>
  <c r="BC138" i="7"/>
  <c r="BC148" i="7" s="1"/>
  <c r="BC144" i="7"/>
  <c r="BC108" i="7"/>
  <c r="BC118" i="7" s="1"/>
  <c r="BC114" i="7"/>
  <c r="BC153" i="7"/>
  <c r="BC159" i="7"/>
  <c r="BC123" i="7"/>
  <c r="BC133" i="7" s="1"/>
  <c r="BC129" i="7"/>
  <c r="BC78" i="7"/>
  <c r="BC84" i="7"/>
  <c r="BA83" i="11"/>
  <c r="BA84" i="11" s="1"/>
  <c r="BC131" i="11"/>
  <c r="BC229" i="11"/>
  <c r="BC214" i="11"/>
  <c r="BC261" i="11" s="1"/>
  <c r="BC18" i="7" s="1"/>
  <c r="BC230" i="11"/>
  <c r="BD1" i="7"/>
  <c r="BD1" i="11"/>
  <c r="BD22" i="10"/>
  <c r="BC39" i="7"/>
  <c r="BB64" i="11"/>
  <c r="BC48" i="10"/>
  <c r="BC4" i="11"/>
  <c r="BC4" i="7"/>
  <c r="BB40" i="11"/>
  <c r="BB42" i="11" s="1"/>
  <c r="BC323" i="11" l="1"/>
  <c r="BC324" i="11"/>
  <c r="BC34" i="7"/>
  <c r="BC41" i="7" s="1"/>
  <c r="BB148" i="11"/>
  <c r="CF66" i="11"/>
  <c r="CF65" i="11" s="1"/>
  <c r="BB133" i="11"/>
  <c r="BC154" i="7"/>
  <c r="BC160" i="7" s="1"/>
  <c r="BC163" i="7"/>
  <c r="BC79" i="7"/>
  <c r="BC85" i="7" s="1"/>
  <c r="BC88" i="7"/>
  <c r="DC3" i="7"/>
  <c r="DC3" i="11"/>
  <c r="BC11" i="11"/>
  <c r="BC16" i="11" s="1"/>
  <c r="BC115" i="11"/>
  <c r="BC210" i="11"/>
  <c r="BC35" i="11"/>
  <c r="BC8" i="11"/>
  <c r="BC13" i="11" s="1"/>
  <c r="BC40" i="11" s="1"/>
  <c r="BC42" i="11" s="1"/>
  <c r="BC12" i="11"/>
  <c r="BC17" i="11" s="1"/>
  <c r="BC10" i="11"/>
  <c r="BC15" i="11" s="1"/>
  <c r="BC64" i="11" s="1"/>
  <c r="BC9" i="11"/>
  <c r="BC14" i="11" s="1"/>
  <c r="BC52" i="11" s="1"/>
  <c r="AN87" i="11"/>
  <c r="BB110" i="11"/>
  <c r="BB26" i="11"/>
  <c r="BB20" i="11" s="1"/>
  <c r="AM96" i="11"/>
  <c r="DC28" i="10"/>
  <c r="DC29" i="10" s="1"/>
  <c r="DD20" i="10"/>
  <c r="DB31" i="10"/>
  <c r="DB30" i="10"/>
  <c r="AN92" i="11"/>
  <c r="AN142" i="11" s="1"/>
  <c r="AN91" i="11"/>
  <c r="AN155" i="11" s="1"/>
  <c r="AQ162" i="11"/>
  <c r="AQ119" i="11"/>
  <c r="AQ81" i="11"/>
  <c r="AQ136" i="11" s="1"/>
  <c r="BC169" i="7"/>
  <c r="BC124" i="7"/>
  <c r="BC131" i="7" s="1"/>
  <c r="BC109" i="7"/>
  <c r="BC285" i="11"/>
  <c r="BC176" i="11"/>
  <c r="BC171" i="11"/>
  <c r="BC176" i="7"/>
  <c r="BC10" i="7"/>
  <c r="BD172" i="7"/>
  <c r="BD173" i="7" s="1"/>
  <c r="BD157" i="7"/>
  <c r="BD158" i="7" s="1"/>
  <c r="BD142" i="7"/>
  <c r="BD127" i="7"/>
  <c r="BD128" i="7" s="1"/>
  <c r="BD112" i="7"/>
  <c r="BD113" i="7" s="1"/>
  <c r="BD37" i="7"/>
  <c r="BD38" i="7" s="1"/>
  <c r="BD97" i="7"/>
  <c r="BD82" i="7"/>
  <c r="BD83" i="7" s="1"/>
  <c r="BB149" i="11"/>
  <c r="BD152" i="7"/>
  <c r="BD162" i="7" s="1"/>
  <c r="BD122" i="7"/>
  <c r="BD132" i="7" s="1"/>
  <c r="BD167" i="7"/>
  <c r="BD177" i="7" s="1"/>
  <c r="BD137" i="7"/>
  <c r="BD147" i="7" s="1"/>
  <c r="BD107" i="7"/>
  <c r="BD117" i="7" s="1"/>
  <c r="BD7" i="7"/>
  <c r="BD37" i="10"/>
  <c r="BD45" i="10"/>
  <c r="BD38" i="10"/>
  <c r="BD46" i="10"/>
  <c r="BD39" i="10"/>
  <c r="BD40" i="10"/>
  <c r="BD35" i="10"/>
  <c r="BD43" i="10"/>
  <c r="BD36" i="10"/>
  <c r="BD2" i="11"/>
  <c r="BD41" i="10"/>
  <c r="BD42" i="10"/>
  <c r="BD44" i="10"/>
  <c r="BD2" i="7"/>
  <c r="BD23" i="10"/>
  <c r="BE21" i="10"/>
  <c r="BD24" i="10"/>
  <c r="BD19" i="10"/>
  <c r="BD32" i="7"/>
  <c r="BD77" i="7"/>
  <c r="BD87" i="7" s="1"/>
  <c r="BD47" i="7"/>
  <c r="BD62" i="7"/>
  <c r="BD72" i="7" s="1"/>
  <c r="BD92" i="7"/>
  <c r="BD102" i="7" s="1"/>
  <c r="BD8" i="7"/>
  <c r="BC115" i="7" l="1"/>
  <c r="BC116" i="7"/>
  <c r="BC40" i="7"/>
  <c r="BC148" i="11"/>
  <c r="CG66" i="11"/>
  <c r="CG65" i="11" s="1"/>
  <c r="BC133" i="11"/>
  <c r="BB146" i="11"/>
  <c r="AN150" i="11"/>
  <c r="BD33" i="7"/>
  <c r="BD43" i="7" s="1"/>
  <c r="BD42" i="7"/>
  <c r="BD48" i="7"/>
  <c r="BD58" i="7" s="1"/>
  <c r="BD57" i="7"/>
  <c r="DD3" i="7"/>
  <c r="DD3" i="11"/>
  <c r="BC19" i="11"/>
  <c r="BC110" i="11"/>
  <c r="AR79" i="11"/>
  <c r="AR154" i="11" s="1"/>
  <c r="DD28" i="10"/>
  <c r="DD29" i="10" s="1"/>
  <c r="DE20" i="10"/>
  <c r="DC31" i="10"/>
  <c r="DC30" i="10"/>
  <c r="AN120" i="11"/>
  <c r="AN105" i="11"/>
  <c r="AN93" i="11"/>
  <c r="AN137" i="11" s="1"/>
  <c r="AN112" i="11"/>
  <c r="AN95" i="11"/>
  <c r="AN163" i="11"/>
  <c r="BB108" i="11"/>
  <c r="AR75" i="11"/>
  <c r="AR80" i="11"/>
  <c r="AR141" i="11" s="1"/>
  <c r="BB111" i="11"/>
  <c r="BC175" i="7"/>
  <c r="BC130" i="7"/>
  <c r="BC86" i="7"/>
  <c r="BC88" i="11"/>
  <c r="CA90" i="11" s="1"/>
  <c r="CA89" i="11" s="1"/>
  <c r="BE27" i="10"/>
  <c r="BD63" i="7"/>
  <c r="BD73" i="7" s="1"/>
  <c r="BD123" i="7"/>
  <c r="BD129" i="7"/>
  <c r="BD153" i="7"/>
  <c r="BD163" i="7" s="1"/>
  <c r="BD159" i="7"/>
  <c r="BD138" i="7"/>
  <c r="BD148" i="7" s="1"/>
  <c r="BD144" i="7"/>
  <c r="BD93" i="7"/>
  <c r="BD103" i="7" s="1"/>
  <c r="BD99" i="7"/>
  <c r="BD108" i="7"/>
  <c r="BD118" i="7" s="1"/>
  <c r="BD114" i="7"/>
  <c r="BD168" i="7"/>
  <c r="BD174" i="7"/>
  <c r="BD78" i="7"/>
  <c r="BD84" i="7"/>
  <c r="BB83" i="11"/>
  <c r="BB84" i="11" s="1"/>
  <c r="BD131" i="11"/>
  <c r="BD229" i="11"/>
  <c r="BD214" i="11"/>
  <c r="BD261" i="11" s="1"/>
  <c r="BD18" i="7" s="1"/>
  <c r="BD230" i="11"/>
  <c r="BD48" i="10"/>
  <c r="BD39" i="7"/>
  <c r="BD4" i="11"/>
  <c r="BD4" i="7"/>
  <c r="BC76" i="11"/>
  <c r="CA78" i="11" s="1"/>
  <c r="CA77" i="11" s="1"/>
  <c r="BE1" i="7"/>
  <c r="BE1" i="11"/>
  <c r="BE22" i="10"/>
  <c r="BD9" i="11" l="1"/>
  <c r="BD14" i="11" s="1"/>
  <c r="BD52" i="11" s="1"/>
  <c r="BD323" i="11"/>
  <c r="BD324" i="11"/>
  <c r="BC26" i="11"/>
  <c r="BC20" i="11" s="1"/>
  <c r="BC146" i="11"/>
  <c r="BD34" i="7"/>
  <c r="BD40" i="7" s="1"/>
  <c r="BD124" i="7"/>
  <c r="BD133" i="7"/>
  <c r="BD169" i="7"/>
  <c r="BD175" i="7" s="1"/>
  <c r="BD178" i="7"/>
  <c r="BD79" i="7"/>
  <c r="BD85" i="7" s="1"/>
  <c r="BD88" i="7"/>
  <c r="DE3" i="7"/>
  <c r="DE3" i="11"/>
  <c r="BD8" i="11"/>
  <c r="BD13" i="11" s="1"/>
  <c r="BD10" i="11"/>
  <c r="BD15" i="11" s="1"/>
  <c r="BD12" i="11"/>
  <c r="BD17" i="11" s="1"/>
  <c r="BD210" i="11"/>
  <c r="BD115" i="11"/>
  <c r="BD35" i="11"/>
  <c r="BD11" i="11"/>
  <c r="BD16" i="11" s="1"/>
  <c r="BD76" i="11" s="1"/>
  <c r="CB78" i="11" s="1"/>
  <c r="CB77" i="11" s="1"/>
  <c r="AN96" i="11"/>
  <c r="AR119" i="11"/>
  <c r="DE28" i="10"/>
  <c r="DE29" i="10" s="1"/>
  <c r="DF20" i="10"/>
  <c r="DD31" i="10"/>
  <c r="DD30" i="10"/>
  <c r="AO87" i="11"/>
  <c r="AO92" i="11"/>
  <c r="AO142" i="11" s="1"/>
  <c r="AO91" i="11"/>
  <c r="AO155" i="11" s="1"/>
  <c r="AR162" i="11"/>
  <c r="AR104" i="11"/>
  <c r="AR81" i="11"/>
  <c r="AR136" i="11" s="1"/>
  <c r="BC108" i="11"/>
  <c r="BD109" i="7"/>
  <c r="BD154" i="7"/>
  <c r="BD285" i="11"/>
  <c r="BD176" i="11"/>
  <c r="BD171" i="11"/>
  <c r="BD176" i="7"/>
  <c r="BD10" i="7"/>
  <c r="BE172" i="7"/>
  <c r="BE173" i="7" s="1"/>
  <c r="BE157" i="7"/>
  <c r="BE158" i="7" s="1"/>
  <c r="BE142" i="7"/>
  <c r="BE97" i="7"/>
  <c r="BE82" i="7"/>
  <c r="BE83" i="7" s="1"/>
  <c r="BE37" i="7"/>
  <c r="BE38" i="7" s="1"/>
  <c r="BE127" i="7"/>
  <c r="BE128" i="7" s="1"/>
  <c r="BE112" i="7"/>
  <c r="BE113" i="7" s="1"/>
  <c r="BC149" i="11"/>
  <c r="BE167" i="7"/>
  <c r="BE177" i="7" s="1"/>
  <c r="BE152" i="7"/>
  <c r="BE162" i="7" s="1"/>
  <c r="BE122" i="7"/>
  <c r="BE132" i="7" s="1"/>
  <c r="BE107" i="7"/>
  <c r="BE117" i="7" s="1"/>
  <c r="BE137" i="7"/>
  <c r="BE147" i="7" s="1"/>
  <c r="BE7" i="7"/>
  <c r="BE2" i="11"/>
  <c r="BE39" i="10"/>
  <c r="BE40" i="10"/>
  <c r="BE41" i="10"/>
  <c r="BE42" i="10"/>
  <c r="BE37" i="10"/>
  <c r="BE45" i="10"/>
  <c r="BE44" i="10"/>
  <c r="BE46" i="10"/>
  <c r="BE38" i="10"/>
  <c r="BE35" i="10"/>
  <c r="BE36" i="10"/>
  <c r="BE2" i="7"/>
  <c r="BE43" i="10"/>
  <c r="BF21" i="10"/>
  <c r="BE23" i="10"/>
  <c r="BE19" i="10"/>
  <c r="BE24" i="10"/>
  <c r="BE77" i="7"/>
  <c r="BE87" i="7" s="1"/>
  <c r="BE32" i="7"/>
  <c r="BE62" i="7"/>
  <c r="BE72" i="7" s="1"/>
  <c r="BE92" i="7"/>
  <c r="BE102" i="7" s="1"/>
  <c r="BE8" i="7"/>
  <c r="BE47" i="7"/>
  <c r="BD130" i="7" l="1"/>
  <c r="BD131" i="7"/>
  <c r="BD115" i="7"/>
  <c r="BD116" i="7"/>
  <c r="BD41" i="7"/>
  <c r="BE33" i="7"/>
  <c r="BE43" i="7" s="1"/>
  <c r="BE42" i="7"/>
  <c r="BE48" i="7"/>
  <c r="BE58" i="7" s="1"/>
  <c r="BE57" i="7"/>
  <c r="DF3" i="7"/>
  <c r="DF3" i="11"/>
  <c r="BD19" i="11"/>
  <c r="AS75" i="11"/>
  <c r="DF28" i="10"/>
  <c r="DF29" i="10" s="1"/>
  <c r="DG20" i="10"/>
  <c r="DE31" i="10"/>
  <c r="DE30" i="10"/>
  <c r="AO120" i="11"/>
  <c r="AS79" i="11"/>
  <c r="AS154" i="11" s="1"/>
  <c r="AS80" i="11"/>
  <c r="AS141" i="11" s="1"/>
  <c r="BC111" i="11"/>
  <c r="BD160" i="7"/>
  <c r="BD86" i="7"/>
  <c r="BD88" i="11"/>
  <c r="CB90" i="11" s="1"/>
  <c r="CB89" i="11" s="1"/>
  <c r="BF27" i="10"/>
  <c r="BC83" i="11"/>
  <c r="BC84" i="11" s="1"/>
  <c r="BE63" i="7"/>
  <c r="BE73" i="7" s="1"/>
  <c r="BE138" i="7"/>
  <c r="BE148" i="7" s="1"/>
  <c r="BE144" i="7"/>
  <c r="BE108" i="7"/>
  <c r="BE114" i="7"/>
  <c r="BE93" i="7"/>
  <c r="BE103" i="7" s="1"/>
  <c r="BE99" i="7"/>
  <c r="BE123" i="7"/>
  <c r="BE133" i="7" s="1"/>
  <c r="BE129" i="7"/>
  <c r="BE153" i="7"/>
  <c r="BE159" i="7"/>
  <c r="BE168" i="7"/>
  <c r="BE178" i="7" s="1"/>
  <c r="BE174" i="7"/>
  <c r="BE78" i="7"/>
  <c r="BE84" i="7"/>
  <c r="BD149" i="11"/>
  <c r="BE214" i="11"/>
  <c r="BE261" i="11" s="1"/>
  <c r="BE18" i="7" s="1"/>
  <c r="BE230" i="11"/>
  <c r="BE131" i="11"/>
  <c r="BE229" i="11"/>
  <c r="BE39" i="7"/>
  <c r="BF1" i="7"/>
  <c r="BF1" i="11"/>
  <c r="BF22" i="10"/>
  <c r="BD40" i="11"/>
  <c r="BD42" i="11" s="1"/>
  <c r="BE4" i="11"/>
  <c r="BE4" i="7"/>
  <c r="BE48" i="10"/>
  <c r="BD64" i="11"/>
  <c r="BE323" i="11" l="1"/>
  <c r="BE324" i="11"/>
  <c r="BE34" i="7"/>
  <c r="BE41" i="7" s="1"/>
  <c r="BD148" i="11"/>
  <c r="CH66" i="11"/>
  <c r="CH65" i="11" s="1"/>
  <c r="BD133" i="11"/>
  <c r="AO150" i="11"/>
  <c r="BE154" i="7"/>
  <c r="BE160" i="7" s="1"/>
  <c r="BE163" i="7"/>
  <c r="BE79" i="7"/>
  <c r="BE85" i="7" s="1"/>
  <c r="BE88" i="7"/>
  <c r="BE109" i="7"/>
  <c r="BE118" i="7"/>
  <c r="DG3" i="7"/>
  <c r="DG3" i="11"/>
  <c r="BE210" i="11"/>
  <c r="BE115" i="11"/>
  <c r="BE35" i="11"/>
  <c r="BE9" i="11"/>
  <c r="BE14" i="11" s="1"/>
  <c r="BE11" i="11"/>
  <c r="BE16" i="11" s="1"/>
  <c r="BE12" i="11"/>
  <c r="BE17" i="11" s="1"/>
  <c r="BE88" i="11" s="1"/>
  <c r="CC90" i="11" s="1"/>
  <c r="CC89" i="11" s="1"/>
  <c r="BE10" i="11"/>
  <c r="BE15" i="11" s="1"/>
  <c r="BE8" i="11"/>
  <c r="BE13" i="11" s="1"/>
  <c r="BE40" i="11" s="1"/>
  <c r="BE42" i="11" s="1"/>
  <c r="BD110" i="11"/>
  <c r="BD26" i="11"/>
  <c r="BD20" i="11" s="1"/>
  <c r="AS104" i="11"/>
  <c r="DG28" i="10"/>
  <c r="DG29" i="10" s="1"/>
  <c r="DH20" i="10"/>
  <c r="DF31" i="10"/>
  <c r="DF30" i="10"/>
  <c r="AO105" i="11"/>
  <c r="AO93" i="11"/>
  <c r="AO137" i="11" s="1"/>
  <c r="AO95" i="11"/>
  <c r="AO112" i="11"/>
  <c r="AO163" i="11"/>
  <c r="AS81" i="11"/>
  <c r="AS136" i="11" s="1"/>
  <c r="AS119" i="11"/>
  <c r="AS162" i="11"/>
  <c r="BD111" i="11"/>
  <c r="BE124" i="7"/>
  <c r="BE131" i="7" s="1"/>
  <c r="BE169" i="7"/>
  <c r="BE175" i="7" s="1"/>
  <c r="BE285" i="11"/>
  <c r="K194" i="2" s="1"/>
  <c r="BE176" i="11"/>
  <c r="BE171" i="11"/>
  <c r="BE176" i="7"/>
  <c r="BE10" i="7"/>
  <c r="BF97" i="7"/>
  <c r="BF37" i="7"/>
  <c r="BF38" i="7" s="1"/>
  <c r="BF172" i="7"/>
  <c r="BF173" i="7" s="1"/>
  <c r="BF127" i="7"/>
  <c r="BF128" i="7" s="1"/>
  <c r="BF157" i="7"/>
  <c r="BF158" i="7" s="1"/>
  <c r="BF142" i="7"/>
  <c r="BF82" i="7"/>
  <c r="BF83" i="7" s="1"/>
  <c r="BF112" i="7"/>
  <c r="BF113" i="7" s="1"/>
  <c r="BD83" i="11"/>
  <c r="BD84" i="11" s="1"/>
  <c r="BF122" i="7"/>
  <c r="BF132" i="7" s="1"/>
  <c r="BF107" i="7"/>
  <c r="BF117" i="7" s="1"/>
  <c r="BF137" i="7"/>
  <c r="BF147" i="7" s="1"/>
  <c r="BF167" i="7"/>
  <c r="BF177" i="7" s="1"/>
  <c r="BF152" i="7"/>
  <c r="BF162" i="7" s="1"/>
  <c r="BF7" i="7"/>
  <c r="BF2" i="11"/>
  <c r="BF41" i="10"/>
  <c r="BF42" i="10"/>
  <c r="BF35" i="10"/>
  <c r="BF43" i="10"/>
  <c r="BF39" i="10"/>
  <c r="BF46" i="10"/>
  <c r="BF36" i="10"/>
  <c r="BF37" i="10"/>
  <c r="BF44" i="10"/>
  <c r="BF40" i="10"/>
  <c r="BF45" i="10"/>
  <c r="BF2" i="7"/>
  <c r="BG21" i="10"/>
  <c r="BF38" i="10"/>
  <c r="BF23" i="10"/>
  <c r="BF19" i="10"/>
  <c r="BF24" i="10"/>
  <c r="BF77" i="7"/>
  <c r="BF87" i="7" s="1"/>
  <c r="BF92" i="7"/>
  <c r="BF102" i="7" s="1"/>
  <c r="BF47" i="7"/>
  <c r="BF32" i="7"/>
  <c r="BF8" i="7"/>
  <c r="BE115" i="7" l="1"/>
  <c r="BE116" i="7"/>
  <c r="BE40" i="7"/>
  <c r="BE133" i="11"/>
  <c r="BD146" i="11"/>
  <c r="BF33" i="7"/>
  <c r="BF43" i="7" s="1"/>
  <c r="BF42" i="7"/>
  <c r="BF48" i="7"/>
  <c r="BF58" i="7" s="1"/>
  <c r="BF57" i="7"/>
  <c r="DH3" i="7"/>
  <c r="DH3" i="11"/>
  <c r="BE19" i="11"/>
  <c r="BE52" i="11"/>
  <c r="AO96" i="11"/>
  <c r="DH28" i="10"/>
  <c r="DH29" i="10" s="1"/>
  <c r="DI20" i="10"/>
  <c r="DG31" i="10"/>
  <c r="DG30" i="10"/>
  <c r="AP87" i="11"/>
  <c r="AP91" i="11"/>
  <c r="AP155" i="11" s="1"/>
  <c r="AP92" i="11"/>
  <c r="AP142" i="11" s="1"/>
  <c r="AT79" i="11"/>
  <c r="AT154" i="11" s="1"/>
  <c r="G13" i="14"/>
  <c r="AT75" i="11"/>
  <c r="AT80" i="11"/>
  <c r="AT141" i="11" s="1"/>
  <c r="BD108" i="11"/>
  <c r="BE130" i="7"/>
  <c r="BE86" i="7"/>
  <c r="BG27" i="10"/>
  <c r="BF153" i="7"/>
  <c r="BF163" i="7" s="1"/>
  <c r="BF159" i="7"/>
  <c r="BF168" i="7"/>
  <c r="BF174" i="7"/>
  <c r="BF93" i="7"/>
  <c r="BF103" i="7" s="1"/>
  <c r="BF99" i="7"/>
  <c r="BF138" i="7"/>
  <c r="BF148" i="7" s="1"/>
  <c r="BF144" i="7"/>
  <c r="BF123" i="7"/>
  <c r="BF133" i="7" s="1"/>
  <c r="BF129" i="7"/>
  <c r="BF108" i="7"/>
  <c r="BF118" i="7" s="1"/>
  <c r="BF114" i="7"/>
  <c r="BF78" i="7"/>
  <c r="BF84" i="7"/>
  <c r="BF131" i="11"/>
  <c r="BF229" i="11"/>
  <c r="BF214" i="11"/>
  <c r="BF261" i="11" s="1"/>
  <c r="BF18" i="7" s="1"/>
  <c r="BF230" i="11"/>
  <c r="BE64" i="11"/>
  <c r="BG1" i="7"/>
  <c r="BG1" i="11"/>
  <c r="BG22" i="10"/>
  <c r="BF39" i="7"/>
  <c r="BE76" i="11"/>
  <c r="CC78" i="11" s="1"/>
  <c r="CC77" i="11" s="1"/>
  <c r="BF4" i="11"/>
  <c r="BF4" i="7"/>
  <c r="BF48" i="10"/>
  <c r="BF323" i="11" l="1"/>
  <c r="BF324" i="11"/>
  <c r="BF34" i="7"/>
  <c r="BF41" i="7" s="1"/>
  <c r="BE148" i="11"/>
  <c r="CI66" i="11"/>
  <c r="CI65" i="11" s="1"/>
  <c r="BE146" i="11"/>
  <c r="BF169" i="7"/>
  <c r="BF175" i="7" s="1"/>
  <c r="BF178" i="7"/>
  <c r="BF79" i="7"/>
  <c r="BF85" i="7" s="1"/>
  <c r="BF88" i="7"/>
  <c r="DI3" i="7"/>
  <c r="DI3" i="11"/>
  <c r="BF115" i="11"/>
  <c r="BF210" i="11"/>
  <c r="BF35" i="11"/>
  <c r="BF11" i="11"/>
  <c r="BF16" i="11" s="1"/>
  <c r="BF10" i="11"/>
  <c r="BF15" i="11" s="1"/>
  <c r="BF9" i="11"/>
  <c r="BF14" i="11" s="1"/>
  <c r="BF12" i="11"/>
  <c r="BF17" i="11" s="1"/>
  <c r="BF8" i="11"/>
  <c r="BF13" i="11" s="1"/>
  <c r="BE110" i="11"/>
  <c r="BE26" i="11"/>
  <c r="BE20" i="11" s="1"/>
  <c r="DI28" i="10"/>
  <c r="DI29" i="10" s="1"/>
  <c r="DJ20" i="10"/>
  <c r="DH30" i="10"/>
  <c r="DH31" i="10"/>
  <c r="AP120" i="11"/>
  <c r="AT119" i="11"/>
  <c r="AT81" i="11"/>
  <c r="AT136" i="11" s="1"/>
  <c r="AT162" i="11"/>
  <c r="AT104" i="11"/>
  <c r="BE108" i="11"/>
  <c r="BF154" i="7"/>
  <c r="BF109" i="7"/>
  <c r="BF116" i="7" s="1"/>
  <c r="BF124" i="7"/>
  <c r="BF131" i="7" s="1"/>
  <c r="BF285" i="11"/>
  <c r="BF176" i="11"/>
  <c r="BF171" i="11"/>
  <c r="BF176" i="7"/>
  <c r="BG172" i="7"/>
  <c r="BG173" i="7" s="1"/>
  <c r="BG157" i="7"/>
  <c r="BG158" i="7" s="1"/>
  <c r="BG142" i="7"/>
  <c r="BG127" i="7"/>
  <c r="BG128" i="7" s="1"/>
  <c r="BG112" i="7"/>
  <c r="BG113" i="7" s="1"/>
  <c r="BG37" i="7"/>
  <c r="BG38" i="7" s="1"/>
  <c r="BG97" i="7"/>
  <c r="BG82" i="7"/>
  <c r="BG83" i="7" s="1"/>
  <c r="BE149" i="11"/>
  <c r="BG152" i="7"/>
  <c r="BG162" i="7" s="1"/>
  <c r="BG107" i="7"/>
  <c r="BG117" i="7" s="1"/>
  <c r="BG137" i="7"/>
  <c r="BG147" i="7" s="1"/>
  <c r="BG167" i="7"/>
  <c r="BG177" i="7" s="1"/>
  <c r="BG122" i="7"/>
  <c r="BG132" i="7" s="1"/>
  <c r="BG7" i="7"/>
  <c r="BG2" i="11"/>
  <c r="BG35" i="10"/>
  <c r="BG43" i="10"/>
  <c r="BG36" i="10"/>
  <c r="BG44" i="10"/>
  <c r="BG37" i="10"/>
  <c r="BG45" i="10"/>
  <c r="BG41" i="10"/>
  <c r="BG38" i="10"/>
  <c r="BG39" i="10"/>
  <c r="BG46" i="10"/>
  <c r="BG40" i="10"/>
  <c r="BG42" i="10"/>
  <c r="BG2" i="7"/>
  <c r="BH21" i="10"/>
  <c r="BG23" i="10"/>
  <c r="BG24" i="10"/>
  <c r="BG19" i="10"/>
  <c r="BG77" i="7"/>
  <c r="BG87" i="7" s="1"/>
  <c r="BG47" i="7"/>
  <c r="BG62" i="7"/>
  <c r="BG72" i="7" s="1"/>
  <c r="BG92" i="7"/>
  <c r="BG102" i="7" s="1"/>
  <c r="BG32" i="7"/>
  <c r="BG8" i="7"/>
  <c r="BF40" i="7" l="1"/>
  <c r="AP150" i="11"/>
  <c r="BG33" i="7"/>
  <c r="BG43" i="7" s="1"/>
  <c r="BG42" i="7"/>
  <c r="BG48" i="7"/>
  <c r="BG58" i="7" s="1"/>
  <c r="BG57" i="7"/>
  <c r="DJ3" i="7"/>
  <c r="DJ3" i="11"/>
  <c r="BF19" i="11"/>
  <c r="AU75" i="11"/>
  <c r="AU104" i="11" s="1"/>
  <c r="DJ28" i="10"/>
  <c r="DJ29" i="10" s="1"/>
  <c r="DK20" i="10"/>
  <c r="DI30" i="10"/>
  <c r="DI31" i="10"/>
  <c r="AP93" i="11"/>
  <c r="AP137" i="11" s="1"/>
  <c r="AP105" i="11"/>
  <c r="AP95" i="11"/>
  <c r="AP112" i="11"/>
  <c r="AP163" i="11"/>
  <c r="AU79" i="11"/>
  <c r="AU154" i="11" s="1"/>
  <c r="AU80" i="11"/>
  <c r="AU141" i="11" s="1"/>
  <c r="BE111" i="11"/>
  <c r="BF160" i="7"/>
  <c r="BF130" i="7"/>
  <c r="BF115" i="7"/>
  <c r="BF52" i="11"/>
  <c r="BF86" i="7"/>
  <c r="BH27" i="10"/>
  <c r="BE83" i="11"/>
  <c r="BE84" i="11" s="1"/>
  <c r="BG63" i="7"/>
  <c r="BG73" i="7" s="1"/>
  <c r="BG123" i="7"/>
  <c r="BG133" i="7" s="1"/>
  <c r="BG129" i="7"/>
  <c r="BG153" i="7"/>
  <c r="BG159" i="7"/>
  <c r="BG93" i="7"/>
  <c r="BG103" i="7" s="1"/>
  <c r="BG99" i="7"/>
  <c r="BG138" i="7"/>
  <c r="BG148" i="7" s="1"/>
  <c r="BG144" i="7"/>
  <c r="BG168" i="7"/>
  <c r="BG178" i="7" s="1"/>
  <c r="BG174" i="7"/>
  <c r="BG108" i="7"/>
  <c r="BG114" i="7"/>
  <c r="BG78" i="7"/>
  <c r="BG84" i="7"/>
  <c r="BG131" i="11"/>
  <c r="BG229" i="11"/>
  <c r="BG214" i="11"/>
  <c r="BG285" i="11" s="1"/>
  <c r="BG230" i="11"/>
  <c r="BH1" i="7"/>
  <c r="BH1" i="11"/>
  <c r="BH22" i="10"/>
  <c r="BG48" i="10"/>
  <c r="BF76" i="11"/>
  <c r="CD78" i="11" s="1"/>
  <c r="CD77" i="11" s="1"/>
  <c r="BG4" i="11"/>
  <c r="BG4" i="7"/>
  <c r="BF64" i="11"/>
  <c r="BG39" i="7"/>
  <c r="BF40" i="11"/>
  <c r="BF42" i="11" s="1"/>
  <c r="BG323" i="11" l="1"/>
  <c r="BG324" i="11"/>
  <c r="BF148" i="11"/>
  <c r="CJ66" i="11"/>
  <c r="CJ65" i="11" s="1"/>
  <c r="BG34" i="7"/>
  <c r="BG41" i="7" s="1"/>
  <c r="BF133" i="11"/>
  <c r="BG79" i="7"/>
  <c r="BG85" i="7" s="1"/>
  <c r="BG88" i="7"/>
  <c r="BG109" i="7"/>
  <c r="BG118" i="7"/>
  <c r="BG154" i="7"/>
  <c r="BG160" i="7" s="1"/>
  <c r="BG163" i="7"/>
  <c r="DK3" i="7"/>
  <c r="DK3" i="11"/>
  <c r="BG11" i="11"/>
  <c r="BG16" i="11" s="1"/>
  <c r="BG115" i="11"/>
  <c r="BG210" i="11"/>
  <c r="BG35" i="11"/>
  <c r="BG9" i="11"/>
  <c r="BG14" i="11" s="1"/>
  <c r="BG8" i="11"/>
  <c r="BG13" i="11" s="1"/>
  <c r="BG12" i="11"/>
  <c r="BG17" i="11" s="1"/>
  <c r="BG10" i="11"/>
  <c r="BG15" i="11" s="1"/>
  <c r="AQ87" i="11"/>
  <c r="BF110" i="11"/>
  <c r="AP96" i="11"/>
  <c r="DK28" i="10"/>
  <c r="DK29" i="10" s="1"/>
  <c r="DL20" i="10"/>
  <c r="DJ30" i="10"/>
  <c r="DJ31" i="10"/>
  <c r="AQ91" i="11"/>
  <c r="AQ155" i="11" s="1"/>
  <c r="AQ92" i="11"/>
  <c r="AQ142" i="11" s="1"/>
  <c r="AU162" i="11"/>
  <c r="AU81" i="11"/>
  <c r="AU136" i="11" s="1"/>
  <c r="AU119" i="11"/>
  <c r="BF149" i="11"/>
  <c r="BG169" i="7"/>
  <c r="BG124" i="7"/>
  <c r="BF88" i="11"/>
  <c r="BG176" i="11"/>
  <c r="BG171" i="11"/>
  <c r="BG176" i="7"/>
  <c r="BG10" i="7"/>
  <c r="BH172" i="7"/>
  <c r="BH173" i="7" s="1"/>
  <c r="BH157" i="7"/>
  <c r="BH158" i="7" s="1"/>
  <c r="BH142" i="7"/>
  <c r="BH127" i="7"/>
  <c r="BH128" i="7" s="1"/>
  <c r="BH112" i="7"/>
  <c r="BH113" i="7" s="1"/>
  <c r="BH37" i="7"/>
  <c r="BH38" i="7" s="1"/>
  <c r="BH97" i="7"/>
  <c r="BH82" i="7"/>
  <c r="BH83" i="7" s="1"/>
  <c r="BH152" i="7"/>
  <c r="BH162" i="7" s="1"/>
  <c r="BH137" i="7"/>
  <c r="BH147" i="7" s="1"/>
  <c r="BH167" i="7"/>
  <c r="BH177" i="7" s="1"/>
  <c r="BH122" i="7"/>
  <c r="BH132" i="7" s="1"/>
  <c r="BH107" i="7"/>
  <c r="BH117" i="7" s="1"/>
  <c r="BG261" i="11"/>
  <c r="BG18" i="7" s="1"/>
  <c r="BH7" i="7"/>
  <c r="BH32" i="7"/>
  <c r="BH92" i="7"/>
  <c r="BH102" i="7" s="1"/>
  <c r="BH77" i="7"/>
  <c r="BH87" i="7" s="1"/>
  <c r="BH47" i="7"/>
  <c r="BH62" i="7"/>
  <c r="BH72" i="7" s="1"/>
  <c r="BH8" i="7"/>
  <c r="BH2" i="11"/>
  <c r="BH37" i="10"/>
  <c r="BH45" i="10"/>
  <c r="BH38" i="10"/>
  <c r="BH46" i="10"/>
  <c r="BH39" i="10"/>
  <c r="BH35" i="10"/>
  <c r="BH43" i="10"/>
  <c r="BH36" i="10"/>
  <c r="BH40" i="10"/>
  <c r="BH41" i="10"/>
  <c r="BH42" i="10"/>
  <c r="BH44" i="10"/>
  <c r="BH2" i="7"/>
  <c r="BI21" i="10"/>
  <c r="BH23" i="10"/>
  <c r="BH24" i="10"/>
  <c r="BH19" i="10"/>
  <c r="BG130" i="7" l="1"/>
  <c r="BG131" i="7"/>
  <c r="BG115" i="7"/>
  <c r="BG116" i="7"/>
  <c r="BG40" i="7"/>
  <c r="BF26" i="11"/>
  <c r="CD90" i="11"/>
  <c r="CD89" i="11" s="1"/>
  <c r="BF146" i="11"/>
  <c r="AQ150" i="11"/>
  <c r="BH33" i="7"/>
  <c r="BH43" i="7" s="1"/>
  <c r="BH42" i="7"/>
  <c r="BH48" i="7"/>
  <c r="BH58" i="7" s="1"/>
  <c r="BH57" i="7"/>
  <c r="DL3" i="7"/>
  <c r="DL3" i="11"/>
  <c r="BG19" i="11"/>
  <c r="AV75" i="11"/>
  <c r="AV104" i="11" s="1"/>
  <c r="DL28" i="10"/>
  <c r="DL29" i="10" s="1"/>
  <c r="DM20" i="10"/>
  <c r="DK31" i="10"/>
  <c r="DK30" i="10"/>
  <c r="AQ120" i="11"/>
  <c r="AQ93" i="11"/>
  <c r="AQ137" i="11" s="1"/>
  <c r="AQ105" i="11"/>
  <c r="AQ112" i="11"/>
  <c r="AQ95" i="11"/>
  <c r="AQ163" i="11"/>
  <c r="AV80" i="11"/>
  <c r="AV141" i="11" s="1"/>
  <c r="AV79" i="11"/>
  <c r="AV154" i="11" s="1"/>
  <c r="BF108" i="11"/>
  <c r="BF111" i="11"/>
  <c r="BF83" i="11"/>
  <c r="BF84" i="11" s="1"/>
  <c r="BG175" i="7"/>
  <c r="BG76" i="11"/>
  <c r="CE78" i="11" s="1"/>
  <c r="CE77" i="11" s="1"/>
  <c r="BG52" i="11"/>
  <c r="BG86" i="7"/>
  <c r="BI27" i="10"/>
  <c r="BH63" i="7"/>
  <c r="BH73" i="7" s="1"/>
  <c r="BH138" i="7"/>
  <c r="BH148" i="7" s="1"/>
  <c r="BH144" i="7"/>
  <c r="BH153" i="7"/>
  <c r="BH163" i="7" s="1"/>
  <c r="BH159" i="7"/>
  <c r="BH108" i="7"/>
  <c r="BH118" i="7" s="1"/>
  <c r="BH114" i="7"/>
  <c r="BH123" i="7"/>
  <c r="BH133" i="7" s="1"/>
  <c r="BH129" i="7"/>
  <c r="BH93" i="7"/>
  <c r="BH99" i="7"/>
  <c r="BH168" i="7"/>
  <c r="BH178" i="7" s="1"/>
  <c r="BH174" i="7"/>
  <c r="BH78" i="7"/>
  <c r="BH84" i="7"/>
  <c r="BH131" i="11"/>
  <c r="BH229" i="11"/>
  <c r="BH214" i="11"/>
  <c r="BH230" i="11"/>
  <c r="BG40" i="11"/>
  <c r="BG42" i="11" s="1"/>
  <c r="BH48" i="10"/>
  <c r="BH4" i="11"/>
  <c r="BH4" i="7"/>
  <c r="BH39" i="7"/>
  <c r="BI1" i="7"/>
  <c r="BI1" i="11"/>
  <c r="BI22" i="10"/>
  <c r="BH323" i="11" l="1"/>
  <c r="BH324" i="11"/>
  <c r="BH34" i="7"/>
  <c r="BH40" i="7" s="1"/>
  <c r="BG133" i="11"/>
  <c r="BH79" i="7"/>
  <c r="BH85" i="7" s="1"/>
  <c r="BH88" i="7"/>
  <c r="BH103" i="7"/>
  <c r="DM3" i="7"/>
  <c r="DM3" i="11"/>
  <c r="BH8" i="11"/>
  <c r="BH13" i="11" s="1"/>
  <c r="BH210" i="11"/>
  <c r="BH115" i="11"/>
  <c r="BH35" i="11"/>
  <c r="BH11" i="11"/>
  <c r="BH16" i="11" s="1"/>
  <c r="BH9" i="11"/>
  <c r="BH14" i="11" s="1"/>
  <c r="BH12" i="11"/>
  <c r="BH17" i="11" s="1"/>
  <c r="BH88" i="11" s="1"/>
  <c r="CF90" i="11" s="1"/>
  <c r="CF89" i="11" s="1"/>
  <c r="BH10" i="11"/>
  <c r="BH15" i="11" s="1"/>
  <c r="AR87" i="11"/>
  <c r="AQ96" i="11"/>
  <c r="BF20" i="11"/>
  <c r="DM28" i="10"/>
  <c r="DM29" i="10" s="1"/>
  <c r="DN20" i="10"/>
  <c r="DL31" i="10"/>
  <c r="DL30" i="10"/>
  <c r="AR91" i="11"/>
  <c r="AR155" i="11" s="1"/>
  <c r="AR92" i="11"/>
  <c r="AR142" i="11" s="1"/>
  <c r="BH41" i="7"/>
  <c r="AV119" i="11"/>
  <c r="AV162" i="11"/>
  <c r="AV81" i="11"/>
  <c r="AV136" i="11" s="1"/>
  <c r="BG149" i="11"/>
  <c r="BH109" i="7"/>
  <c r="BH116" i="7" s="1"/>
  <c r="BH124" i="7"/>
  <c r="BH131" i="7" s="1"/>
  <c r="BH154" i="7"/>
  <c r="BH160" i="7" s="1"/>
  <c r="BH169" i="7"/>
  <c r="BH175" i="7" s="1"/>
  <c r="BG64" i="11"/>
  <c r="BG88" i="11"/>
  <c r="CE90" i="11" s="1"/>
  <c r="CE89" i="11" s="1"/>
  <c r="BH261" i="11"/>
  <c r="BH18" i="7" s="1"/>
  <c r="BH285" i="11"/>
  <c r="BH176" i="11"/>
  <c r="BH171" i="11"/>
  <c r="BH176" i="7"/>
  <c r="BH10" i="7"/>
  <c r="BI172" i="7"/>
  <c r="BI173" i="7" s="1"/>
  <c r="BI157" i="7"/>
  <c r="BI158" i="7" s="1"/>
  <c r="BI142" i="7"/>
  <c r="BI127" i="7"/>
  <c r="BI128" i="7" s="1"/>
  <c r="BI112" i="7"/>
  <c r="BI113" i="7" s="1"/>
  <c r="BI37" i="7"/>
  <c r="BI38" i="7" s="1"/>
  <c r="BI97" i="7"/>
  <c r="BI82" i="7"/>
  <c r="BI83" i="7" s="1"/>
  <c r="BI137" i="7"/>
  <c r="BI147" i="7" s="1"/>
  <c r="BI167" i="7"/>
  <c r="BI177" i="7" s="1"/>
  <c r="BI122" i="7"/>
  <c r="BI132" i="7" s="1"/>
  <c r="BI107" i="7"/>
  <c r="BI117" i="7" s="1"/>
  <c r="BI152" i="7"/>
  <c r="BI162" i="7" s="1"/>
  <c r="BI7" i="7"/>
  <c r="BI2" i="11"/>
  <c r="BI39" i="10"/>
  <c r="BI40" i="10"/>
  <c r="BI41" i="10"/>
  <c r="BI37" i="10"/>
  <c r="BI45" i="10"/>
  <c r="BI36" i="10"/>
  <c r="BI38" i="10"/>
  <c r="BI42" i="10"/>
  <c r="BI43" i="10"/>
  <c r="BI44" i="10"/>
  <c r="BI35" i="10"/>
  <c r="BI46" i="10"/>
  <c r="BI2" i="7"/>
  <c r="BJ21" i="10"/>
  <c r="BI23" i="10"/>
  <c r="BI24" i="10"/>
  <c r="BI19" i="10"/>
  <c r="BI62" i="7"/>
  <c r="BI72" i="7" s="1"/>
  <c r="BI92" i="7"/>
  <c r="BI102" i="7" s="1"/>
  <c r="BI32" i="7"/>
  <c r="BI8" i="7"/>
  <c r="BI77" i="7"/>
  <c r="BI87" i="7" s="1"/>
  <c r="BI47" i="7"/>
  <c r="BG148" i="11" l="1"/>
  <c r="CK66" i="11"/>
  <c r="CK65" i="11" s="1"/>
  <c r="AR150" i="11"/>
  <c r="BG146" i="11"/>
  <c r="BI33" i="7"/>
  <c r="BI43" i="7" s="1"/>
  <c r="BI42" i="7"/>
  <c r="BI48" i="7"/>
  <c r="BI58" i="7" s="1"/>
  <c r="BI57" i="7"/>
  <c r="DN3" i="7"/>
  <c r="DN3" i="11"/>
  <c r="BH19" i="11"/>
  <c r="BG110" i="11"/>
  <c r="BG26" i="11"/>
  <c r="AW75" i="11"/>
  <c r="AW104" i="11" s="1"/>
  <c r="DO20" i="10"/>
  <c r="DN28" i="10"/>
  <c r="DN29" i="10" s="1"/>
  <c r="DM31" i="10"/>
  <c r="DM30" i="10"/>
  <c r="AR120" i="11"/>
  <c r="AR93" i="11"/>
  <c r="AR137" i="11" s="1"/>
  <c r="AR105" i="11"/>
  <c r="AR95" i="11"/>
  <c r="AR112" i="11"/>
  <c r="AR163" i="11"/>
  <c r="AW80" i="11"/>
  <c r="AW141" i="11" s="1"/>
  <c r="AW79" i="11"/>
  <c r="AW154" i="11" s="1"/>
  <c r="BG108" i="11"/>
  <c r="BG111" i="11"/>
  <c r="BG83" i="11"/>
  <c r="BG84" i="11" s="1"/>
  <c r="BH115" i="7"/>
  <c r="BH130" i="7"/>
  <c r="BH52" i="11"/>
  <c r="BH86" i="7"/>
  <c r="BJ27" i="10"/>
  <c r="BI63" i="7"/>
  <c r="BI73" i="7" s="1"/>
  <c r="BI153" i="7"/>
  <c r="BI159" i="7"/>
  <c r="BI108" i="7"/>
  <c r="BI118" i="7" s="1"/>
  <c r="BI114" i="7"/>
  <c r="BI123" i="7"/>
  <c r="BI133" i="7" s="1"/>
  <c r="BI129" i="7"/>
  <c r="BI138" i="7"/>
  <c r="BI148" i="7" s="1"/>
  <c r="BI144" i="7"/>
  <c r="BI93" i="7"/>
  <c r="BI103" i="7" s="1"/>
  <c r="BI99" i="7"/>
  <c r="BI168" i="7"/>
  <c r="BI178" i="7" s="1"/>
  <c r="BI174" i="7"/>
  <c r="BI78" i="7"/>
  <c r="BI84" i="7"/>
  <c r="BI131" i="11"/>
  <c r="BI229" i="11"/>
  <c r="BI214" i="11"/>
  <c r="BI261" i="11" s="1"/>
  <c r="BI18" i="7" s="1"/>
  <c r="BI230" i="11"/>
  <c r="BH40" i="11"/>
  <c r="BH42" i="11" s="1"/>
  <c r="BH64" i="11"/>
  <c r="BJ1" i="7"/>
  <c r="BJ1" i="11"/>
  <c r="BJ22" i="10"/>
  <c r="BI48" i="10"/>
  <c r="BH76" i="11"/>
  <c r="CF78" i="11" s="1"/>
  <c r="CF77" i="11" s="1"/>
  <c r="BI4" i="11"/>
  <c r="BI4" i="7"/>
  <c r="BI39" i="7"/>
  <c r="BI323" i="11" l="1"/>
  <c r="BI324" i="11"/>
  <c r="BH148" i="11"/>
  <c r="CL66" i="11"/>
  <c r="CL65" i="11" s="1"/>
  <c r="BI34" i="7"/>
  <c r="BI41" i="7" s="1"/>
  <c r="BH133" i="11"/>
  <c r="BI154" i="7"/>
  <c r="BI160" i="7" s="1"/>
  <c r="BI163" i="7"/>
  <c r="BI79" i="7"/>
  <c r="BI85" i="7" s="1"/>
  <c r="BI88" i="7"/>
  <c r="DO3" i="7"/>
  <c r="DO3" i="11"/>
  <c r="BI9" i="11"/>
  <c r="BI14" i="11" s="1"/>
  <c r="BI10" i="11"/>
  <c r="BI15" i="11" s="1"/>
  <c r="BI12" i="11"/>
  <c r="BI17" i="11" s="1"/>
  <c r="BI115" i="11"/>
  <c r="BI210" i="11"/>
  <c r="BI35" i="11"/>
  <c r="BI8" i="11"/>
  <c r="BI13" i="11" s="1"/>
  <c r="BI11" i="11"/>
  <c r="BI16" i="11" s="1"/>
  <c r="BH110" i="11"/>
  <c r="BH26" i="11"/>
  <c r="BH20" i="11" s="1"/>
  <c r="AR96" i="11"/>
  <c r="BG20" i="11"/>
  <c r="DN31" i="10"/>
  <c r="DN30" i="10"/>
  <c r="DO28" i="10"/>
  <c r="DO29" i="10" s="1"/>
  <c r="DP20" i="10"/>
  <c r="AS87" i="11"/>
  <c r="AS91" i="11"/>
  <c r="AS155" i="11" s="1"/>
  <c r="AS92" i="11"/>
  <c r="AS142" i="11" s="1"/>
  <c r="AW162" i="11"/>
  <c r="AW81" i="11"/>
  <c r="AW136" i="11" s="1"/>
  <c r="AW119" i="11"/>
  <c r="BH149" i="11"/>
  <c r="BI169" i="7"/>
  <c r="BI109" i="7"/>
  <c r="BI124" i="7"/>
  <c r="BI131" i="7" s="1"/>
  <c r="BI285" i="11"/>
  <c r="BI176" i="11"/>
  <c r="BI171" i="11"/>
  <c r="BI176" i="7"/>
  <c r="BI10" i="7"/>
  <c r="BJ172" i="7"/>
  <c r="BJ173" i="7" s="1"/>
  <c r="BJ157" i="7"/>
  <c r="BJ158" i="7" s="1"/>
  <c r="BJ142" i="7"/>
  <c r="BJ127" i="7"/>
  <c r="BJ128" i="7" s="1"/>
  <c r="BJ112" i="7"/>
  <c r="BJ113" i="7" s="1"/>
  <c r="BJ37" i="7"/>
  <c r="BJ38" i="7" s="1"/>
  <c r="BJ97" i="7"/>
  <c r="BJ82" i="7"/>
  <c r="BJ83" i="7" s="1"/>
  <c r="BJ152" i="7"/>
  <c r="BJ162" i="7" s="1"/>
  <c r="BJ167" i="7"/>
  <c r="BJ177" i="7" s="1"/>
  <c r="BJ137" i="7"/>
  <c r="BJ147" i="7" s="1"/>
  <c r="BJ122" i="7"/>
  <c r="BJ132" i="7" s="1"/>
  <c r="BJ107" i="7"/>
  <c r="BJ117" i="7" s="1"/>
  <c r="BJ7" i="7"/>
  <c r="BJ77" i="7"/>
  <c r="BJ87" i="7" s="1"/>
  <c r="BJ32" i="7"/>
  <c r="BJ47" i="7"/>
  <c r="BJ62" i="7"/>
  <c r="BJ72" i="7" s="1"/>
  <c r="BJ92" i="7"/>
  <c r="BJ102" i="7" s="1"/>
  <c r="BJ8" i="7"/>
  <c r="BJ41" i="10"/>
  <c r="BJ2" i="11"/>
  <c r="BJ42" i="10"/>
  <c r="BJ35" i="10"/>
  <c r="BJ43" i="10"/>
  <c r="BJ39" i="10"/>
  <c r="BJ38" i="10"/>
  <c r="BJ40" i="10"/>
  <c r="BJ44" i="10"/>
  <c r="BJ45" i="10"/>
  <c r="BJ36" i="10"/>
  <c r="BJ37" i="10"/>
  <c r="BJ46" i="10"/>
  <c r="BJ2" i="7"/>
  <c r="BK21" i="10"/>
  <c r="BJ24" i="10"/>
  <c r="BJ23" i="10"/>
  <c r="BJ19" i="10"/>
  <c r="BI115" i="7" l="1"/>
  <c r="BI116" i="7"/>
  <c r="BI40" i="7"/>
  <c r="BH146" i="11"/>
  <c r="BJ33" i="7"/>
  <c r="BJ43" i="7" s="1"/>
  <c r="BJ42" i="7"/>
  <c r="BJ48" i="7"/>
  <c r="BJ58" i="7" s="1"/>
  <c r="BJ57" i="7"/>
  <c r="DP3" i="7"/>
  <c r="DP3" i="11"/>
  <c r="BI19" i="11"/>
  <c r="AX75" i="11"/>
  <c r="AX104" i="11" s="1"/>
  <c r="DP28" i="10"/>
  <c r="DP29" i="10" s="1"/>
  <c r="DQ20" i="10"/>
  <c r="DO31" i="10"/>
  <c r="DO30" i="10"/>
  <c r="AS120" i="11"/>
  <c r="AX79" i="11"/>
  <c r="AX154" i="11" s="1"/>
  <c r="AX80" i="11"/>
  <c r="AX141" i="11" s="1"/>
  <c r="BH108" i="11"/>
  <c r="BH111" i="11"/>
  <c r="BH83" i="11"/>
  <c r="BH84" i="11" s="1"/>
  <c r="BI130" i="7"/>
  <c r="BI175" i="7"/>
  <c r="BI52" i="11"/>
  <c r="BI88" i="11"/>
  <c r="CG90" i="11" s="1"/>
  <c r="CG89" i="11" s="1"/>
  <c r="BI86" i="7"/>
  <c r="BI76" i="11"/>
  <c r="CG78" i="11" s="1"/>
  <c r="CG77" i="11" s="1"/>
  <c r="BI40" i="11"/>
  <c r="BI42" i="11" s="1"/>
  <c r="BK27" i="10"/>
  <c r="BJ63" i="7"/>
  <c r="BJ73" i="7" s="1"/>
  <c r="BJ123" i="7"/>
  <c r="BJ133" i="7" s="1"/>
  <c r="BJ129" i="7"/>
  <c r="BJ153" i="7"/>
  <c r="BJ163" i="7" s="1"/>
  <c r="BJ159" i="7"/>
  <c r="BJ138" i="7"/>
  <c r="BJ144" i="7"/>
  <c r="BJ168" i="7"/>
  <c r="BJ178" i="7" s="1"/>
  <c r="BJ174" i="7"/>
  <c r="BJ93" i="7"/>
  <c r="BJ103" i="7" s="1"/>
  <c r="BJ99" i="7"/>
  <c r="BJ108" i="7"/>
  <c r="BJ118" i="7" s="1"/>
  <c r="BJ114" i="7"/>
  <c r="BJ78" i="7"/>
  <c r="BJ84" i="7"/>
  <c r="BJ214" i="11"/>
  <c r="BJ261" i="11" s="1"/>
  <c r="BJ18" i="7" s="1"/>
  <c r="BJ230" i="11"/>
  <c r="BJ131" i="11"/>
  <c r="BJ229" i="11"/>
  <c r="BJ39" i="7"/>
  <c r="BJ4" i="11"/>
  <c r="BJ4" i="7"/>
  <c r="BK1" i="7"/>
  <c r="BK1" i="11"/>
  <c r="BK22" i="10"/>
  <c r="BJ48" i="10"/>
  <c r="H135" i="3" l="1"/>
  <c r="H134" i="3" s="1"/>
  <c r="H138" i="3" s="1"/>
  <c r="G135" i="3"/>
  <c r="G136" i="3" s="1"/>
  <c r="BJ11" i="11"/>
  <c r="BJ16" i="11" s="1"/>
  <c r="BJ324" i="11"/>
  <c r="BJ323" i="11"/>
  <c r="BJ34" i="7"/>
  <c r="BJ41" i="7" s="1"/>
  <c r="BI133" i="11"/>
  <c r="AS150" i="11"/>
  <c r="BJ79" i="7"/>
  <c r="BJ85" i="7" s="1"/>
  <c r="BJ88" i="7"/>
  <c r="BJ148" i="7"/>
  <c r="DQ3" i="7"/>
  <c r="DQ3" i="11"/>
  <c r="BJ9" i="11"/>
  <c r="BJ14" i="11" s="1"/>
  <c r="BJ10" i="11"/>
  <c r="BJ15" i="11" s="1"/>
  <c r="BJ64" i="11" s="1"/>
  <c r="BJ8" i="11"/>
  <c r="BJ13" i="11" s="1"/>
  <c r="BJ115" i="11"/>
  <c r="BJ210" i="11"/>
  <c r="BJ35" i="11"/>
  <c r="BJ12" i="11"/>
  <c r="BJ17" i="11" s="1"/>
  <c r="DQ28" i="10"/>
  <c r="DQ29" i="10" s="1"/>
  <c r="DR20" i="10"/>
  <c r="DP31" i="10"/>
  <c r="DP30" i="10"/>
  <c r="AS105" i="11"/>
  <c r="AS93" i="11"/>
  <c r="AS137" i="11" s="1"/>
  <c r="AS95" i="11"/>
  <c r="AS112" i="11"/>
  <c r="AS163" i="11"/>
  <c r="AX162" i="11"/>
  <c r="AX119" i="11"/>
  <c r="AX81" i="11"/>
  <c r="AX136" i="11" s="1"/>
  <c r="BI149" i="11"/>
  <c r="BJ154" i="7"/>
  <c r="BJ109" i="7"/>
  <c r="BJ116" i="7" s="1"/>
  <c r="BJ124" i="7"/>
  <c r="BJ169" i="7"/>
  <c r="BJ175" i="7" s="1"/>
  <c r="BI64" i="11"/>
  <c r="BJ285" i="11"/>
  <c r="BJ176" i="11"/>
  <c r="BJ171" i="11"/>
  <c r="BJ176" i="7"/>
  <c r="BJ10" i="7"/>
  <c r="BK172" i="7"/>
  <c r="BK173" i="7" s="1"/>
  <c r="BK157" i="7"/>
  <c r="BK158" i="7" s="1"/>
  <c r="BK142" i="7"/>
  <c r="BK97" i="7"/>
  <c r="BK82" i="7"/>
  <c r="BK83" i="7" s="1"/>
  <c r="BK37" i="7"/>
  <c r="BK38" i="7" s="1"/>
  <c r="BK127" i="7"/>
  <c r="BK128" i="7" s="1"/>
  <c r="BK112" i="7"/>
  <c r="BK113" i="7" s="1"/>
  <c r="BK137" i="7"/>
  <c r="BK147" i="7" s="1"/>
  <c r="BK167" i="7"/>
  <c r="BK177" i="7" s="1"/>
  <c r="BK107" i="7"/>
  <c r="BK117" i="7" s="1"/>
  <c r="BK152" i="7"/>
  <c r="BK162" i="7" s="1"/>
  <c r="BK122" i="7"/>
  <c r="BK132" i="7" s="1"/>
  <c r="BK7" i="7"/>
  <c r="BK36" i="10"/>
  <c r="BK44" i="10"/>
  <c r="BK2" i="11"/>
  <c r="BK37" i="10"/>
  <c r="BK45" i="10"/>
  <c r="BK41" i="10"/>
  <c r="BK39" i="10"/>
  <c r="BK40" i="10"/>
  <c r="BK42" i="10"/>
  <c r="BK43" i="10"/>
  <c r="BK35" i="10"/>
  <c r="BK38" i="10"/>
  <c r="BK46" i="10"/>
  <c r="BK2" i="7"/>
  <c r="BL21" i="10"/>
  <c r="BK23" i="10"/>
  <c r="BK24" i="10"/>
  <c r="BK19" i="10"/>
  <c r="BK77" i="7"/>
  <c r="BK87" i="7" s="1"/>
  <c r="BK92" i="7"/>
  <c r="BK102" i="7" s="1"/>
  <c r="BK47" i="7"/>
  <c r="BK32" i="7"/>
  <c r="BK8" i="7"/>
  <c r="BJ130" i="7" l="1"/>
  <c r="BJ131" i="7"/>
  <c r="BJ40" i="7"/>
  <c r="BJ148" i="11"/>
  <c r="CN66" i="11"/>
  <c r="CN65" i="11" s="1"/>
  <c r="BI148" i="11"/>
  <c r="CM66" i="11"/>
  <c r="CM65" i="11" s="1"/>
  <c r="BI146" i="11"/>
  <c r="BK33" i="7"/>
  <c r="BK43" i="7" s="1"/>
  <c r="BK42" i="7"/>
  <c r="BK48" i="7"/>
  <c r="BK58" i="7" s="1"/>
  <c r="BK57" i="7"/>
  <c r="DR3" i="7"/>
  <c r="DR3" i="11"/>
  <c r="BJ19" i="11"/>
  <c r="BJ110" i="11"/>
  <c r="BI110" i="11"/>
  <c r="BI26" i="11"/>
  <c r="AY75" i="11"/>
  <c r="AY104" i="11" s="1"/>
  <c r="AS96" i="11"/>
  <c r="DS20" i="10"/>
  <c r="DR28" i="10"/>
  <c r="DR29" i="10" s="1"/>
  <c r="DQ30" i="10"/>
  <c r="DQ31" i="10"/>
  <c r="AT87" i="11"/>
  <c r="G14" i="14"/>
  <c r="AT92" i="11"/>
  <c r="AT142" i="11" s="1"/>
  <c r="AT91" i="11"/>
  <c r="AT155" i="11" s="1"/>
  <c r="BI83" i="11"/>
  <c r="BI84" i="11" s="1"/>
  <c r="AY79" i="11"/>
  <c r="AY154" i="11" s="1"/>
  <c r="AY80" i="11"/>
  <c r="AY141" i="11" s="1"/>
  <c r="BI108" i="11"/>
  <c r="BI111" i="11"/>
  <c r="BJ160" i="7"/>
  <c r="BJ115" i="7"/>
  <c r="BJ86" i="7"/>
  <c r="BJ40" i="11"/>
  <c r="BJ42" i="11" s="1"/>
  <c r="BL27" i="10"/>
  <c r="BK93" i="7"/>
  <c r="BK103" i="7" s="1"/>
  <c r="BK99" i="7"/>
  <c r="BK108" i="7"/>
  <c r="BK114" i="7"/>
  <c r="BK168" i="7"/>
  <c r="BK178" i="7" s="1"/>
  <c r="BK174" i="7"/>
  <c r="BK153" i="7"/>
  <c r="BK163" i="7" s="1"/>
  <c r="BK159" i="7"/>
  <c r="BK138" i="7"/>
  <c r="BK148" i="7" s="1"/>
  <c r="BK144" i="7"/>
  <c r="BK123" i="7"/>
  <c r="BK129" i="7"/>
  <c r="BK78" i="7"/>
  <c r="BK84" i="7"/>
  <c r="BK214" i="11"/>
  <c r="BK261" i="11" s="1"/>
  <c r="BK18" i="7" s="1"/>
  <c r="BK230" i="11"/>
  <c r="BK131" i="11"/>
  <c r="BK229" i="11"/>
  <c r="BK4" i="11"/>
  <c r="BK4" i="7"/>
  <c r="BK48" i="10"/>
  <c r="BK39" i="7"/>
  <c r="BL1" i="7"/>
  <c r="BL1" i="11"/>
  <c r="BL22" i="10"/>
  <c r="BJ76" i="11"/>
  <c r="CH78" i="11" s="1"/>
  <c r="CH77" i="11" s="1"/>
  <c r="BK323" i="11" l="1"/>
  <c r="BK324" i="11"/>
  <c r="BK34" i="7"/>
  <c r="BK40" i="7" s="1"/>
  <c r="BJ133" i="11"/>
  <c r="BK79" i="7"/>
  <c r="BK85" i="7" s="1"/>
  <c r="BK88" i="7"/>
  <c r="BK124" i="7"/>
  <c r="BK133" i="7"/>
  <c r="BK109" i="7"/>
  <c r="BK118" i="7"/>
  <c r="DS3" i="11"/>
  <c r="DS3" i="7"/>
  <c r="BK8" i="11"/>
  <c r="BK13" i="11" s="1"/>
  <c r="BK12" i="11"/>
  <c r="BK17" i="11" s="1"/>
  <c r="BK88" i="11" s="1"/>
  <c r="CI90" i="11" s="1"/>
  <c r="CI89" i="11" s="1"/>
  <c r="BK10" i="11"/>
  <c r="BK15" i="11" s="1"/>
  <c r="BK115" i="11"/>
  <c r="BK210" i="11"/>
  <c r="BK35" i="11"/>
  <c r="BK11" i="11"/>
  <c r="BK16" i="11" s="1"/>
  <c r="BK9" i="11"/>
  <c r="BK14" i="11" s="1"/>
  <c r="BI20" i="11"/>
  <c r="DR31" i="10"/>
  <c r="DR30" i="10"/>
  <c r="DS28" i="10"/>
  <c r="DS29" i="10" s="1"/>
  <c r="DT20" i="10"/>
  <c r="AT120" i="11"/>
  <c r="AY162" i="11"/>
  <c r="AY81" i="11"/>
  <c r="AY136" i="11" s="1"/>
  <c r="AY119" i="11"/>
  <c r="BJ149" i="11"/>
  <c r="BK154" i="7"/>
  <c r="BK169" i="7"/>
  <c r="BJ52" i="11"/>
  <c r="BJ88" i="11"/>
  <c r="CH90" i="11" s="1"/>
  <c r="CH89" i="11" s="1"/>
  <c r="BK285" i="11"/>
  <c r="BK176" i="11"/>
  <c r="BK171" i="11"/>
  <c r="BK176" i="7"/>
  <c r="BL172" i="7"/>
  <c r="BL173" i="7" s="1"/>
  <c r="BL157" i="7"/>
  <c r="BL158" i="7" s="1"/>
  <c r="BL142" i="7"/>
  <c r="BL127" i="7"/>
  <c r="BL128" i="7" s="1"/>
  <c r="BL112" i="7"/>
  <c r="BL113" i="7" s="1"/>
  <c r="BL37" i="7"/>
  <c r="BL38" i="7" s="1"/>
  <c r="BL82" i="7"/>
  <c r="BL83" i="7" s="1"/>
  <c r="BL97" i="7"/>
  <c r="BL122" i="7"/>
  <c r="BL132" i="7" s="1"/>
  <c r="BL152" i="7"/>
  <c r="BL162" i="7" s="1"/>
  <c r="BL167" i="7"/>
  <c r="BL177" i="7" s="1"/>
  <c r="BL107" i="7"/>
  <c r="BL117" i="7" s="1"/>
  <c r="BL137" i="7"/>
  <c r="BL147" i="7" s="1"/>
  <c r="BL7" i="7"/>
  <c r="BL38" i="10"/>
  <c r="BL39" i="10"/>
  <c r="BL2" i="11"/>
  <c r="BL35" i="10"/>
  <c r="BL43" i="10"/>
  <c r="BL37" i="10"/>
  <c r="BL40" i="10"/>
  <c r="BL41" i="10"/>
  <c r="BL42" i="10"/>
  <c r="BL46" i="10"/>
  <c r="BL45" i="10"/>
  <c r="BL36" i="10"/>
  <c r="BL2" i="7"/>
  <c r="BL23" i="10"/>
  <c r="BM21" i="10"/>
  <c r="BL44" i="10"/>
  <c r="BL24" i="10"/>
  <c r="BL19" i="10"/>
  <c r="BL77" i="7"/>
  <c r="BL87" i="7" s="1"/>
  <c r="BL47" i="7"/>
  <c r="BL62" i="7"/>
  <c r="BL72" i="7" s="1"/>
  <c r="BL92" i="7"/>
  <c r="BL102" i="7" s="1"/>
  <c r="BL8" i="7"/>
  <c r="BL32" i="7"/>
  <c r="BK41" i="7" l="1"/>
  <c r="BK130" i="7"/>
  <c r="BK131" i="7"/>
  <c r="BK115" i="7"/>
  <c r="BK116" i="7"/>
  <c r="AT150" i="11"/>
  <c r="BJ146" i="11"/>
  <c r="BL33" i="7"/>
  <c r="BL43" i="7" s="1"/>
  <c r="BL42" i="7"/>
  <c r="BL48" i="7"/>
  <c r="BL58" i="7" s="1"/>
  <c r="BL57" i="7"/>
  <c r="DT3" i="11"/>
  <c r="DT3" i="7"/>
  <c r="BJ26" i="11"/>
  <c r="BK19" i="11"/>
  <c r="AZ75" i="11"/>
  <c r="AZ104" i="11" s="1"/>
  <c r="DT28" i="10"/>
  <c r="DT29" i="10" s="1"/>
  <c r="DU20" i="10"/>
  <c r="DS31" i="10"/>
  <c r="DS30" i="10"/>
  <c r="AT93" i="11"/>
  <c r="AT137" i="11" s="1"/>
  <c r="AT105" i="11"/>
  <c r="AT112" i="11"/>
  <c r="AT95" i="11"/>
  <c r="AT163" i="11"/>
  <c r="BJ83" i="11"/>
  <c r="BJ84" i="11" s="1"/>
  <c r="AZ79" i="11"/>
  <c r="AZ154" i="11" s="1"/>
  <c r="AZ80" i="11"/>
  <c r="AZ141" i="11" s="1"/>
  <c r="BJ108" i="11"/>
  <c r="BJ111" i="11"/>
  <c r="BK160" i="7"/>
  <c r="BK175" i="7"/>
  <c r="BK86" i="7"/>
  <c r="BK52" i="11"/>
  <c r="BK76" i="11"/>
  <c r="CI78" i="11" s="1"/>
  <c r="CI77" i="11" s="1"/>
  <c r="BM27" i="10"/>
  <c r="BL63" i="7"/>
  <c r="BL73" i="7" s="1"/>
  <c r="BL168" i="7"/>
  <c r="BL178" i="7" s="1"/>
  <c r="BL174" i="7"/>
  <c r="BL93" i="7"/>
  <c r="BL103" i="7" s="1"/>
  <c r="BL99" i="7"/>
  <c r="BL123" i="7"/>
  <c r="BL133" i="7" s="1"/>
  <c r="BL129" i="7"/>
  <c r="BL138" i="7"/>
  <c r="BL144" i="7"/>
  <c r="BL153" i="7"/>
  <c r="BL163" i="7" s="1"/>
  <c r="BL159" i="7"/>
  <c r="BL108" i="7"/>
  <c r="BL118" i="7" s="1"/>
  <c r="BL114" i="7"/>
  <c r="BL78" i="7"/>
  <c r="BL84" i="7"/>
  <c r="BL131" i="11"/>
  <c r="BL229" i="11"/>
  <c r="BL214" i="11"/>
  <c r="BL261" i="11" s="1"/>
  <c r="BL18" i="7" s="1"/>
  <c r="BL230" i="11"/>
  <c r="BL4" i="11"/>
  <c r="BL4" i="7"/>
  <c r="BL39" i="7"/>
  <c r="BK40" i="11"/>
  <c r="BK42" i="11" s="1"/>
  <c r="BK64" i="11"/>
  <c r="BL48" i="10"/>
  <c r="BM1" i="7"/>
  <c r="BM1" i="11"/>
  <c r="BM22" i="10"/>
  <c r="BL34" i="7" l="1"/>
  <c r="BL41" i="7" s="1"/>
  <c r="BL9" i="11"/>
  <c r="BL14" i="11" s="1"/>
  <c r="BL323" i="11"/>
  <c r="BL324" i="11"/>
  <c r="BK148" i="11"/>
  <c r="CO66" i="11"/>
  <c r="CO65" i="11" s="1"/>
  <c r="BK133" i="11"/>
  <c r="BL148" i="7"/>
  <c r="BL79" i="7"/>
  <c r="BL85" i="7" s="1"/>
  <c r="BL88" i="7"/>
  <c r="DU3" i="11"/>
  <c r="DU3" i="7"/>
  <c r="BL10" i="11"/>
  <c r="BL15" i="11" s="1"/>
  <c r="BL210" i="11"/>
  <c r="BL115" i="11"/>
  <c r="BL35" i="11"/>
  <c r="BL8" i="11"/>
  <c r="BL13" i="11" s="1"/>
  <c r="BL40" i="11" s="1"/>
  <c r="BL42" i="11" s="1"/>
  <c r="BL12" i="11"/>
  <c r="BL17" i="11" s="1"/>
  <c r="BL11" i="11"/>
  <c r="BL16" i="11" s="1"/>
  <c r="BK110" i="11"/>
  <c r="BK26" i="11"/>
  <c r="BK20" i="11" s="1"/>
  <c r="AT96" i="11"/>
  <c r="BJ20" i="11"/>
  <c r="DU28" i="10"/>
  <c r="DU29" i="10" s="1"/>
  <c r="DV20" i="10"/>
  <c r="DT31" i="10"/>
  <c r="DT30" i="10"/>
  <c r="AU87" i="11"/>
  <c r="AU92" i="11"/>
  <c r="AU142" i="11" s="1"/>
  <c r="AU91" i="11"/>
  <c r="AU155" i="11" s="1"/>
  <c r="AZ81" i="11"/>
  <c r="AZ136" i="11" s="1"/>
  <c r="AZ119" i="11"/>
  <c r="AZ162" i="11"/>
  <c r="BK149" i="11"/>
  <c r="BL109" i="7"/>
  <c r="BL116" i="7" s="1"/>
  <c r="BL169" i="7"/>
  <c r="BL124" i="7"/>
  <c r="BL131" i="7" s="1"/>
  <c r="BL154" i="7"/>
  <c r="BL285" i="11"/>
  <c r="BL176" i="11"/>
  <c r="BL171" i="11"/>
  <c r="BL176" i="7"/>
  <c r="BL10" i="7"/>
  <c r="BM172" i="7"/>
  <c r="BM173" i="7" s="1"/>
  <c r="BM157" i="7"/>
  <c r="BM158" i="7" s="1"/>
  <c r="BM142" i="7"/>
  <c r="BM97" i="7"/>
  <c r="BM82" i="7"/>
  <c r="BM83" i="7" s="1"/>
  <c r="BM127" i="7"/>
  <c r="BM128" i="7" s="1"/>
  <c r="BM112" i="7"/>
  <c r="BM113" i="7" s="1"/>
  <c r="BM37" i="7"/>
  <c r="BM38" i="7" s="1"/>
  <c r="BM167" i="7"/>
  <c r="BM177" i="7" s="1"/>
  <c r="BM122" i="7"/>
  <c r="BM132" i="7" s="1"/>
  <c r="BM107" i="7"/>
  <c r="BM117" i="7" s="1"/>
  <c r="BM152" i="7"/>
  <c r="BM162" i="7" s="1"/>
  <c r="BM137" i="7"/>
  <c r="BM147" i="7" s="1"/>
  <c r="BM7" i="7"/>
  <c r="BM77" i="7"/>
  <c r="BM87" i="7" s="1"/>
  <c r="BM92" i="7"/>
  <c r="BM102" i="7" s="1"/>
  <c r="BM62" i="7"/>
  <c r="BM72" i="7" s="1"/>
  <c r="BM32" i="7"/>
  <c r="BM47" i="7"/>
  <c r="BM8" i="7"/>
  <c r="BM41" i="10"/>
  <c r="BM37" i="10"/>
  <c r="BM45" i="10"/>
  <c r="BM35" i="10"/>
  <c r="BM46" i="10"/>
  <c r="BM36" i="10"/>
  <c r="BM2" i="11"/>
  <c r="BM38" i="10"/>
  <c r="BM39" i="10"/>
  <c r="BM43" i="10"/>
  <c r="BM40" i="10"/>
  <c r="BM42" i="10"/>
  <c r="BM2" i="7"/>
  <c r="BM44" i="10"/>
  <c r="BN21" i="10"/>
  <c r="BM24" i="10"/>
  <c r="BM23" i="10"/>
  <c r="BM19" i="10"/>
  <c r="BL40" i="7" l="1"/>
  <c r="BL133" i="11"/>
  <c r="BK146" i="11"/>
  <c r="BM33" i="7"/>
  <c r="BM43" i="7" s="1"/>
  <c r="BM42" i="7"/>
  <c r="BM48" i="7"/>
  <c r="BM58" i="7" s="1"/>
  <c r="BM57" i="7"/>
  <c r="DV3" i="11"/>
  <c r="DV3" i="7"/>
  <c r="BL19" i="11"/>
  <c r="BL52" i="11"/>
  <c r="BA79" i="11"/>
  <c r="BA154" i="11" s="1"/>
  <c r="DV28" i="10"/>
  <c r="DV29" i="10" s="1"/>
  <c r="DW20" i="10"/>
  <c r="DU31" i="10"/>
  <c r="DU30" i="10"/>
  <c r="AU120" i="11"/>
  <c r="BA75" i="11"/>
  <c r="BA80" i="11"/>
  <c r="BA141" i="11" s="1"/>
  <c r="BK108" i="11"/>
  <c r="BK111" i="11"/>
  <c r="BK83" i="11"/>
  <c r="BK84" i="11" s="1"/>
  <c r="BL175" i="7"/>
  <c r="BL160" i="7"/>
  <c r="BL115" i="7"/>
  <c r="BL130" i="7"/>
  <c r="BL86" i="7"/>
  <c r="BL64" i="11"/>
  <c r="BL88" i="11"/>
  <c r="CJ90" i="11" s="1"/>
  <c r="CJ89" i="11" s="1"/>
  <c r="BN27" i="10"/>
  <c r="BM63" i="7"/>
  <c r="BM73" i="7" s="1"/>
  <c r="BM153" i="7"/>
  <c r="BM163" i="7" s="1"/>
  <c r="BM159" i="7"/>
  <c r="BM138" i="7"/>
  <c r="BM148" i="7" s="1"/>
  <c r="BM144" i="7"/>
  <c r="BM108" i="7"/>
  <c r="BM118" i="7" s="1"/>
  <c r="BM114" i="7"/>
  <c r="BM123" i="7"/>
  <c r="BM129" i="7"/>
  <c r="BM168" i="7"/>
  <c r="BM178" i="7" s="1"/>
  <c r="BM174" i="7"/>
  <c r="BM93" i="7"/>
  <c r="BM99" i="7"/>
  <c r="BM78" i="7"/>
  <c r="BM84" i="7"/>
  <c r="BM131" i="11"/>
  <c r="BM229" i="11"/>
  <c r="BM214" i="11"/>
  <c r="BM261" i="11" s="1"/>
  <c r="BM18" i="7" s="1"/>
  <c r="BM230" i="11"/>
  <c r="BL76" i="11"/>
  <c r="CJ78" i="11" s="1"/>
  <c r="CJ77" i="11" s="1"/>
  <c r="BM39" i="7"/>
  <c r="BM4" i="11"/>
  <c r="BM4" i="7"/>
  <c r="BN1" i="7"/>
  <c r="BN1" i="11"/>
  <c r="BN22" i="10"/>
  <c r="BM48" i="10"/>
  <c r="BM323" i="11" l="1"/>
  <c r="BM324" i="11"/>
  <c r="BM34" i="7"/>
  <c r="BM41" i="7" s="1"/>
  <c r="BL148" i="11"/>
  <c r="CP66" i="11"/>
  <c r="CP65" i="11" s="1"/>
  <c r="BL146" i="11"/>
  <c r="AU150" i="11"/>
  <c r="BM124" i="7"/>
  <c r="BM133" i="7"/>
  <c r="BM79" i="7"/>
  <c r="BM85" i="7" s="1"/>
  <c r="BM88" i="7"/>
  <c r="BM103" i="7"/>
  <c r="DW3" i="7"/>
  <c r="DW3" i="11"/>
  <c r="BM210" i="11"/>
  <c r="BM115" i="11"/>
  <c r="BM35" i="11"/>
  <c r="BM9" i="11"/>
  <c r="BM14" i="11" s="1"/>
  <c r="BM52" i="11" s="1"/>
  <c r="BM10" i="11"/>
  <c r="BM15" i="11" s="1"/>
  <c r="BM8" i="11"/>
  <c r="BM13" i="11" s="1"/>
  <c r="BM12" i="11"/>
  <c r="BM17" i="11" s="1"/>
  <c r="BM88" i="11" s="1"/>
  <c r="CK90" i="11" s="1"/>
  <c r="CK89" i="11" s="1"/>
  <c r="BM11" i="11"/>
  <c r="BM16" i="11" s="1"/>
  <c r="BM76" i="11" s="1"/>
  <c r="CK78" i="11" s="1"/>
  <c r="CK77" i="11" s="1"/>
  <c r="BL110" i="11"/>
  <c r="BL26" i="11"/>
  <c r="BA119" i="11"/>
  <c r="DX20" i="10"/>
  <c r="DW28" i="10"/>
  <c r="DW29" i="10" s="1"/>
  <c r="DV31" i="10"/>
  <c r="DV30" i="10"/>
  <c r="AU95" i="11"/>
  <c r="AU112" i="11"/>
  <c r="AU163" i="11"/>
  <c r="AU93" i="11"/>
  <c r="AU137" i="11" s="1"/>
  <c r="AU105" i="11"/>
  <c r="BL108" i="11"/>
  <c r="BA162" i="11"/>
  <c r="BA104" i="11"/>
  <c r="BA81" i="11"/>
  <c r="BA136" i="11" s="1"/>
  <c r="BL149" i="11"/>
  <c r="BM109" i="7"/>
  <c r="BM154" i="7"/>
  <c r="BM169" i="7"/>
  <c r="BM285" i="11"/>
  <c r="BM176" i="11"/>
  <c r="BM171" i="11"/>
  <c r="BM176" i="7"/>
  <c r="BM10" i="7"/>
  <c r="BN172" i="7"/>
  <c r="BN173" i="7" s="1"/>
  <c r="BN82" i="7"/>
  <c r="BN83" i="7" s="1"/>
  <c r="BN127" i="7"/>
  <c r="BN128" i="7" s="1"/>
  <c r="BN157" i="7"/>
  <c r="BN158" i="7" s="1"/>
  <c r="BN112" i="7"/>
  <c r="BN113" i="7" s="1"/>
  <c r="BN142" i="7"/>
  <c r="BN97" i="7"/>
  <c r="BN37" i="7"/>
  <c r="BN38" i="7" s="1"/>
  <c r="BN122" i="7"/>
  <c r="BN132" i="7" s="1"/>
  <c r="BN107" i="7"/>
  <c r="BN117" i="7" s="1"/>
  <c r="BN152" i="7"/>
  <c r="BN162" i="7" s="1"/>
  <c r="BN137" i="7"/>
  <c r="BN147" i="7" s="1"/>
  <c r="BN167" i="7"/>
  <c r="BN177" i="7" s="1"/>
  <c r="BN7" i="7"/>
  <c r="BN2" i="11"/>
  <c r="BN35" i="10"/>
  <c r="BN43" i="10"/>
  <c r="BN39" i="10"/>
  <c r="BN42" i="10"/>
  <c r="BN44" i="10"/>
  <c r="BN45" i="10"/>
  <c r="BN36" i="10"/>
  <c r="BN46" i="10"/>
  <c r="BN40" i="10"/>
  <c r="BN38" i="10"/>
  <c r="BN37" i="10"/>
  <c r="BN41" i="10"/>
  <c r="BN2" i="7"/>
  <c r="BO21" i="10"/>
  <c r="BN23" i="10"/>
  <c r="BN24" i="10"/>
  <c r="BN19" i="10"/>
  <c r="BN77" i="7"/>
  <c r="BN87" i="7" s="1"/>
  <c r="BN32" i="7"/>
  <c r="BN92" i="7"/>
  <c r="BN102" i="7" s="1"/>
  <c r="BN47" i="7"/>
  <c r="BN62" i="7"/>
  <c r="BN72" i="7" s="1"/>
  <c r="BN8" i="7"/>
  <c r="BM130" i="7" l="1"/>
  <c r="BM131" i="7"/>
  <c r="BM115" i="7"/>
  <c r="BM116" i="7"/>
  <c r="BM40" i="7"/>
  <c r="BN33" i="7"/>
  <c r="BN43" i="7" s="1"/>
  <c r="BN42" i="7"/>
  <c r="BN48" i="7"/>
  <c r="BN58" i="7" s="1"/>
  <c r="BN57" i="7"/>
  <c r="DX3" i="7"/>
  <c r="DX3" i="11"/>
  <c r="BM19" i="11"/>
  <c r="AU96" i="11"/>
  <c r="BB75" i="11"/>
  <c r="BB104" i="11" s="1"/>
  <c r="BL20" i="11"/>
  <c r="DW31" i="10"/>
  <c r="DW30" i="10"/>
  <c r="DX28" i="10"/>
  <c r="DX29" i="10" s="1"/>
  <c r="DY20" i="10"/>
  <c r="AV87" i="11"/>
  <c r="AV92" i="11"/>
  <c r="AV142" i="11" s="1"/>
  <c r="AV91" i="11"/>
  <c r="AV155" i="11" s="1"/>
  <c r="BB79" i="11"/>
  <c r="BB154" i="11" s="1"/>
  <c r="BB80" i="11"/>
  <c r="BB141" i="11" s="1"/>
  <c r="BL111" i="11"/>
  <c r="BL83" i="11"/>
  <c r="BL84" i="11" s="1"/>
  <c r="BM149" i="11"/>
  <c r="BM160" i="7"/>
  <c r="BM175" i="7"/>
  <c r="BM86" i="7"/>
  <c r="BO27" i="10"/>
  <c r="BN63" i="7"/>
  <c r="BN73" i="7" s="1"/>
  <c r="BN93" i="7"/>
  <c r="BN103" i="7" s="1"/>
  <c r="BN99" i="7"/>
  <c r="BN138" i="7"/>
  <c r="BN144" i="7"/>
  <c r="BN153" i="7"/>
  <c r="BN163" i="7" s="1"/>
  <c r="BN159" i="7"/>
  <c r="BN168" i="7"/>
  <c r="BN178" i="7" s="1"/>
  <c r="BN174" i="7"/>
  <c r="BN108" i="7"/>
  <c r="BN114" i="7"/>
  <c r="BN123" i="7"/>
  <c r="BN133" i="7" s="1"/>
  <c r="BN129" i="7"/>
  <c r="BN78" i="7"/>
  <c r="BN84" i="7"/>
  <c r="BN214" i="11"/>
  <c r="BN261" i="11" s="1"/>
  <c r="BN18" i="7" s="1"/>
  <c r="BN230" i="11"/>
  <c r="BN131" i="11"/>
  <c r="BN229" i="11"/>
  <c r="BN48" i="10"/>
  <c r="BN39" i="7"/>
  <c r="BN4" i="11"/>
  <c r="BN4" i="7"/>
  <c r="BO1" i="7"/>
  <c r="BO1" i="11"/>
  <c r="BO22" i="10"/>
  <c r="BM40" i="11"/>
  <c r="BM42" i="11" s="1"/>
  <c r="BN10" i="11" l="1"/>
  <c r="BN15" i="11" s="1"/>
  <c r="BN323" i="11"/>
  <c r="BN324" i="11"/>
  <c r="BM133" i="11"/>
  <c r="BN34" i="7"/>
  <c r="BN40" i="7" s="1"/>
  <c r="BN148" i="7"/>
  <c r="BN79" i="7"/>
  <c r="BN85" i="7" s="1"/>
  <c r="BN88" i="7"/>
  <c r="BN109" i="7"/>
  <c r="BN118" i="7"/>
  <c r="DY28" i="10"/>
  <c r="DY29" i="10" s="1"/>
  <c r="DY30" i="10" s="1"/>
  <c r="DY3" i="7"/>
  <c r="DY3" i="11"/>
  <c r="BN12" i="11"/>
  <c r="BN17" i="11" s="1"/>
  <c r="BN9" i="11"/>
  <c r="BN14" i="11" s="1"/>
  <c r="BN52" i="11" s="1"/>
  <c r="BN115" i="11"/>
  <c r="BN210" i="11"/>
  <c r="BN35" i="11"/>
  <c r="BN11" i="11"/>
  <c r="BN16" i="11" s="1"/>
  <c r="BN8" i="11"/>
  <c r="BN13" i="11" s="1"/>
  <c r="DX31" i="10"/>
  <c r="DX30" i="10"/>
  <c r="AV120" i="11"/>
  <c r="BM83" i="11"/>
  <c r="BM84" i="11" s="1"/>
  <c r="BB81" i="11"/>
  <c r="BB136" i="11" s="1"/>
  <c r="BB162" i="11"/>
  <c r="BB119" i="11"/>
  <c r="BM111" i="11"/>
  <c r="BN124" i="7"/>
  <c r="BN131" i="7" s="1"/>
  <c r="BN154" i="7"/>
  <c r="BN160" i="7" s="1"/>
  <c r="BN169" i="7"/>
  <c r="BM64" i="11"/>
  <c r="BN285" i="11"/>
  <c r="BN176" i="11"/>
  <c r="BN171" i="11"/>
  <c r="BN176" i="7"/>
  <c r="BN10" i="7"/>
  <c r="BO172" i="7"/>
  <c r="BO173" i="7" s="1"/>
  <c r="BO157" i="7"/>
  <c r="BO158" i="7" s="1"/>
  <c r="BO142" i="7"/>
  <c r="BO127" i="7"/>
  <c r="BO128" i="7" s="1"/>
  <c r="BO112" i="7"/>
  <c r="BO113" i="7" s="1"/>
  <c r="BO37" i="7"/>
  <c r="BO38" i="7" s="1"/>
  <c r="BO82" i="7"/>
  <c r="BO83" i="7" s="1"/>
  <c r="BO97" i="7"/>
  <c r="BO152" i="7"/>
  <c r="BO162" i="7" s="1"/>
  <c r="BO107" i="7"/>
  <c r="BO117" i="7" s="1"/>
  <c r="BO137" i="7"/>
  <c r="BO147" i="7" s="1"/>
  <c r="BO167" i="7"/>
  <c r="BO177" i="7" s="1"/>
  <c r="BO122" i="7"/>
  <c r="BO132" i="7" s="1"/>
  <c r="BO7" i="7"/>
  <c r="BO62" i="7"/>
  <c r="BO72" i="7" s="1"/>
  <c r="BO92" i="7"/>
  <c r="BO102" i="7" s="1"/>
  <c r="BO32" i="7"/>
  <c r="BO77" i="7"/>
  <c r="BO87" i="7" s="1"/>
  <c r="BO47" i="7"/>
  <c r="BO8" i="7"/>
  <c r="BO2" i="11"/>
  <c r="BO37" i="10"/>
  <c r="BO45" i="10"/>
  <c r="BO41" i="10"/>
  <c r="BO39" i="10"/>
  <c r="BO40" i="10"/>
  <c r="BO42" i="10"/>
  <c r="BO43" i="10"/>
  <c r="BO36" i="10"/>
  <c r="BO35" i="10"/>
  <c r="BO38" i="10"/>
  <c r="BO44" i="10"/>
  <c r="BO46" i="10"/>
  <c r="BO2" i="7"/>
  <c r="BP21" i="10"/>
  <c r="BO23" i="10"/>
  <c r="BO24" i="10"/>
  <c r="BO19" i="10"/>
  <c r="BN115" i="7" l="1"/>
  <c r="BN116" i="7"/>
  <c r="BM148" i="11"/>
  <c r="CQ66" i="11"/>
  <c r="CQ65" i="11" s="1"/>
  <c r="BN41" i="7"/>
  <c r="AV150" i="11"/>
  <c r="BM146" i="11"/>
  <c r="BO33" i="7"/>
  <c r="BO43" i="7" s="1"/>
  <c r="BO42" i="7"/>
  <c r="BO48" i="7"/>
  <c r="BO58" i="7" s="1"/>
  <c r="BO57" i="7"/>
  <c r="DY31" i="10"/>
  <c r="BN88" i="11"/>
  <c r="CL90" i="11" s="1"/>
  <c r="CL89" i="11" s="1"/>
  <c r="BN19" i="11"/>
  <c r="BM110" i="11"/>
  <c r="BM26" i="11"/>
  <c r="BM20" i="11" s="1"/>
  <c r="BC75" i="11"/>
  <c r="BC104" i="11" s="1"/>
  <c r="AV105" i="11"/>
  <c r="AV93" i="11"/>
  <c r="AV137" i="11" s="1"/>
  <c r="AV95" i="11"/>
  <c r="AV112" i="11"/>
  <c r="AV163" i="11"/>
  <c r="BM108" i="11"/>
  <c r="BC80" i="11"/>
  <c r="BC141" i="11" s="1"/>
  <c r="BC79" i="11"/>
  <c r="BC154" i="11" s="1"/>
  <c r="BN130" i="7"/>
  <c r="BN175" i="7"/>
  <c r="BN86" i="7"/>
  <c r="BN64" i="11"/>
  <c r="BP27" i="10"/>
  <c r="BO63" i="7"/>
  <c r="BO73" i="7" s="1"/>
  <c r="BO153" i="7"/>
  <c r="BO159" i="7"/>
  <c r="BO138" i="7"/>
  <c r="BO148" i="7" s="1"/>
  <c r="BO144" i="7"/>
  <c r="BO93" i="7"/>
  <c r="BO99" i="7"/>
  <c r="BO108" i="7"/>
  <c r="BO118" i="7" s="1"/>
  <c r="BO114" i="7"/>
  <c r="BO123" i="7"/>
  <c r="BO133" i="7" s="1"/>
  <c r="BO129" i="7"/>
  <c r="BO168" i="7"/>
  <c r="BO178" i="7" s="1"/>
  <c r="BO174" i="7"/>
  <c r="BO78" i="7"/>
  <c r="BO84" i="7"/>
  <c r="BO131" i="11"/>
  <c r="BO229" i="11"/>
  <c r="BO214" i="11"/>
  <c r="BO261" i="11" s="1"/>
  <c r="BO18" i="7" s="1"/>
  <c r="BO230" i="11"/>
  <c r="BN40" i="11"/>
  <c r="BN42" i="11" s="1"/>
  <c r="BO39" i="7"/>
  <c r="BO4" i="11"/>
  <c r="BO4" i="7"/>
  <c r="BN76" i="11"/>
  <c r="CL78" i="11" s="1"/>
  <c r="CL77" i="11" s="1"/>
  <c r="BP1" i="7"/>
  <c r="BP1" i="11"/>
  <c r="BP22" i="10"/>
  <c r="BO48" i="10"/>
  <c r="BO323" i="11" l="1"/>
  <c r="BO324" i="11"/>
  <c r="BO34" i="7"/>
  <c r="BO41" i="7" s="1"/>
  <c r="BN148" i="11"/>
  <c r="CR66" i="11"/>
  <c r="CR65" i="11" s="1"/>
  <c r="BN133" i="11"/>
  <c r="BO103" i="7"/>
  <c r="BO79" i="7"/>
  <c r="BO85" i="7" s="1"/>
  <c r="BO88" i="7"/>
  <c r="BO154" i="7"/>
  <c r="BO160" i="7" s="1"/>
  <c r="BO163" i="7"/>
  <c r="BO8" i="11"/>
  <c r="BO13" i="11" s="1"/>
  <c r="BO115" i="11"/>
  <c r="BO210" i="11"/>
  <c r="BO35" i="11"/>
  <c r="BO9" i="11"/>
  <c r="BO14" i="11" s="1"/>
  <c r="BO52" i="11" s="1"/>
  <c r="BO12" i="11"/>
  <c r="BO17" i="11" s="1"/>
  <c r="BO88" i="11" s="1"/>
  <c r="CM90" i="11" s="1"/>
  <c r="CM89" i="11" s="1"/>
  <c r="BO10" i="11"/>
  <c r="BO15" i="11" s="1"/>
  <c r="BO11" i="11"/>
  <c r="BO16" i="11" s="1"/>
  <c r="BN110" i="11"/>
  <c r="BN26" i="11"/>
  <c r="BN20" i="11" s="1"/>
  <c r="AV96" i="11"/>
  <c r="AW87" i="11"/>
  <c r="AW92" i="11"/>
  <c r="AW142" i="11" s="1"/>
  <c r="AW91" i="11"/>
  <c r="AW155" i="11" s="1"/>
  <c r="BC81" i="11"/>
  <c r="BC136" i="11" s="1"/>
  <c r="BC119" i="11"/>
  <c r="BC162" i="11"/>
  <c r="BN149" i="11"/>
  <c r="BO109" i="7"/>
  <c r="BO116" i="7" s="1"/>
  <c r="BO169" i="7"/>
  <c r="BO175" i="7" s="1"/>
  <c r="BO124" i="7"/>
  <c r="BO131" i="7" s="1"/>
  <c r="BO285" i="11"/>
  <c r="BO176" i="11"/>
  <c r="BQ21" i="10"/>
  <c r="BO171" i="11"/>
  <c r="BO176" i="7"/>
  <c r="BO10" i="7"/>
  <c r="BP172" i="7"/>
  <c r="BP173" i="7" s="1"/>
  <c r="BP157" i="7"/>
  <c r="BP158" i="7" s="1"/>
  <c r="BP142" i="7"/>
  <c r="BP127" i="7"/>
  <c r="BP128" i="7" s="1"/>
  <c r="BP112" i="7"/>
  <c r="BP113" i="7" s="1"/>
  <c r="BP37" i="7"/>
  <c r="BP38" i="7" s="1"/>
  <c r="BP97" i="7"/>
  <c r="BP82" i="7"/>
  <c r="BP83" i="7" s="1"/>
  <c r="BP152" i="7"/>
  <c r="BP162" i="7" s="1"/>
  <c r="BP137" i="7"/>
  <c r="BP147" i="7" s="1"/>
  <c r="BP167" i="7"/>
  <c r="BP177" i="7" s="1"/>
  <c r="BP107" i="7"/>
  <c r="BP117" i="7" s="1"/>
  <c r="BP122" i="7"/>
  <c r="BP132" i="7" s="1"/>
  <c r="BP7" i="7"/>
  <c r="BP77" i="7"/>
  <c r="BP87" i="7" s="1"/>
  <c r="BP32" i="7"/>
  <c r="BP92" i="7"/>
  <c r="BP102" i="7" s="1"/>
  <c r="BP47" i="7"/>
  <c r="BP62" i="7"/>
  <c r="BP72" i="7" s="1"/>
  <c r="BP8" i="7"/>
  <c r="BP2" i="11"/>
  <c r="BP39" i="10"/>
  <c r="BP35" i="10"/>
  <c r="BP43" i="10"/>
  <c r="BP36" i="10"/>
  <c r="BP46" i="10"/>
  <c r="BP37" i="10"/>
  <c r="BP38" i="10"/>
  <c r="BP40" i="10"/>
  <c r="BP44" i="10"/>
  <c r="BP45" i="10"/>
  <c r="BP41" i="10"/>
  <c r="BP42" i="10"/>
  <c r="BP2" i="7"/>
  <c r="BP23" i="10"/>
  <c r="BP24" i="10"/>
  <c r="BP19" i="10"/>
  <c r="BO40" i="7" l="1"/>
  <c r="BN146" i="11"/>
  <c r="BP33" i="7"/>
  <c r="BP43" i="7" s="1"/>
  <c r="BP42" i="7"/>
  <c r="BP48" i="7"/>
  <c r="BP58" i="7" s="1"/>
  <c r="BP57" i="7"/>
  <c r="BO19" i="11"/>
  <c r="BD79" i="11"/>
  <c r="BD154" i="11" s="1"/>
  <c r="AW120" i="11"/>
  <c r="BD80" i="11"/>
  <c r="BD141" i="11" s="1"/>
  <c r="BD75" i="11"/>
  <c r="BN108" i="11"/>
  <c r="BN111" i="11"/>
  <c r="BN83" i="11"/>
  <c r="BN84" i="11" s="1"/>
  <c r="BO115" i="7"/>
  <c r="BO130" i="7"/>
  <c r="BO86" i="7"/>
  <c r="BQ22" i="10"/>
  <c r="BO76" i="11"/>
  <c r="CM78" i="11" s="1"/>
  <c r="CM77" i="11" s="1"/>
  <c r="BQ27" i="10"/>
  <c r="BP63" i="7"/>
  <c r="BP73" i="7" s="1"/>
  <c r="BP153" i="7"/>
  <c r="BP163" i="7" s="1"/>
  <c r="BP159" i="7"/>
  <c r="BP93" i="7"/>
  <c r="BP103" i="7" s="1"/>
  <c r="BP99" i="7"/>
  <c r="BP123" i="7"/>
  <c r="BP133" i="7" s="1"/>
  <c r="BP129" i="7"/>
  <c r="BP168" i="7"/>
  <c r="BP174" i="7"/>
  <c r="BP108" i="7"/>
  <c r="BP114" i="7"/>
  <c r="BP138" i="7"/>
  <c r="BP148" i="7" s="1"/>
  <c r="BP144" i="7"/>
  <c r="BP78" i="7"/>
  <c r="BP84" i="7"/>
  <c r="BP214" i="11"/>
  <c r="BP261" i="11" s="1"/>
  <c r="BP18" i="7" s="1"/>
  <c r="BP230" i="11"/>
  <c r="BP131" i="11"/>
  <c r="BP229" i="11"/>
  <c r="BQ1" i="7"/>
  <c r="BQ1" i="11"/>
  <c r="BO40" i="11"/>
  <c r="BO42" i="11" s="1"/>
  <c r="BO64" i="11"/>
  <c r="BP39" i="7"/>
  <c r="BP48" i="10"/>
  <c r="BP4" i="11"/>
  <c r="BP4" i="7"/>
  <c r="BP11" i="11" l="1"/>
  <c r="BP16" i="11" s="1"/>
  <c r="BP323" i="11"/>
  <c r="BP324" i="11"/>
  <c r="BO148" i="11"/>
  <c r="CS66" i="11"/>
  <c r="CS65" i="11" s="1"/>
  <c r="BP34" i="7"/>
  <c r="BP41" i="7" s="1"/>
  <c r="BO133" i="11"/>
  <c r="AW150" i="11"/>
  <c r="BP79" i="7"/>
  <c r="BP85" i="7" s="1"/>
  <c r="BP88" i="7"/>
  <c r="BP169" i="7"/>
  <c r="BP175" i="7" s="1"/>
  <c r="BP178" i="7"/>
  <c r="BP109" i="7"/>
  <c r="BP118" i="7"/>
  <c r="BP10" i="11"/>
  <c r="BP15" i="11" s="1"/>
  <c r="BP64" i="11" s="1"/>
  <c r="BP12" i="11"/>
  <c r="BP17" i="11" s="1"/>
  <c r="BP88" i="11" s="1"/>
  <c r="CN90" i="11" s="1"/>
  <c r="CN89" i="11" s="1"/>
  <c r="BP9" i="11"/>
  <c r="BP14" i="11" s="1"/>
  <c r="BP52" i="11" s="1"/>
  <c r="BP210" i="11"/>
  <c r="BP115" i="11"/>
  <c r="BP35" i="11"/>
  <c r="BP8" i="11"/>
  <c r="BP13" i="11" s="1"/>
  <c r="BO110" i="11"/>
  <c r="BO26" i="11"/>
  <c r="BO20" i="11" s="1"/>
  <c r="BD119" i="11"/>
  <c r="AW105" i="11"/>
  <c r="AW93" i="11"/>
  <c r="AW137" i="11" s="1"/>
  <c r="AW95" i="11"/>
  <c r="AW112" i="11"/>
  <c r="AW163" i="11"/>
  <c r="BD104" i="11"/>
  <c r="BD81" i="11"/>
  <c r="BD136" i="11" s="1"/>
  <c r="BD162" i="11"/>
  <c r="BO149" i="11"/>
  <c r="BP154" i="7"/>
  <c r="BP124" i="7"/>
  <c r="BP131" i="7" s="1"/>
  <c r="BP285" i="11"/>
  <c r="BP176" i="11"/>
  <c r="BQ19" i="10"/>
  <c r="BR21" i="10"/>
  <c r="BP171" i="11"/>
  <c r="BP176" i="7"/>
  <c r="BP10" i="7"/>
  <c r="BQ172" i="7"/>
  <c r="BQ173" i="7" s="1"/>
  <c r="BQ157" i="7"/>
  <c r="BQ158" i="7" s="1"/>
  <c r="BQ142" i="7"/>
  <c r="BQ127" i="7"/>
  <c r="BQ128" i="7" s="1"/>
  <c r="BQ112" i="7"/>
  <c r="BQ113" i="7" s="1"/>
  <c r="BQ37" i="7"/>
  <c r="BQ38" i="7" s="1"/>
  <c r="BQ97" i="7"/>
  <c r="BQ82" i="7"/>
  <c r="BQ83" i="7" s="1"/>
  <c r="BQ137" i="7"/>
  <c r="BQ147" i="7" s="1"/>
  <c r="BQ152" i="7"/>
  <c r="BQ162" i="7" s="1"/>
  <c r="BQ122" i="7"/>
  <c r="BQ132" i="7" s="1"/>
  <c r="BQ107" i="7"/>
  <c r="BQ117" i="7" s="1"/>
  <c r="BQ167" i="7"/>
  <c r="BQ177" i="7" s="1"/>
  <c r="BQ7" i="7"/>
  <c r="BQ2" i="11"/>
  <c r="BQ41" i="10"/>
  <c r="BQ37" i="10"/>
  <c r="BQ45" i="10"/>
  <c r="BQ43" i="10"/>
  <c r="BQ44" i="10"/>
  <c r="BQ35" i="10"/>
  <c r="BQ46" i="10"/>
  <c r="BQ36" i="10"/>
  <c r="BQ40" i="10"/>
  <c r="BQ38" i="10"/>
  <c r="BQ39" i="10"/>
  <c r="BQ42" i="10"/>
  <c r="BQ2" i="7"/>
  <c r="BQ23" i="10"/>
  <c r="BQ24" i="10"/>
  <c r="BQ77" i="7"/>
  <c r="BQ87" i="7" s="1"/>
  <c r="BQ62" i="7"/>
  <c r="BQ72" i="7" s="1"/>
  <c r="BQ92" i="7"/>
  <c r="BQ102" i="7" s="1"/>
  <c r="BQ32" i="7"/>
  <c r="BQ47" i="7"/>
  <c r="BQ8" i="7"/>
  <c r="BP115" i="7" l="1"/>
  <c r="BP116" i="7"/>
  <c r="BP40" i="7"/>
  <c r="BP148" i="11"/>
  <c r="CT66" i="11"/>
  <c r="CT65" i="11" s="1"/>
  <c r="BO146" i="11"/>
  <c r="BQ33" i="7"/>
  <c r="BQ43" i="7" s="1"/>
  <c r="BQ42" i="7"/>
  <c r="BQ48" i="7"/>
  <c r="BQ58" i="7" s="1"/>
  <c r="BQ57" i="7"/>
  <c r="BP19" i="11"/>
  <c r="BP110" i="11"/>
  <c r="BE75" i="11"/>
  <c r="BE104" i="11" s="1"/>
  <c r="AW96" i="11"/>
  <c r="AX87" i="11"/>
  <c r="AX91" i="11"/>
  <c r="AX155" i="11" s="1"/>
  <c r="AX92" i="11"/>
  <c r="AX142" i="11" s="1"/>
  <c r="BE79" i="11"/>
  <c r="BE154" i="11" s="1"/>
  <c r="BE80" i="11"/>
  <c r="BE141" i="11" s="1"/>
  <c r="BO108" i="11"/>
  <c r="BO111" i="11"/>
  <c r="BO83" i="11"/>
  <c r="BO84" i="11" s="1"/>
  <c r="BP160" i="7"/>
  <c r="BP130" i="7"/>
  <c r="BP86" i="7"/>
  <c r="BR27" i="10"/>
  <c r="BP76" i="11"/>
  <c r="CN78" i="11" s="1"/>
  <c r="CN77" i="11" s="1"/>
  <c r="BQ63" i="7"/>
  <c r="BQ73" i="7" s="1"/>
  <c r="BQ168" i="7"/>
  <c r="BQ178" i="7" s="1"/>
  <c r="BQ174" i="7"/>
  <c r="BQ93" i="7"/>
  <c r="BQ103" i="7" s="1"/>
  <c r="BQ99" i="7"/>
  <c r="BQ123" i="7"/>
  <c r="BQ129" i="7"/>
  <c r="BQ153" i="7"/>
  <c r="BQ163" i="7" s="1"/>
  <c r="BQ159" i="7"/>
  <c r="BQ108" i="7"/>
  <c r="BQ118" i="7" s="1"/>
  <c r="BQ114" i="7"/>
  <c r="BQ138" i="7"/>
  <c r="BQ148" i="7" s="1"/>
  <c r="BQ144" i="7"/>
  <c r="BQ78" i="7"/>
  <c r="BQ84" i="7"/>
  <c r="BQ214" i="11"/>
  <c r="BQ261" i="11" s="1"/>
  <c r="BQ18" i="7" s="1"/>
  <c r="BQ230" i="11"/>
  <c r="BQ131" i="11"/>
  <c r="BQ229" i="11"/>
  <c r="BP40" i="11"/>
  <c r="BP42" i="11" s="1"/>
  <c r="BQ48" i="10"/>
  <c r="BR1" i="7"/>
  <c r="BR1" i="11"/>
  <c r="BR22" i="10"/>
  <c r="BR19" i="10" s="1"/>
  <c r="BQ39" i="7"/>
  <c r="BQ4" i="11"/>
  <c r="BQ4" i="7"/>
  <c r="BQ323" i="11" l="1"/>
  <c r="BQ324" i="11"/>
  <c r="BQ34" i="7"/>
  <c r="BQ41" i="7" s="1"/>
  <c r="BQ79" i="7"/>
  <c r="BQ85" i="7" s="1"/>
  <c r="BQ88" i="7"/>
  <c r="BQ124" i="7"/>
  <c r="BQ133" i="7"/>
  <c r="BP26" i="11"/>
  <c r="BP20" i="11" s="1"/>
  <c r="BP133" i="11"/>
  <c r="BQ8" i="11"/>
  <c r="BQ13" i="11" s="1"/>
  <c r="BQ115" i="11"/>
  <c r="BQ210" i="11"/>
  <c r="BQ35" i="11"/>
  <c r="BQ11" i="11"/>
  <c r="BQ16" i="11" s="1"/>
  <c r="BQ12" i="11"/>
  <c r="BQ17" i="11" s="1"/>
  <c r="BQ88" i="11" s="1"/>
  <c r="CO90" i="11" s="1"/>
  <c r="CO89" i="11" s="1"/>
  <c r="BQ10" i="11"/>
  <c r="BQ15" i="11" s="1"/>
  <c r="BQ9" i="11"/>
  <c r="BQ14" i="11" s="1"/>
  <c r="BQ52" i="11" s="1"/>
  <c r="AX120" i="11"/>
  <c r="BE81" i="11"/>
  <c r="BE136" i="11" s="1"/>
  <c r="BE162" i="11"/>
  <c r="BE119" i="11"/>
  <c r="BP149" i="11"/>
  <c r="BQ109" i="7"/>
  <c r="BQ116" i="7" s="1"/>
  <c r="BQ169" i="7"/>
  <c r="BQ154" i="7"/>
  <c r="BQ285" i="11"/>
  <c r="L194" i="2" s="1"/>
  <c r="BQ176" i="11"/>
  <c r="BQ171" i="11"/>
  <c r="BQ176" i="7"/>
  <c r="BQ10" i="7"/>
  <c r="BR172" i="7"/>
  <c r="BR173" i="7" s="1"/>
  <c r="BR157" i="7"/>
  <c r="BR158" i="7" s="1"/>
  <c r="BR142" i="7"/>
  <c r="BR127" i="7"/>
  <c r="BR128" i="7" s="1"/>
  <c r="BR112" i="7"/>
  <c r="BR113" i="7" s="1"/>
  <c r="BR37" i="7"/>
  <c r="BR38" i="7" s="1"/>
  <c r="BR97" i="7"/>
  <c r="BR82" i="7"/>
  <c r="BR83" i="7" s="1"/>
  <c r="BR152" i="7"/>
  <c r="BR162" i="7" s="1"/>
  <c r="BR167" i="7"/>
  <c r="BR177" i="7" s="1"/>
  <c r="BR122" i="7"/>
  <c r="BR132" i="7" s="1"/>
  <c r="BR107" i="7"/>
  <c r="BR117" i="7" s="1"/>
  <c r="BR137" i="7"/>
  <c r="BR147" i="7" s="1"/>
  <c r="BR7" i="7"/>
  <c r="BR35" i="10"/>
  <c r="BR39" i="10"/>
  <c r="BR40" i="10"/>
  <c r="BR41" i="10"/>
  <c r="BR42" i="10"/>
  <c r="BR2" i="11"/>
  <c r="BR43" i="10"/>
  <c r="BR37" i="10"/>
  <c r="BR46" i="10"/>
  <c r="BR45" i="10"/>
  <c r="BR38" i="10"/>
  <c r="BR44" i="10"/>
  <c r="BR2" i="7"/>
  <c r="BR36" i="10"/>
  <c r="BS21" i="10"/>
  <c r="BR23" i="10"/>
  <c r="BR24" i="10"/>
  <c r="BR77" i="7"/>
  <c r="BR87" i="7" s="1"/>
  <c r="BR92" i="7"/>
  <c r="BR102" i="7" s="1"/>
  <c r="BR32" i="7"/>
  <c r="BR47" i="7"/>
  <c r="BR8" i="7"/>
  <c r="BQ130" i="7" l="1"/>
  <c r="BQ131" i="7"/>
  <c r="BQ40" i="7"/>
  <c r="AX150" i="11"/>
  <c r="BP146" i="11"/>
  <c r="BR33" i="7"/>
  <c r="BR43" i="7" s="1"/>
  <c r="BR42" i="7"/>
  <c r="BR48" i="7"/>
  <c r="BR58" i="7" s="1"/>
  <c r="BR57" i="7"/>
  <c r="BQ19" i="11"/>
  <c r="BF80" i="11"/>
  <c r="BF141" i="11" s="1"/>
  <c r="AX105" i="11"/>
  <c r="AX93" i="11"/>
  <c r="AX137" i="11" s="1"/>
  <c r="AX112" i="11"/>
  <c r="AX95" i="11"/>
  <c r="AX163" i="11"/>
  <c r="H13" i="14"/>
  <c r="BF75" i="11"/>
  <c r="BF79" i="11"/>
  <c r="BF154" i="11" s="1"/>
  <c r="BP108" i="11"/>
  <c r="BP111" i="11"/>
  <c r="BP83" i="11"/>
  <c r="BP84" i="11" s="1"/>
  <c r="BQ175" i="7"/>
  <c r="BQ115" i="7"/>
  <c r="BQ160" i="7"/>
  <c r="BQ86" i="7"/>
  <c r="BQ64" i="11"/>
  <c r="BQ40" i="11"/>
  <c r="BQ42" i="11" s="1"/>
  <c r="BQ76" i="11"/>
  <c r="CO78" i="11" s="1"/>
  <c r="CO77" i="11" s="1"/>
  <c r="BR4" i="11"/>
  <c r="BS27" i="10"/>
  <c r="BR93" i="7"/>
  <c r="BR103" i="7" s="1"/>
  <c r="BR99" i="7"/>
  <c r="BR108" i="7"/>
  <c r="BR114" i="7"/>
  <c r="BR168" i="7"/>
  <c r="BR178" i="7" s="1"/>
  <c r="BR174" i="7"/>
  <c r="BR153" i="7"/>
  <c r="BR159" i="7"/>
  <c r="BR138" i="7"/>
  <c r="BR148" i="7" s="1"/>
  <c r="BR144" i="7"/>
  <c r="BR123" i="7"/>
  <c r="BR133" i="7" s="1"/>
  <c r="BR129" i="7"/>
  <c r="BR78" i="7"/>
  <c r="BR84" i="7"/>
  <c r="BR131" i="11"/>
  <c r="BR229" i="11"/>
  <c r="BR214" i="11"/>
  <c r="BR285" i="11" s="1"/>
  <c r="BR230" i="11"/>
  <c r="BS1" i="7"/>
  <c r="BS1" i="11"/>
  <c r="BS22" i="10"/>
  <c r="BR48" i="10"/>
  <c r="BR39" i="7"/>
  <c r="BR4" i="7"/>
  <c r="BR324" i="11" l="1"/>
  <c r="BR323" i="11"/>
  <c r="BR34" i="7"/>
  <c r="BR41" i="7" s="1"/>
  <c r="BQ148" i="11"/>
  <c r="CU66" i="11"/>
  <c r="CU65" i="11" s="1"/>
  <c r="BR12" i="11"/>
  <c r="BR17" i="11" s="1"/>
  <c r="BQ133" i="11"/>
  <c r="BR154" i="7"/>
  <c r="BR160" i="7" s="1"/>
  <c r="BR163" i="7"/>
  <c r="BR109" i="7"/>
  <c r="BR118" i="7"/>
  <c r="BR79" i="7"/>
  <c r="BR85" i="7" s="1"/>
  <c r="BR88" i="7"/>
  <c r="BR115" i="11"/>
  <c r="BR210" i="11"/>
  <c r="BR35" i="11"/>
  <c r="BR8" i="11"/>
  <c r="BR13" i="11" s="1"/>
  <c r="BR9" i="11"/>
  <c r="BR14" i="11" s="1"/>
  <c r="BR11" i="11"/>
  <c r="BR16" i="11" s="1"/>
  <c r="BR10" i="11"/>
  <c r="BR15" i="11" s="1"/>
  <c r="BQ110" i="11"/>
  <c r="BQ26" i="11"/>
  <c r="BQ20" i="11" s="1"/>
  <c r="AX96" i="11"/>
  <c r="AY87" i="11"/>
  <c r="AY92" i="11"/>
  <c r="AY142" i="11" s="1"/>
  <c r="AY91" i="11"/>
  <c r="AY155" i="11" s="1"/>
  <c r="BF119" i="11"/>
  <c r="BF81" i="11"/>
  <c r="BF136" i="11" s="1"/>
  <c r="BF162" i="11"/>
  <c r="BF104" i="11"/>
  <c r="BQ149" i="11"/>
  <c r="BR124" i="7"/>
  <c r="BR131" i="7" s="1"/>
  <c r="BR169" i="7"/>
  <c r="BR40" i="7"/>
  <c r="BR176" i="11"/>
  <c r="BR171" i="11"/>
  <c r="BR176" i="7"/>
  <c r="BS172" i="7"/>
  <c r="BS173" i="7" s="1"/>
  <c r="BS157" i="7"/>
  <c r="BS158" i="7" s="1"/>
  <c r="BS142" i="7"/>
  <c r="BS97" i="7"/>
  <c r="BS82" i="7"/>
  <c r="BS83" i="7" s="1"/>
  <c r="BS112" i="7"/>
  <c r="BS113" i="7" s="1"/>
  <c r="BS37" i="7"/>
  <c r="BS38" i="7" s="1"/>
  <c r="BS127" i="7"/>
  <c r="BS128" i="7" s="1"/>
  <c r="BS137" i="7"/>
  <c r="BS147" i="7" s="1"/>
  <c r="BS167" i="7"/>
  <c r="BS177" i="7" s="1"/>
  <c r="BS152" i="7"/>
  <c r="BS162" i="7" s="1"/>
  <c r="BS107" i="7"/>
  <c r="BS117" i="7" s="1"/>
  <c r="BS122" i="7"/>
  <c r="BS132" i="7" s="1"/>
  <c r="BR261" i="11"/>
  <c r="BR18" i="7" s="1"/>
  <c r="BS7" i="7"/>
  <c r="BS2" i="11"/>
  <c r="BS35" i="10"/>
  <c r="BS43" i="10"/>
  <c r="BS36" i="10"/>
  <c r="BS44" i="10"/>
  <c r="BS37" i="10"/>
  <c r="BS45" i="10"/>
  <c r="BS38" i="10"/>
  <c r="BS46" i="10"/>
  <c r="BS41" i="10"/>
  <c r="BS39" i="10"/>
  <c r="BS40" i="10"/>
  <c r="BS42" i="10"/>
  <c r="BS2" i="7"/>
  <c r="BT21" i="10"/>
  <c r="BS23" i="10"/>
  <c r="BS19" i="10"/>
  <c r="BS24" i="10"/>
  <c r="BS32" i="7"/>
  <c r="BS92" i="7"/>
  <c r="BS102" i="7" s="1"/>
  <c r="BS77" i="7"/>
  <c r="BS87" i="7" s="1"/>
  <c r="BS47" i="7"/>
  <c r="BS62" i="7"/>
  <c r="BS72" i="7" s="1"/>
  <c r="BS8" i="7"/>
  <c r="BR115" i="7" l="1"/>
  <c r="BR116" i="7"/>
  <c r="BQ146" i="11"/>
  <c r="BS33" i="7"/>
  <c r="BS43" i="7" s="1"/>
  <c r="BS42" i="7"/>
  <c r="BS48" i="7"/>
  <c r="BS58" i="7" s="1"/>
  <c r="BS57" i="7"/>
  <c r="BR19" i="11"/>
  <c r="BG75" i="11"/>
  <c r="BG104" i="11" s="1"/>
  <c r="AY120" i="11"/>
  <c r="BG80" i="11"/>
  <c r="BG141" i="11" s="1"/>
  <c r="BG79" i="11"/>
  <c r="BG154" i="11" s="1"/>
  <c r="BQ108" i="11"/>
  <c r="BQ111" i="11"/>
  <c r="BQ83" i="11"/>
  <c r="BQ84" i="11" s="1"/>
  <c r="BR175" i="7"/>
  <c r="BR130" i="7"/>
  <c r="BR52" i="11"/>
  <c r="BR88" i="11"/>
  <c r="CP90" i="11" s="1"/>
  <c r="CP89" i="11" s="1"/>
  <c r="BR86" i="7"/>
  <c r="BT27" i="10"/>
  <c r="BS63" i="7"/>
  <c r="BS108" i="7"/>
  <c r="BS118" i="7" s="1"/>
  <c r="BS114" i="7"/>
  <c r="BS123" i="7"/>
  <c r="BS129" i="7"/>
  <c r="BS93" i="7"/>
  <c r="BS99" i="7"/>
  <c r="BS153" i="7"/>
  <c r="BS163" i="7" s="1"/>
  <c r="BS159" i="7"/>
  <c r="BS168" i="7"/>
  <c r="BS178" i="7" s="1"/>
  <c r="BS174" i="7"/>
  <c r="BS138" i="7"/>
  <c r="BS148" i="7" s="1"/>
  <c r="BS144" i="7"/>
  <c r="BS78" i="7"/>
  <c r="BS84" i="7"/>
  <c r="BS131" i="11"/>
  <c r="BS229" i="11"/>
  <c r="BS214" i="11"/>
  <c r="BS285" i="11" s="1"/>
  <c r="BS230" i="11"/>
  <c r="BS4" i="11"/>
  <c r="BS4" i="7"/>
  <c r="BT1" i="7"/>
  <c r="BT1" i="11"/>
  <c r="BT22" i="10"/>
  <c r="BS48" i="10"/>
  <c r="BR76" i="11"/>
  <c r="CP78" i="11" s="1"/>
  <c r="CP77" i="11" s="1"/>
  <c r="BR64" i="11"/>
  <c r="BS39" i="7"/>
  <c r="I135" i="3" l="1"/>
  <c r="I136" i="3" s="1"/>
  <c r="BS323" i="11"/>
  <c r="BS324" i="11"/>
  <c r="BR148" i="11"/>
  <c r="CV66" i="11"/>
  <c r="CV65" i="11" s="1"/>
  <c r="BS11" i="11"/>
  <c r="BS16" i="11" s="1"/>
  <c r="AY150" i="11"/>
  <c r="BS73" i="7"/>
  <c r="BS34" i="7"/>
  <c r="BS41" i="7" s="1"/>
  <c r="BS79" i="7"/>
  <c r="BS85" i="7" s="1"/>
  <c r="BS88" i="7"/>
  <c r="BS103" i="7"/>
  <c r="BS124" i="7"/>
  <c r="BS133" i="7"/>
  <c r="BS9" i="11"/>
  <c r="BS14" i="11" s="1"/>
  <c r="BS8" i="11"/>
  <c r="BS13" i="11" s="1"/>
  <c r="BS115" i="11"/>
  <c r="BS210" i="11"/>
  <c r="BS35" i="11"/>
  <c r="BS12" i="11"/>
  <c r="BS17" i="11" s="1"/>
  <c r="BS10" i="11"/>
  <c r="BS15" i="11" s="1"/>
  <c r="BR110" i="11"/>
  <c r="AY105" i="11"/>
  <c r="AY93" i="11"/>
  <c r="AY137" i="11" s="1"/>
  <c r="AY112" i="11"/>
  <c r="AY95" i="11"/>
  <c r="AY163" i="11"/>
  <c r="BG162" i="11"/>
  <c r="BG119" i="11"/>
  <c r="BG81" i="11"/>
  <c r="BG136" i="11" s="1"/>
  <c r="BS109" i="7"/>
  <c r="BS116" i="7" s="1"/>
  <c r="BS154" i="7"/>
  <c r="BS160" i="7" s="1"/>
  <c r="BS169" i="7"/>
  <c r="BS176" i="11"/>
  <c r="BR40" i="11"/>
  <c r="BR42" i="11" s="1"/>
  <c r="BS171" i="11"/>
  <c r="BS176" i="7"/>
  <c r="BS10" i="7"/>
  <c r="BT172" i="7"/>
  <c r="BT173" i="7" s="1"/>
  <c r="BT157" i="7"/>
  <c r="BT158" i="7" s="1"/>
  <c r="BT142" i="7"/>
  <c r="BT127" i="7"/>
  <c r="BT128" i="7" s="1"/>
  <c r="BT112" i="7"/>
  <c r="BT113" i="7" s="1"/>
  <c r="BT37" i="7"/>
  <c r="BT38" i="7" s="1"/>
  <c r="BT82" i="7"/>
  <c r="BT83" i="7" s="1"/>
  <c r="BT97" i="7"/>
  <c r="BT167" i="7"/>
  <c r="BT177" i="7" s="1"/>
  <c r="BT137" i="7"/>
  <c r="BT147" i="7" s="1"/>
  <c r="BT122" i="7"/>
  <c r="BT132" i="7" s="1"/>
  <c r="BT152" i="7"/>
  <c r="BT162" i="7" s="1"/>
  <c r="BT107" i="7"/>
  <c r="BT117" i="7" s="1"/>
  <c r="BS261" i="11"/>
  <c r="BS18" i="7" s="1"/>
  <c r="BT7" i="7"/>
  <c r="BT77" i="7"/>
  <c r="BT87" i="7" s="1"/>
  <c r="BT62" i="7"/>
  <c r="BT72" i="7" s="1"/>
  <c r="BT92" i="7"/>
  <c r="BT102" i="7" s="1"/>
  <c r="BT32" i="7"/>
  <c r="BT47" i="7"/>
  <c r="BT8" i="7"/>
  <c r="BT2" i="11"/>
  <c r="BT37" i="10"/>
  <c r="BT45" i="10"/>
  <c r="BT38" i="10"/>
  <c r="BT46" i="10"/>
  <c r="BT39" i="10"/>
  <c r="BT40" i="10"/>
  <c r="BT35" i="10"/>
  <c r="BT41" i="10"/>
  <c r="BT42" i="10"/>
  <c r="BT43" i="10"/>
  <c r="BT44" i="10"/>
  <c r="BT36" i="10"/>
  <c r="BT2" i="7"/>
  <c r="BT23" i="10"/>
  <c r="BU21" i="10"/>
  <c r="BT24" i="10"/>
  <c r="BT19" i="10"/>
  <c r="BS130" i="7" l="1"/>
  <c r="BS131" i="7"/>
  <c r="BS40" i="7"/>
  <c r="BR133" i="11"/>
  <c r="BT33" i="7"/>
  <c r="BT43" i="7" s="1"/>
  <c r="BT42" i="7"/>
  <c r="BT48" i="7"/>
  <c r="BT58" i="7" s="1"/>
  <c r="BT57" i="7"/>
  <c r="BR149" i="11"/>
  <c r="BR26" i="11"/>
  <c r="BS19" i="11"/>
  <c r="AY96" i="11"/>
  <c r="BH75" i="11"/>
  <c r="AZ87" i="11"/>
  <c r="AZ92" i="11"/>
  <c r="AZ142" i="11" s="1"/>
  <c r="AZ91" i="11"/>
  <c r="AZ155" i="11" s="1"/>
  <c r="BH79" i="11"/>
  <c r="BH154" i="11" s="1"/>
  <c r="BH80" i="11"/>
  <c r="BH141" i="11" s="1"/>
  <c r="BR111" i="11"/>
  <c r="BR83" i="11"/>
  <c r="BR84" i="11" s="1"/>
  <c r="BS115" i="7"/>
  <c r="BS175" i="7"/>
  <c r="BS88" i="11"/>
  <c r="CQ90" i="11" s="1"/>
  <c r="CQ89" i="11" s="1"/>
  <c r="BS86" i="7"/>
  <c r="BR146" i="11"/>
  <c r="BU27" i="10"/>
  <c r="BT63" i="7"/>
  <c r="BT73" i="7" s="1"/>
  <c r="BT123" i="7"/>
  <c r="BT133" i="7" s="1"/>
  <c r="BT129" i="7"/>
  <c r="BT108" i="7"/>
  <c r="BT114" i="7"/>
  <c r="BT93" i="7"/>
  <c r="BT103" i="7" s="1"/>
  <c r="BT99" i="7"/>
  <c r="BT153" i="7"/>
  <c r="BT163" i="7" s="1"/>
  <c r="BT159" i="7"/>
  <c r="BT138" i="7"/>
  <c r="BT144" i="7"/>
  <c r="BT168" i="7"/>
  <c r="BT174" i="7"/>
  <c r="BT78" i="7"/>
  <c r="BT84" i="7"/>
  <c r="BT131" i="11"/>
  <c r="BT229" i="11"/>
  <c r="BT214" i="11"/>
  <c r="BT285" i="11" s="1"/>
  <c r="BT230" i="11"/>
  <c r="BS64" i="11"/>
  <c r="BS76" i="11"/>
  <c r="CQ78" i="11" s="1"/>
  <c r="CQ77" i="11" s="1"/>
  <c r="BU1" i="11"/>
  <c r="BU1" i="7"/>
  <c r="BU22" i="10"/>
  <c r="BT39" i="7"/>
  <c r="BT4" i="11"/>
  <c r="BT4" i="7"/>
  <c r="BT48" i="10"/>
  <c r="BT323" i="11" l="1"/>
  <c r="BT324" i="11"/>
  <c r="BT34" i="7"/>
  <c r="BT41" i="7" s="1"/>
  <c r="BS148" i="11"/>
  <c r="CW66" i="11"/>
  <c r="CW65" i="11" s="1"/>
  <c r="BT148" i="7"/>
  <c r="BT169" i="7"/>
  <c r="BT175" i="7" s="1"/>
  <c r="BT178" i="7"/>
  <c r="BT109" i="7"/>
  <c r="BT118" i="7"/>
  <c r="BT79" i="7"/>
  <c r="BT85" i="7" s="1"/>
  <c r="BT88" i="7"/>
  <c r="BT12" i="11"/>
  <c r="BT17" i="11" s="1"/>
  <c r="BT10" i="11"/>
  <c r="BT15" i="11" s="1"/>
  <c r="BT210" i="11"/>
  <c r="BT115" i="11"/>
  <c r="BT35" i="11"/>
  <c r="BT9" i="11"/>
  <c r="BT14" i="11" s="1"/>
  <c r="BT11" i="11"/>
  <c r="BT16" i="11" s="1"/>
  <c r="BT8" i="11"/>
  <c r="BT13" i="11" s="1"/>
  <c r="BS110" i="11"/>
  <c r="BH104" i="11"/>
  <c r="BR20" i="11"/>
  <c r="AZ120" i="11"/>
  <c r="BH162" i="11"/>
  <c r="BH81" i="11"/>
  <c r="BH136" i="11" s="1"/>
  <c r="BH119" i="11"/>
  <c r="BR108" i="11"/>
  <c r="BS149" i="11"/>
  <c r="BT124" i="7"/>
  <c r="BT131" i="7" s="1"/>
  <c r="BT154" i="7"/>
  <c r="BS52" i="11"/>
  <c r="BS40" i="11"/>
  <c r="BS42" i="11" s="1"/>
  <c r="BT176" i="11"/>
  <c r="BT171" i="11"/>
  <c r="BT176" i="7"/>
  <c r="BT10" i="7"/>
  <c r="BU172" i="7"/>
  <c r="BU173" i="7" s="1"/>
  <c r="BU157" i="7"/>
  <c r="BU158" i="7" s="1"/>
  <c r="BU142" i="7"/>
  <c r="BU97" i="7"/>
  <c r="BU82" i="7"/>
  <c r="BU83" i="7" s="1"/>
  <c r="BU112" i="7"/>
  <c r="BU113" i="7" s="1"/>
  <c r="BU37" i="7"/>
  <c r="BU38" i="7" s="1"/>
  <c r="BU127" i="7"/>
  <c r="BU128" i="7" s="1"/>
  <c r="BU167" i="7"/>
  <c r="BU177" i="7" s="1"/>
  <c r="BU137" i="7"/>
  <c r="BU147" i="7" s="1"/>
  <c r="BU122" i="7"/>
  <c r="BU132" i="7" s="1"/>
  <c r="BU107" i="7"/>
  <c r="BU117" i="7" s="1"/>
  <c r="BU152" i="7"/>
  <c r="BU162" i="7" s="1"/>
  <c r="BT261" i="11"/>
  <c r="BT18" i="7" s="1"/>
  <c r="BU7" i="7"/>
  <c r="BU39" i="10"/>
  <c r="BU40" i="10"/>
  <c r="BU41" i="10"/>
  <c r="BU42" i="10"/>
  <c r="BU43" i="10"/>
  <c r="BU44" i="10"/>
  <c r="BU2" i="11"/>
  <c r="BU45" i="10"/>
  <c r="BU46" i="10"/>
  <c r="BU37" i="10"/>
  <c r="BU35" i="10"/>
  <c r="BU36" i="10"/>
  <c r="BU38" i="10"/>
  <c r="BU2" i="7"/>
  <c r="BV21" i="10"/>
  <c r="BU19" i="10"/>
  <c r="BU23" i="10"/>
  <c r="BU24" i="10"/>
  <c r="BU32" i="7"/>
  <c r="BU77" i="7"/>
  <c r="BU87" i="7" s="1"/>
  <c r="BU92" i="7"/>
  <c r="BU102" i="7" s="1"/>
  <c r="BU8" i="7"/>
  <c r="BU47" i="7"/>
  <c r="BU62" i="7"/>
  <c r="BU72" i="7" s="1"/>
  <c r="BT115" i="7" l="1"/>
  <c r="BT116" i="7"/>
  <c r="BT40" i="7"/>
  <c r="BS133" i="11"/>
  <c r="AZ150" i="11"/>
  <c r="BU33" i="7"/>
  <c r="BU43" i="7" s="1"/>
  <c r="BU42" i="7"/>
  <c r="BU48" i="7"/>
  <c r="BU58" i="7" s="1"/>
  <c r="BU57" i="7"/>
  <c r="BS26" i="11"/>
  <c r="BT19" i="11"/>
  <c r="AZ105" i="11"/>
  <c r="AZ93" i="11"/>
  <c r="AZ137" i="11" s="1"/>
  <c r="AZ95" i="11"/>
  <c r="AZ112" i="11"/>
  <c r="AZ163" i="11"/>
  <c r="BS83" i="11"/>
  <c r="BS84" i="11" s="1"/>
  <c r="BI75" i="11"/>
  <c r="BI80" i="11"/>
  <c r="BI141" i="11" s="1"/>
  <c r="BI79" i="11"/>
  <c r="BI154" i="11" s="1"/>
  <c r="BS111" i="11"/>
  <c r="BT130" i="7"/>
  <c r="BT160" i="7"/>
  <c r="BT88" i="11"/>
  <c r="CR90" i="11" s="1"/>
  <c r="CR89" i="11" s="1"/>
  <c r="BS146" i="11"/>
  <c r="BT86" i="7"/>
  <c r="BV27" i="10"/>
  <c r="BU63" i="7"/>
  <c r="BU73" i="7" s="1"/>
  <c r="BU123" i="7"/>
  <c r="BU129" i="7"/>
  <c r="BU153" i="7"/>
  <c r="BU163" i="7" s="1"/>
  <c r="BU159" i="7"/>
  <c r="BU168" i="7"/>
  <c r="BU178" i="7" s="1"/>
  <c r="BU174" i="7"/>
  <c r="BU138" i="7"/>
  <c r="BU148" i="7" s="1"/>
  <c r="BU144" i="7"/>
  <c r="BU108" i="7"/>
  <c r="BU118" i="7" s="1"/>
  <c r="BU114" i="7"/>
  <c r="BU93" i="7"/>
  <c r="BU99" i="7"/>
  <c r="BU78" i="7"/>
  <c r="BU84" i="7"/>
  <c r="BU214" i="11"/>
  <c r="BU230" i="11"/>
  <c r="BU131" i="11"/>
  <c r="BU229" i="11"/>
  <c r="BT40" i="11"/>
  <c r="BT42" i="11" s="1"/>
  <c r="BU39" i="7"/>
  <c r="BV1" i="7"/>
  <c r="BV1" i="11"/>
  <c r="BV22" i="10"/>
  <c r="BT76" i="11"/>
  <c r="CR78" i="11" s="1"/>
  <c r="CR77" i="11" s="1"/>
  <c r="BU4" i="11"/>
  <c r="BU4" i="7"/>
  <c r="BT64" i="11"/>
  <c r="BU48" i="10"/>
  <c r="BU323" i="11" l="1"/>
  <c r="BU324" i="11"/>
  <c r="BT148" i="11"/>
  <c r="CX66" i="11"/>
  <c r="CX65" i="11" s="1"/>
  <c r="BU34" i="7"/>
  <c r="BU40" i="7" s="1"/>
  <c r="BT133" i="11"/>
  <c r="BU79" i="7"/>
  <c r="BU85" i="7" s="1"/>
  <c r="BU88" i="7"/>
  <c r="BU103" i="7"/>
  <c r="BU124" i="7"/>
  <c r="BU133" i="7"/>
  <c r="BU9" i="11"/>
  <c r="BU14" i="11" s="1"/>
  <c r="BU52" i="11" s="1"/>
  <c r="BU11" i="11"/>
  <c r="BU16" i="11" s="1"/>
  <c r="BU10" i="11"/>
  <c r="BU15" i="11" s="1"/>
  <c r="BU8" i="11"/>
  <c r="BU13" i="11" s="1"/>
  <c r="BU210" i="11"/>
  <c r="BU115" i="11"/>
  <c r="BU35" i="11"/>
  <c r="BU12" i="11"/>
  <c r="BU17" i="11" s="1"/>
  <c r="BT110" i="11"/>
  <c r="AZ96" i="11"/>
  <c r="BS20" i="11"/>
  <c r="BA87" i="11"/>
  <c r="BA92" i="11"/>
  <c r="BA142" i="11" s="1"/>
  <c r="BA91" i="11"/>
  <c r="BA155" i="11" s="1"/>
  <c r="BI104" i="11"/>
  <c r="BI81" i="11"/>
  <c r="BI136" i="11" s="1"/>
  <c r="BI162" i="11"/>
  <c r="BI119" i="11"/>
  <c r="BS108" i="11"/>
  <c r="BT149" i="11"/>
  <c r="BU169" i="7"/>
  <c r="BU109" i="7"/>
  <c r="BU116" i="7" s="1"/>
  <c r="BU154" i="7"/>
  <c r="BU160" i="7" s="1"/>
  <c r="BT52" i="11"/>
  <c r="BT26" i="11" s="1"/>
  <c r="BU261" i="11"/>
  <c r="BU18" i="7" s="1"/>
  <c r="BU285" i="11"/>
  <c r="BU176" i="11"/>
  <c r="BU171" i="11"/>
  <c r="BT146" i="11"/>
  <c r="BU176" i="7"/>
  <c r="BU10" i="7"/>
  <c r="BV172" i="7"/>
  <c r="BV173" i="7" s="1"/>
  <c r="BV157" i="7"/>
  <c r="BV158" i="7" s="1"/>
  <c r="BV142" i="7"/>
  <c r="BV97" i="7"/>
  <c r="BV37" i="7"/>
  <c r="BV38" i="7" s="1"/>
  <c r="BV127" i="7"/>
  <c r="BV128" i="7" s="1"/>
  <c r="BV82" i="7"/>
  <c r="BV83" i="7" s="1"/>
  <c r="BV112" i="7"/>
  <c r="BV113" i="7" s="1"/>
  <c r="BV137" i="7"/>
  <c r="BV147" i="7" s="1"/>
  <c r="BV122" i="7"/>
  <c r="BV132" i="7" s="1"/>
  <c r="BV167" i="7"/>
  <c r="BV177" i="7" s="1"/>
  <c r="BV107" i="7"/>
  <c r="BV117" i="7" s="1"/>
  <c r="BV152" i="7"/>
  <c r="BV162" i="7" s="1"/>
  <c r="BV7" i="7"/>
  <c r="BV77" i="7"/>
  <c r="BV87" i="7" s="1"/>
  <c r="BV62" i="7"/>
  <c r="BV72" i="7" s="1"/>
  <c r="BV92" i="7"/>
  <c r="BV102" i="7" s="1"/>
  <c r="BV32" i="7"/>
  <c r="BV47" i="7"/>
  <c r="BV8" i="7"/>
  <c r="BV2" i="11"/>
  <c r="BV41" i="10"/>
  <c r="BV42" i="10"/>
  <c r="BV35" i="10"/>
  <c r="BV43" i="10"/>
  <c r="BV36" i="10"/>
  <c r="BV44" i="10"/>
  <c r="BV45" i="10"/>
  <c r="BV46" i="10"/>
  <c r="BV39" i="10"/>
  <c r="BV40" i="10"/>
  <c r="BV37" i="10"/>
  <c r="BV38" i="10"/>
  <c r="BV2" i="7"/>
  <c r="BW21" i="10"/>
  <c r="BV23" i="10"/>
  <c r="BV19" i="10"/>
  <c r="BV24" i="10"/>
  <c r="BU130" i="7" l="1"/>
  <c r="BU131" i="7"/>
  <c r="BU41" i="7"/>
  <c r="BV33" i="7"/>
  <c r="BV43" i="7" s="1"/>
  <c r="BV42" i="7"/>
  <c r="BV48" i="7"/>
  <c r="BV58" i="7" s="1"/>
  <c r="BV57" i="7"/>
  <c r="BU19" i="11"/>
  <c r="BA120" i="11"/>
  <c r="BJ75" i="11"/>
  <c r="BJ80" i="11"/>
  <c r="BJ141" i="11" s="1"/>
  <c r="BJ79" i="11"/>
  <c r="BJ154" i="11" s="1"/>
  <c r="BT108" i="11"/>
  <c r="BT111" i="11"/>
  <c r="BT83" i="11"/>
  <c r="BT84" i="11" s="1"/>
  <c r="BU175" i="7"/>
  <c r="BU115" i="7"/>
  <c r="BU88" i="11"/>
  <c r="CS90" i="11" s="1"/>
  <c r="CS89" i="11" s="1"/>
  <c r="BU86" i="7"/>
  <c r="BW27" i="10"/>
  <c r="BV63" i="7"/>
  <c r="BV73" i="7" s="1"/>
  <c r="BV138" i="7"/>
  <c r="BV148" i="7" s="1"/>
  <c r="BV144" i="7"/>
  <c r="BV153" i="7"/>
  <c r="BV163" i="7" s="1"/>
  <c r="BV159" i="7"/>
  <c r="BV93" i="7"/>
  <c r="BV103" i="7" s="1"/>
  <c r="BV99" i="7"/>
  <c r="BV108" i="7"/>
  <c r="BV114" i="7"/>
  <c r="BV168" i="7"/>
  <c r="BV174" i="7"/>
  <c r="BV123" i="7"/>
  <c r="BV133" i="7" s="1"/>
  <c r="BV129" i="7"/>
  <c r="BV78" i="7"/>
  <c r="BV84" i="7"/>
  <c r="BV214" i="11"/>
  <c r="BV261" i="11" s="1"/>
  <c r="BV18" i="7" s="1"/>
  <c r="BV230" i="11"/>
  <c r="BV131" i="11"/>
  <c r="BV229" i="11"/>
  <c r="BW1" i="7"/>
  <c r="BW1" i="11"/>
  <c r="BW22" i="10"/>
  <c r="BU64" i="11"/>
  <c r="BU76" i="11"/>
  <c r="CS78" i="11" s="1"/>
  <c r="CS77" i="11" s="1"/>
  <c r="BU40" i="11"/>
  <c r="BU42" i="11" s="1"/>
  <c r="BV39" i="7"/>
  <c r="BV4" i="11"/>
  <c r="BV4" i="7"/>
  <c r="BV48" i="10"/>
  <c r="BV323" i="11" l="1"/>
  <c r="BV324" i="11"/>
  <c r="BU148" i="11"/>
  <c r="CY66" i="11"/>
  <c r="CY65" i="11" s="1"/>
  <c r="BU133" i="11"/>
  <c r="BA150" i="11"/>
  <c r="BV34" i="7"/>
  <c r="BV41" i="7" s="1"/>
  <c r="BV109" i="7"/>
  <c r="BV118" i="7"/>
  <c r="BV79" i="7"/>
  <c r="BV85" i="7" s="1"/>
  <c r="BV88" i="7"/>
  <c r="BV169" i="7"/>
  <c r="BV175" i="7" s="1"/>
  <c r="BV178" i="7"/>
  <c r="BV10" i="11"/>
  <c r="BV15" i="11" s="1"/>
  <c r="BV8" i="11"/>
  <c r="BV13" i="11" s="1"/>
  <c r="BV12" i="11"/>
  <c r="BV17" i="11" s="1"/>
  <c r="BV115" i="11"/>
  <c r="BV210" i="11"/>
  <c r="BV35" i="11"/>
  <c r="BV11" i="11"/>
  <c r="BV16" i="11" s="1"/>
  <c r="BV9" i="11"/>
  <c r="BV14" i="11" s="1"/>
  <c r="BU110" i="11"/>
  <c r="BU26" i="11"/>
  <c r="BU20" i="11" s="1"/>
  <c r="BT20" i="11"/>
  <c r="BA95" i="11"/>
  <c r="BA112" i="11"/>
  <c r="BA163" i="11"/>
  <c r="BA93" i="11"/>
  <c r="BA137" i="11" s="1"/>
  <c r="BA105" i="11"/>
  <c r="BJ162" i="11"/>
  <c r="BJ119" i="11"/>
  <c r="BJ104" i="11"/>
  <c r="BJ81" i="11"/>
  <c r="BJ136" i="11" s="1"/>
  <c r="BU149" i="11"/>
  <c r="BV124" i="7"/>
  <c r="BV154" i="7"/>
  <c r="BV160" i="7" s="1"/>
  <c r="BV285" i="11"/>
  <c r="BV176" i="11"/>
  <c r="BV171" i="11"/>
  <c r="BU146" i="11"/>
  <c r="BV176" i="7"/>
  <c r="BV10" i="7"/>
  <c r="BW172" i="7"/>
  <c r="BW173" i="7" s="1"/>
  <c r="BW157" i="7"/>
  <c r="BW158" i="7" s="1"/>
  <c r="BW142" i="7"/>
  <c r="BW127" i="7"/>
  <c r="BW128" i="7" s="1"/>
  <c r="BW112" i="7"/>
  <c r="BW113" i="7" s="1"/>
  <c r="BW37" i="7"/>
  <c r="BW38" i="7" s="1"/>
  <c r="BW97" i="7"/>
  <c r="BW82" i="7"/>
  <c r="BW83" i="7" s="1"/>
  <c r="BW152" i="7"/>
  <c r="BW162" i="7" s="1"/>
  <c r="BW167" i="7"/>
  <c r="BW177" i="7" s="1"/>
  <c r="BW107" i="7"/>
  <c r="BW117" i="7" s="1"/>
  <c r="BW137" i="7"/>
  <c r="BW147" i="7" s="1"/>
  <c r="BW122" i="7"/>
  <c r="BW132" i="7" s="1"/>
  <c r="BW7" i="7"/>
  <c r="BW2" i="11"/>
  <c r="BW35" i="10"/>
  <c r="BW43" i="10"/>
  <c r="BW36" i="10"/>
  <c r="BW44" i="10"/>
  <c r="BW37" i="10"/>
  <c r="BW45" i="10"/>
  <c r="BW38" i="10"/>
  <c r="BW46" i="10"/>
  <c r="BW41" i="10"/>
  <c r="BW40" i="10"/>
  <c r="BW42" i="10"/>
  <c r="BW39" i="10"/>
  <c r="BW2" i="7"/>
  <c r="BX21" i="10"/>
  <c r="BW23" i="10"/>
  <c r="BW19" i="10"/>
  <c r="BW24" i="10"/>
  <c r="BW77" i="7"/>
  <c r="BW87" i="7" s="1"/>
  <c r="BW32" i="7"/>
  <c r="BW92" i="7"/>
  <c r="BW102" i="7" s="1"/>
  <c r="BW8" i="7"/>
  <c r="BW47" i="7"/>
  <c r="BW62" i="7"/>
  <c r="BW72" i="7" s="1"/>
  <c r="BV130" i="7" l="1"/>
  <c r="BV131" i="7"/>
  <c r="BV115" i="7"/>
  <c r="BV116" i="7"/>
  <c r="BV40" i="7"/>
  <c r="BW33" i="7"/>
  <c r="BW43" i="7" s="1"/>
  <c r="BW42" i="7"/>
  <c r="BW48" i="7"/>
  <c r="BW58" i="7" s="1"/>
  <c r="BW57" i="7"/>
  <c r="BV19" i="11"/>
  <c r="BA96" i="11"/>
  <c r="BB87" i="11"/>
  <c r="BB91" i="11"/>
  <c r="BB155" i="11" s="1"/>
  <c r="BB92" i="11"/>
  <c r="BB142" i="11" s="1"/>
  <c r="BU83" i="11"/>
  <c r="BU84" i="11" s="1"/>
  <c r="BK75" i="11"/>
  <c r="BK79" i="11"/>
  <c r="BK154" i="11" s="1"/>
  <c r="BK80" i="11"/>
  <c r="BK141" i="11" s="1"/>
  <c r="BU108" i="11"/>
  <c r="BU111" i="11"/>
  <c r="BV52" i="11"/>
  <c r="BV86" i="7"/>
  <c r="BV40" i="11"/>
  <c r="BV42" i="11" s="1"/>
  <c r="BX27" i="10"/>
  <c r="BW63" i="7"/>
  <c r="BW73" i="7" s="1"/>
  <c r="BW168" i="7"/>
  <c r="BW178" i="7" s="1"/>
  <c r="BW174" i="7"/>
  <c r="BW153" i="7"/>
  <c r="BW163" i="7" s="1"/>
  <c r="BW159" i="7"/>
  <c r="BW108" i="7"/>
  <c r="BW118" i="7" s="1"/>
  <c r="BW114" i="7"/>
  <c r="BW93" i="7"/>
  <c r="BW103" i="7" s="1"/>
  <c r="BW99" i="7"/>
  <c r="BW123" i="7"/>
  <c r="BW133" i="7" s="1"/>
  <c r="BW129" i="7"/>
  <c r="BW138" i="7"/>
  <c r="BW144" i="7"/>
  <c r="BW78" i="7"/>
  <c r="BW84" i="7"/>
  <c r="BW214" i="11"/>
  <c r="BW261" i="11" s="1"/>
  <c r="BW18" i="7" s="1"/>
  <c r="BW230" i="11"/>
  <c r="BW131" i="11"/>
  <c r="BW229" i="11"/>
  <c r="BV76" i="11"/>
  <c r="CT78" i="11" s="1"/>
  <c r="CT77" i="11" s="1"/>
  <c r="BW39" i="7"/>
  <c r="BX1" i="7"/>
  <c r="BX1" i="11"/>
  <c r="BX22" i="10"/>
  <c r="BW48" i="10"/>
  <c r="BW4" i="11"/>
  <c r="BW4" i="7"/>
  <c r="BV64" i="11"/>
  <c r="BW323" i="11" l="1"/>
  <c r="BW324" i="11"/>
  <c r="BV148" i="11"/>
  <c r="CZ66" i="11"/>
  <c r="CZ65" i="11" s="1"/>
  <c r="BV133" i="11"/>
  <c r="BW34" i="7"/>
  <c r="BW40" i="7" s="1"/>
  <c r="BW148" i="7"/>
  <c r="BW79" i="7"/>
  <c r="BW85" i="7" s="1"/>
  <c r="BW88" i="7"/>
  <c r="BW115" i="11"/>
  <c r="BW210" i="11"/>
  <c r="BW35" i="11"/>
  <c r="BW11" i="11"/>
  <c r="BW16" i="11" s="1"/>
  <c r="BW8" i="11"/>
  <c r="BW13" i="11" s="1"/>
  <c r="BV146" i="11"/>
  <c r="BW10" i="11"/>
  <c r="BW15" i="11" s="1"/>
  <c r="BW12" i="11"/>
  <c r="BW17" i="11" s="1"/>
  <c r="BW88" i="11" s="1"/>
  <c r="CU90" i="11" s="1"/>
  <c r="CU89" i="11" s="1"/>
  <c r="BW9" i="11"/>
  <c r="BW14" i="11" s="1"/>
  <c r="BV110" i="11"/>
  <c r="BB120" i="11"/>
  <c r="BK104" i="11"/>
  <c r="BK81" i="11"/>
  <c r="BK136" i="11" s="1"/>
  <c r="BK119" i="11"/>
  <c r="BK162" i="11"/>
  <c r="BV149" i="11"/>
  <c r="BW154" i="7"/>
  <c r="BW169" i="7"/>
  <c r="BW175" i="7" s="1"/>
  <c r="BW109" i="7"/>
  <c r="BW116" i="7" s="1"/>
  <c r="BW124" i="7"/>
  <c r="BV88" i="11"/>
  <c r="BW285" i="11"/>
  <c r="BW176" i="11"/>
  <c r="BW171" i="11"/>
  <c r="BW176" i="7"/>
  <c r="BW10" i="7"/>
  <c r="BX172" i="7"/>
  <c r="BX173" i="7" s="1"/>
  <c r="BX157" i="7"/>
  <c r="BX158" i="7" s="1"/>
  <c r="BX142" i="7"/>
  <c r="BX127" i="7"/>
  <c r="BX128" i="7" s="1"/>
  <c r="BX112" i="7"/>
  <c r="BX113" i="7" s="1"/>
  <c r="BX37" i="7"/>
  <c r="BX38" i="7" s="1"/>
  <c r="BX97" i="7"/>
  <c r="BX82" i="7"/>
  <c r="BX83" i="7" s="1"/>
  <c r="BX152" i="7"/>
  <c r="BX162" i="7" s="1"/>
  <c r="BX137" i="7"/>
  <c r="BX147" i="7" s="1"/>
  <c r="BX122" i="7"/>
  <c r="BX132" i="7" s="1"/>
  <c r="BX167" i="7"/>
  <c r="BX177" i="7" s="1"/>
  <c r="BX107" i="7"/>
  <c r="BX117" i="7" s="1"/>
  <c r="BX7" i="7"/>
  <c r="BX77" i="7"/>
  <c r="BX87" i="7" s="1"/>
  <c r="BX62" i="7"/>
  <c r="BX72" i="7" s="1"/>
  <c r="BX92" i="7"/>
  <c r="BX102" i="7" s="1"/>
  <c r="BX32" i="7"/>
  <c r="BX47" i="7"/>
  <c r="BX8" i="7"/>
  <c r="BX2" i="11"/>
  <c r="BX37" i="10"/>
  <c r="BX45" i="10"/>
  <c r="BX38" i="10"/>
  <c r="BX46" i="10"/>
  <c r="BX39" i="10"/>
  <c r="BX40" i="10"/>
  <c r="BX35" i="10"/>
  <c r="BX36" i="10"/>
  <c r="BX43" i="10"/>
  <c r="BX41" i="10"/>
  <c r="BX42" i="10"/>
  <c r="BX44" i="10"/>
  <c r="BX2" i="7"/>
  <c r="BX23" i="10"/>
  <c r="BX24" i="10"/>
  <c r="BY21" i="10"/>
  <c r="BX19" i="10"/>
  <c r="BW130" i="7" l="1"/>
  <c r="BW131" i="7"/>
  <c r="BV26" i="11"/>
  <c r="CT90" i="11"/>
  <c r="CT89" i="11" s="1"/>
  <c r="BW41" i="7"/>
  <c r="BB150" i="11"/>
  <c r="BX33" i="7"/>
  <c r="BX43" i="7" s="1"/>
  <c r="BX42" i="7"/>
  <c r="BX48" i="7"/>
  <c r="BX58" i="7" s="1"/>
  <c r="BX57" i="7"/>
  <c r="BW19" i="11"/>
  <c r="BW52" i="11"/>
  <c r="BW64" i="11"/>
  <c r="DA66" i="11" s="1"/>
  <c r="DA65" i="11" s="1"/>
  <c r="BL75" i="11"/>
  <c r="BL104" i="11" s="1"/>
  <c r="BB105" i="11"/>
  <c r="BB112" i="11"/>
  <c r="BB95" i="11"/>
  <c r="BB163" i="11"/>
  <c r="BB93" i="11"/>
  <c r="BB137" i="11" s="1"/>
  <c r="BL79" i="11"/>
  <c r="BL154" i="11" s="1"/>
  <c r="BL80" i="11"/>
  <c r="BL141" i="11" s="1"/>
  <c r="BV108" i="11"/>
  <c r="BV111" i="11"/>
  <c r="BV83" i="11"/>
  <c r="BV84" i="11" s="1"/>
  <c r="BW115" i="7"/>
  <c r="BW160" i="7"/>
  <c r="BW86" i="7"/>
  <c r="BW76" i="11"/>
  <c r="CU78" i="11" s="1"/>
  <c r="CU77" i="11" s="1"/>
  <c r="BY27" i="10"/>
  <c r="BX63" i="7"/>
  <c r="BX73" i="7" s="1"/>
  <c r="BX123" i="7"/>
  <c r="BX129" i="7"/>
  <c r="BX138" i="7"/>
  <c r="BX148" i="7" s="1"/>
  <c r="BX144" i="7"/>
  <c r="BX153" i="7"/>
  <c r="BX163" i="7" s="1"/>
  <c r="BX159" i="7"/>
  <c r="BX93" i="7"/>
  <c r="BX103" i="7" s="1"/>
  <c r="BX99" i="7"/>
  <c r="BX168" i="7"/>
  <c r="BX174" i="7"/>
  <c r="BX108" i="7"/>
  <c r="BX118" i="7" s="1"/>
  <c r="BX114" i="7"/>
  <c r="BX78" i="7"/>
  <c r="BX84" i="7"/>
  <c r="BX214" i="11"/>
  <c r="BX230" i="11"/>
  <c r="BX131" i="11"/>
  <c r="BX229" i="11"/>
  <c r="BW40" i="11"/>
  <c r="BW42" i="11" s="1"/>
  <c r="BX48" i="10"/>
  <c r="BX39" i="7"/>
  <c r="BX4" i="11"/>
  <c r="BX4" i="7"/>
  <c r="BY1" i="7"/>
  <c r="BY1" i="11"/>
  <c r="BY22" i="10"/>
  <c r="BX323" i="11" l="1"/>
  <c r="BX324" i="11"/>
  <c r="BX34" i="7"/>
  <c r="BX41" i="7" s="1"/>
  <c r="BX9" i="11"/>
  <c r="BX14" i="11" s="1"/>
  <c r="BX169" i="7"/>
  <c r="BX175" i="7" s="1"/>
  <c r="BX178" i="7"/>
  <c r="BX79" i="7"/>
  <c r="BX85" i="7" s="1"/>
  <c r="BX88" i="7"/>
  <c r="BX124" i="7"/>
  <c r="BX133" i="7"/>
  <c r="BW148" i="11"/>
  <c r="BX11" i="11"/>
  <c r="BX16" i="11" s="1"/>
  <c r="BX12" i="11"/>
  <c r="BX17" i="11" s="1"/>
  <c r="BX88" i="11" s="1"/>
  <c r="CV90" i="11" s="1"/>
  <c r="CV89" i="11" s="1"/>
  <c r="BW26" i="11"/>
  <c r="BW20" i="11" s="1"/>
  <c r="BW133" i="11"/>
  <c r="BX8" i="11"/>
  <c r="BX13" i="11" s="1"/>
  <c r="BW110" i="11"/>
  <c r="BX210" i="11"/>
  <c r="BX115" i="11"/>
  <c r="BX35" i="11"/>
  <c r="BW146" i="11"/>
  <c r="BX10" i="11"/>
  <c r="BX15" i="11" s="1"/>
  <c r="BB96" i="11"/>
  <c r="BV20" i="11"/>
  <c r="BC87" i="11"/>
  <c r="BC92" i="11"/>
  <c r="BC142" i="11" s="1"/>
  <c r="BC91" i="11"/>
  <c r="BC155" i="11" s="1"/>
  <c r="BL162" i="11"/>
  <c r="BL119" i="11"/>
  <c r="BW149" i="11"/>
  <c r="BX109" i="7"/>
  <c r="BX154" i="7"/>
  <c r="BX160" i="7" s="1"/>
  <c r="BX261" i="11"/>
  <c r="BX18" i="7" s="1"/>
  <c r="BX285" i="11"/>
  <c r="BX176" i="11"/>
  <c r="BX171" i="11"/>
  <c r="BX176" i="7"/>
  <c r="BX10" i="7"/>
  <c r="BY172" i="7"/>
  <c r="BY173" i="7" s="1"/>
  <c r="BY157" i="7"/>
  <c r="BY158" i="7" s="1"/>
  <c r="BY142" i="7"/>
  <c r="BY127" i="7"/>
  <c r="BY128" i="7" s="1"/>
  <c r="BY112" i="7"/>
  <c r="BY113" i="7" s="1"/>
  <c r="BY37" i="7"/>
  <c r="BY38" i="7" s="1"/>
  <c r="BY97" i="7"/>
  <c r="BY82" i="7"/>
  <c r="BY83" i="7" s="1"/>
  <c r="BL81" i="11"/>
  <c r="BL136" i="11" s="1"/>
  <c r="BY137" i="7"/>
  <c r="BY147" i="7" s="1"/>
  <c r="BY152" i="7"/>
  <c r="BY162" i="7" s="1"/>
  <c r="BY122" i="7"/>
  <c r="BY132" i="7" s="1"/>
  <c r="BY167" i="7"/>
  <c r="BY177" i="7" s="1"/>
  <c r="BY107" i="7"/>
  <c r="BY117" i="7" s="1"/>
  <c r="BY7" i="7"/>
  <c r="BY32" i="7"/>
  <c r="BY77" i="7"/>
  <c r="BY87" i="7" s="1"/>
  <c r="BY92" i="7"/>
  <c r="BY102" i="7" s="1"/>
  <c r="BY62" i="7"/>
  <c r="BY72" i="7" s="1"/>
  <c r="BY8" i="7"/>
  <c r="BY47" i="7"/>
  <c r="BY2" i="11"/>
  <c r="BY39" i="10"/>
  <c r="BY40" i="10"/>
  <c r="BY41" i="10"/>
  <c r="BY42" i="10"/>
  <c r="BY35" i="10"/>
  <c r="BY36" i="10"/>
  <c r="BY37" i="10"/>
  <c r="BY38" i="10"/>
  <c r="BY45" i="10"/>
  <c r="BY44" i="10"/>
  <c r="BY46" i="10"/>
  <c r="BY43" i="10"/>
  <c r="BZ21" i="10"/>
  <c r="BY2" i="7"/>
  <c r="BY23" i="10"/>
  <c r="BY24" i="10"/>
  <c r="BY19" i="10"/>
  <c r="BX130" i="7" l="1"/>
  <c r="BX131" i="7"/>
  <c r="BX115" i="7"/>
  <c r="BX116" i="7"/>
  <c r="BX40" i="7"/>
  <c r="BY33" i="7"/>
  <c r="BY43" i="7" s="1"/>
  <c r="BY42" i="7"/>
  <c r="BY48" i="7"/>
  <c r="BY58" i="7" s="1"/>
  <c r="BY57" i="7"/>
  <c r="BX19" i="11"/>
  <c r="BX40" i="11"/>
  <c r="BX42" i="11" s="1"/>
  <c r="BM75" i="11"/>
  <c r="BM104" i="11" s="1"/>
  <c r="BC120" i="11"/>
  <c r="BW108" i="11"/>
  <c r="BW111" i="11"/>
  <c r="BW83" i="11"/>
  <c r="BW84" i="11" s="1"/>
  <c r="BX86" i="7"/>
  <c r="BX76" i="11"/>
  <c r="CV78" i="11" s="1"/>
  <c r="CV77" i="11" s="1"/>
  <c r="BX52" i="11"/>
  <c r="BZ27" i="10"/>
  <c r="BY63" i="7"/>
  <c r="BY73" i="7" s="1"/>
  <c r="BY168" i="7"/>
  <c r="BY178" i="7" s="1"/>
  <c r="BY174" i="7"/>
  <c r="BY153" i="7"/>
  <c r="BY163" i="7" s="1"/>
  <c r="BY159" i="7"/>
  <c r="BY93" i="7"/>
  <c r="BY103" i="7" s="1"/>
  <c r="BY99" i="7"/>
  <c r="BY138" i="7"/>
  <c r="BY148" i="7" s="1"/>
  <c r="BY144" i="7"/>
  <c r="BY108" i="7"/>
  <c r="BY114" i="7"/>
  <c r="BY123" i="7"/>
  <c r="BY133" i="7" s="1"/>
  <c r="BY129" i="7"/>
  <c r="BY78" i="7"/>
  <c r="BY84" i="7"/>
  <c r="BM80" i="11"/>
  <c r="BM141" i="11" s="1"/>
  <c r="BM79" i="11"/>
  <c r="BM154" i="11" s="1"/>
  <c r="BY214" i="11"/>
  <c r="BY261" i="11" s="1"/>
  <c r="BY18" i="7" s="1"/>
  <c r="BY230" i="11"/>
  <c r="BY131" i="11"/>
  <c r="BY229" i="11"/>
  <c r="BY48" i="10"/>
  <c r="BZ1" i="7"/>
  <c r="BZ1" i="11"/>
  <c r="BZ22" i="10"/>
  <c r="BY39" i="7"/>
  <c r="BY4" i="11"/>
  <c r="BY4" i="7"/>
  <c r="BY323" i="11" l="1"/>
  <c r="BY324" i="11"/>
  <c r="BY34" i="7"/>
  <c r="BY41" i="7" s="1"/>
  <c r="BX133" i="11"/>
  <c r="BC150" i="11"/>
  <c r="BY79" i="7"/>
  <c r="BY85" i="7" s="1"/>
  <c r="BY88" i="7"/>
  <c r="BY109" i="7"/>
  <c r="BY118" i="7"/>
  <c r="BX146" i="11"/>
  <c r="BY115" i="11"/>
  <c r="BY210" i="11"/>
  <c r="BY35" i="11"/>
  <c r="BY8" i="11"/>
  <c r="BY13" i="11" s="1"/>
  <c r="BY9" i="11"/>
  <c r="BY14" i="11" s="1"/>
  <c r="BY52" i="11" s="1"/>
  <c r="BY11" i="11"/>
  <c r="BY16" i="11" s="1"/>
  <c r="BY12" i="11"/>
  <c r="BY17" i="11" s="1"/>
  <c r="BY88" i="11" s="1"/>
  <c r="CW90" i="11" s="1"/>
  <c r="CW89" i="11" s="1"/>
  <c r="BY10" i="11"/>
  <c r="BY15" i="11" s="1"/>
  <c r="BC105" i="11"/>
  <c r="BC93" i="11"/>
  <c r="BC137" i="11" s="1"/>
  <c r="BC95" i="11"/>
  <c r="BC112" i="11"/>
  <c r="BC163" i="11"/>
  <c r="BX108" i="11"/>
  <c r="BX149" i="11"/>
  <c r="BM119" i="11"/>
  <c r="BY124" i="7"/>
  <c r="BY131" i="7" s="1"/>
  <c r="BY169" i="7"/>
  <c r="BY154" i="7"/>
  <c r="BY160" i="7" s="1"/>
  <c r="BM162" i="11"/>
  <c r="BY285" i="11"/>
  <c r="BY176" i="11"/>
  <c r="BX64" i="11"/>
  <c r="BY171" i="11"/>
  <c r="BY176" i="7"/>
  <c r="BY10" i="7"/>
  <c r="BZ172" i="7"/>
  <c r="BZ173" i="7" s="1"/>
  <c r="BZ157" i="7"/>
  <c r="BZ158" i="7" s="1"/>
  <c r="BZ142" i="7"/>
  <c r="BZ127" i="7"/>
  <c r="BZ128" i="7" s="1"/>
  <c r="BZ112" i="7"/>
  <c r="BZ113" i="7" s="1"/>
  <c r="BZ37" i="7"/>
  <c r="BZ38" i="7" s="1"/>
  <c r="BZ97" i="7"/>
  <c r="BZ82" i="7"/>
  <c r="BZ83" i="7" s="1"/>
  <c r="BZ152" i="7"/>
  <c r="BZ162" i="7" s="1"/>
  <c r="BZ167" i="7"/>
  <c r="BZ177" i="7" s="1"/>
  <c r="BZ122" i="7"/>
  <c r="BZ132" i="7" s="1"/>
  <c r="BZ107" i="7"/>
  <c r="BZ117" i="7" s="1"/>
  <c r="BZ137" i="7"/>
  <c r="BZ147" i="7" s="1"/>
  <c r="BM81" i="11"/>
  <c r="BM136" i="11" s="1"/>
  <c r="BZ7" i="7"/>
  <c r="BZ2" i="11"/>
  <c r="BZ41" i="10"/>
  <c r="BZ42" i="10"/>
  <c r="BZ35" i="10"/>
  <c r="BZ43" i="10"/>
  <c r="BZ36" i="10"/>
  <c r="BZ44" i="10"/>
  <c r="BZ37" i="10"/>
  <c r="BZ38" i="10"/>
  <c r="BZ39" i="10"/>
  <c r="BZ40" i="10"/>
  <c r="BZ45" i="10"/>
  <c r="BZ46" i="10"/>
  <c r="BZ2" i="7"/>
  <c r="CA21" i="10"/>
  <c r="BZ23" i="10"/>
  <c r="BZ19" i="10"/>
  <c r="BZ24" i="10"/>
  <c r="BZ62" i="7"/>
  <c r="BZ72" i="7" s="1"/>
  <c r="BZ92" i="7"/>
  <c r="BZ102" i="7" s="1"/>
  <c r="BZ32" i="7"/>
  <c r="BZ47" i="7"/>
  <c r="BZ77" i="7"/>
  <c r="BZ87" i="7" s="1"/>
  <c r="BZ8" i="7"/>
  <c r="BY115" i="7" l="1"/>
  <c r="BY116" i="7"/>
  <c r="BY40" i="7"/>
  <c r="BX148" i="11"/>
  <c r="DB66" i="11"/>
  <c r="DB65" i="11" s="1"/>
  <c r="BZ33" i="7"/>
  <c r="BZ43" i="7" s="1"/>
  <c r="BZ42" i="7"/>
  <c r="BZ48" i="7"/>
  <c r="BZ58" i="7" s="1"/>
  <c r="BZ57" i="7"/>
  <c r="BY19" i="11"/>
  <c r="BX110" i="11"/>
  <c r="BX26" i="11"/>
  <c r="BX20" i="11" s="1"/>
  <c r="BN75" i="11"/>
  <c r="BN104" i="11" s="1"/>
  <c r="BC96" i="11"/>
  <c r="BD87" i="11"/>
  <c r="BD91" i="11"/>
  <c r="BD155" i="11" s="1"/>
  <c r="BD92" i="11"/>
  <c r="BD142" i="11" s="1"/>
  <c r="BX111" i="11"/>
  <c r="BX83" i="11"/>
  <c r="BX84" i="11" s="1"/>
  <c r="BY130" i="7"/>
  <c r="BY175" i="7"/>
  <c r="BY86" i="7"/>
  <c r="BY76" i="11"/>
  <c r="CW78" i="11" s="1"/>
  <c r="CW77" i="11" s="1"/>
  <c r="CA27" i="10"/>
  <c r="BZ63" i="7"/>
  <c r="BZ73" i="7" s="1"/>
  <c r="BZ138" i="7"/>
  <c r="BZ144" i="7"/>
  <c r="BZ108" i="7"/>
  <c r="BZ118" i="7" s="1"/>
  <c r="BZ114" i="7"/>
  <c r="BZ168" i="7"/>
  <c r="BZ174" i="7"/>
  <c r="BZ93" i="7"/>
  <c r="BZ103" i="7" s="1"/>
  <c r="BZ99" i="7"/>
  <c r="BZ153" i="7"/>
  <c r="BZ159" i="7"/>
  <c r="BZ123" i="7"/>
  <c r="BZ133" i="7" s="1"/>
  <c r="BZ129" i="7"/>
  <c r="BZ78" i="7"/>
  <c r="BZ84" i="7"/>
  <c r="BN80" i="11"/>
  <c r="BN141" i="11" s="1"/>
  <c r="BN79" i="11"/>
  <c r="BN154" i="11" s="1"/>
  <c r="BZ214" i="11"/>
  <c r="BZ261" i="11" s="1"/>
  <c r="BZ18" i="7" s="1"/>
  <c r="BZ230" i="11"/>
  <c r="BZ131" i="11"/>
  <c r="BZ229" i="11"/>
  <c r="BZ4" i="11"/>
  <c r="BZ4" i="7"/>
  <c r="BZ48" i="10"/>
  <c r="BY64" i="11"/>
  <c r="CA1" i="7"/>
  <c r="CA1" i="11"/>
  <c r="CA22" i="10"/>
  <c r="BZ39" i="7"/>
  <c r="BZ324" i="11" l="1"/>
  <c r="BZ323" i="11"/>
  <c r="BY148" i="11"/>
  <c r="DC66" i="11"/>
  <c r="DC65" i="11" s="1"/>
  <c r="BZ34" i="7"/>
  <c r="BZ40" i="7" s="1"/>
  <c r="BZ148" i="7"/>
  <c r="BZ154" i="7"/>
  <c r="BZ160" i="7" s="1"/>
  <c r="BZ163" i="7"/>
  <c r="BZ79" i="7"/>
  <c r="BZ85" i="7" s="1"/>
  <c r="BZ88" i="7"/>
  <c r="BZ169" i="7"/>
  <c r="BZ175" i="7" s="1"/>
  <c r="BZ178" i="7"/>
  <c r="BZ10" i="11"/>
  <c r="BZ15" i="11" s="1"/>
  <c r="BZ8" i="11"/>
  <c r="BZ13" i="11" s="1"/>
  <c r="BZ40" i="11" s="1"/>
  <c r="BZ115" i="11"/>
  <c r="BZ210" i="11"/>
  <c r="BZ35" i="11"/>
  <c r="BZ11" i="11"/>
  <c r="BZ16" i="11" s="1"/>
  <c r="BZ12" i="11"/>
  <c r="BZ17" i="11" s="1"/>
  <c r="BZ88" i="11" s="1"/>
  <c r="CX90" i="11" s="1"/>
  <c r="CX89" i="11" s="1"/>
  <c r="BZ9" i="11"/>
  <c r="BZ14" i="11" s="1"/>
  <c r="BZ52" i="11" s="1"/>
  <c r="BY110" i="11"/>
  <c r="BD120" i="11"/>
  <c r="BY149" i="11"/>
  <c r="BN119" i="11"/>
  <c r="BZ109" i="7"/>
  <c r="BZ116" i="7" s="1"/>
  <c r="BZ124" i="7"/>
  <c r="BN162" i="11"/>
  <c r="BZ285" i="11"/>
  <c r="BZ176" i="11"/>
  <c r="BY40" i="11"/>
  <c r="BY42" i="11" s="1"/>
  <c r="BZ171" i="11"/>
  <c r="BZ176" i="7"/>
  <c r="BZ10" i="7"/>
  <c r="CA172" i="7"/>
  <c r="CA173" i="7" s="1"/>
  <c r="CA157" i="7"/>
  <c r="CA158" i="7" s="1"/>
  <c r="CA142" i="7"/>
  <c r="CA127" i="7"/>
  <c r="CA128" i="7" s="1"/>
  <c r="CA97" i="7"/>
  <c r="CA82" i="7"/>
  <c r="CA83" i="7" s="1"/>
  <c r="CA37" i="7"/>
  <c r="CA38" i="7" s="1"/>
  <c r="CA112" i="7"/>
  <c r="CA113" i="7" s="1"/>
  <c r="CA137" i="7"/>
  <c r="CA147" i="7" s="1"/>
  <c r="CA167" i="7"/>
  <c r="CA177" i="7" s="1"/>
  <c r="CA107" i="7"/>
  <c r="CA117" i="7" s="1"/>
  <c r="CA122" i="7"/>
  <c r="CA132" i="7" s="1"/>
  <c r="CA152" i="7"/>
  <c r="CA162" i="7" s="1"/>
  <c r="CA7" i="7"/>
  <c r="CA32" i="7"/>
  <c r="CA92" i="7"/>
  <c r="CA102" i="7" s="1"/>
  <c r="CA77" i="7"/>
  <c r="CA87" i="7" s="1"/>
  <c r="CA47" i="7"/>
  <c r="CA8" i="7"/>
  <c r="CA62" i="7"/>
  <c r="CA72" i="7" s="1"/>
  <c r="CA2" i="11"/>
  <c r="CA35" i="10"/>
  <c r="CA43" i="10"/>
  <c r="CA36" i="10"/>
  <c r="CA44" i="10"/>
  <c r="CA37" i="10"/>
  <c r="CA45" i="10"/>
  <c r="CA38" i="10"/>
  <c r="CA46" i="10"/>
  <c r="CA39" i="10"/>
  <c r="CA40" i="10"/>
  <c r="CA41" i="10"/>
  <c r="CA42" i="10"/>
  <c r="CA2" i="7"/>
  <c r="CB21" i="10"/>
  <c r="CA23" i="10"/>
  <c r="CA19" i="10"/>
  <c r="CA24" i="10"/>
  <c r="BZ130" i="7" l="1"/>
  <c r="BZ131" i="7"/>
  <c r="BZ41" i="7"/>
  <c r="BZ133" i="11"/>
  <c r="BZ42" i="11"/>
  <c r="BD150" i="11"/>
  <c r="CA33" i="7"/>
  <c r="CA43" i="7" s="1"/>
  <c r="CA42" i="7"/>
  <c r="CA48" i="7"/>
  <c r="CA58" i="7" s="1"/>
  <c r="CA57" i="7"/>
  <c r="BY26" i="11"/>
  <c r="BY20" i="11" s="1"/>
  <c r="BY133" i="11"/>
  <c r="BZ19" i="11"/>
  <c r="BY146" i="11"/>
  <c r="BD93" i="11"/>
  <c r="BD137" i="11" s="1"/>
  <c r="BD105" i="11"/>
  <c r="BD95" i="11"/>
  <c r="BD112" i="11"/>
  <c r="BD163" i="11"/>
  <c r="BY111" i="11"/>
  <c r="BY83" i="11"/>
  <c r="BY84" i="11" s="1"/>
  <c r="BZ115" i="7"/>
  <c r="BZ86" i="7"/>
  <c r="CB27" i="10"/>
  <c r="CA63" i="7"/>
  <c r="CA73" i="7" s="1"/>
  <c r="CA108" i="7"/>
  <c r="CA114" i="7"/>
  <c r="CA123" i="7"/>
  <c r="CA133" i="7" s="1"/>
  <c r="CA129" i="7"/>
  <c r="CA138" i="7"/>
  <c r="CA148" i="7" s="1"/>
  <c r="CA144" i="7"/>
  <c r="CA93" i="7"/>
  <c r="CA103" i="7" s="1"/>
  <c r="CA99" i="7"/>
  <c r="CA168" i="7"/>
  <c r="CA178" i="7" s="1"/>
  <c r="CA174" i="7"/>
  <c r="CA153" i="7"/>
  <c r="CA163" i="7" s="1"/>
  <c r="CA159" i="7"/>
  <c r="CA78" i="7"/>
  <c r="CA84" i="7"/>
  <c r="CA214" i="11"/>
  <c r="CA261" i="11" s="1"/>
  <c r="CA18" i="7" s="1"/>
  <c r="CA230" i="11"/>
  <c r="CA131" i="11"/>
  <c r="CA229" i="11"/>
  <c r="BN81" i="11"/>
  <c r="BN136" i="11" s="1"/>
  <c r="CA39" i="7"/>
  <c r="BZ64" i="11"/>
  <c r="CA4" i="11"/>
  <c r="CA4" i="7"/>
  <c r="CB1" i="7"/>
  <c r="CB1" i="11"/>
  <c r="CB22" i="10"/>
  <c r="CA48" i="10"/>
  <c r="BZ76" i="11"/>
  <c r="CX78" i="11" s="1"/>
  <c r="CX77" i="11" s="1"/>
  <c r="CA34" i="7" l="1"/>
  <c r="CA41" i="7" s="1"/>
  <c r="CA323" i="11"/>
  <c r="CA324" i="11"/>
  <c r="BZ148" i="11"/>
  <c r="DD66" i="11"/>
  <c r="DD65" i="11" s="1"/>
  <c r="CA9" i="11"/>
  <c r="CA14" i="11" s="1"/>
  <c r="CA52" i="11" s="1"/>
  <c r="CA79" i="7"/>
  <c r="CA85" i="7" s="1"/>
  <c r="CA88" i="7"/>
  <c r="CA109" i="7"/>
  <c r="CA118" i="7"/>
  <c r="CA115" i="11"/>
  <c r="CA210" i="11"/>
  <c r="CA35" i="11"/>
  <c r="CA10" i="11"/>
  <c r="CA15" i="11" s="1"/>
  <c r="CA8" i="11"/>
  <c r="CA13" i="11" s="1"/>
  <c r="CA12" i="11"/>
  <c r="CA17" i="11" s="1"/>
  <c r="CA88" i="11" s="1"/>
  <c r="CY90" i="11" s="1"/>
  <c r="CY89" i="11" s="1"/>
  <c r="CA11" i="11"/>
  <c r="CA16" i="11" s="1"/>
  <c r="BE87" i="11"/>
  <c r="BZ110" i="11"/>
  <c r="BZ26" i="11"/>
  <c r="BZ20" i="11" s="1"/>
  <c r="BD96" i="11"/>
  <c r="BO75" i="11"/>
  <c r="BO104" i="11" s="1"/>
  <c r="BE91" i="11"/>
  <c r="BE155" i="11" s="1"/>
  <c r="BE92" i="11"/>
  <c r="BE142" i="11" s="1"/>
  <c r="BY108" i="11"/>
  <c r="BZ149" i="11"/>
  <c r="CA154" i="7"/>
  <c r="CA169" i="7"/>
  <c r="CA124" i="7"/>
  <c r="CA285" i="11"/>
  <c r="CA176" i="11"/>
  <c r="CA171" i="11"/>
  <c r="CA176" i="7"/>
  <c r="CA10" i="7"/>
  <c r="CB172" i="7"/>
  <c r="CB173" i="7" s="1"/>
  <c r="CB157" i="7"/>
  <c r="CB158" i="7" s="1"/>
  <c r="CB142" i="7"/>
  <c r="CB127" i="7"/>
  <c r="CB128" i="7" s="1"/>
  <c r="CB112" i="7"/>
  <c r="CB113" i="7" s="1"/>
  <c r="CB37" i="7"/>
  <c r="CB38" i="7" s="1"/>
  <c r="CB97" i="7"/>
  <c r="CB82" i="7"/>
  <c r="CB83" i="7" s="1"/>
  <c r="BO79" i="11"/>
  <c r="BO154" i="11" s="1"/>
  <c r="BO80" i="11"/>
  <c r="BO141" i="11" s="1"/>
  <c r="CB152" i="7"/>
  <c r="CB162" i="7" s="1"/>
  <c r="CB122" i="7"/>
  <c r="CB132" i="7" s="1"/>
  <c r="CB167" i="7"/>
  <c r="CB177" i="7" s="1"/>
  <c r="CB137" i="7"/>
  <c r="CB147" i="7" s="1"/>
  <c r="CB107" i="7"/>
  <c r="CB117" i="7" s="1"/>
  <c r="CB7" i="7"/>
  <c r="CB77" i="7"/>
  <c r="CB87" i="7" s="1"/>
  <c r="CB62" i="7"/>
  <c r="CB72" i="7" s="1"/>
  <c r="CB92" i="7"/>
  <c r="CB102" i="7" s="1"/>
  <c r="CB32" i="7"/>
  <c r="CB47" i="7"/>
  <c r="CB8" i="7"/>
  <c r="CB2" i="11"/>
  <c r="CB37" i="10"/>
  <c r="CB45" i="10"/>
  <c r="CB38" i="10"/>
  <c r="CB46" i="10"/>
  <c r="CB39" i="10"/>
  <c r="CB40" i="10"/>
  <c r="CB41" i="10"/>
  <c r="CB42" i="10"/>
  <c r="CB43" i="10"/>
  <c r="CB44" i="10"/>
  <c r="CB35" i="10"/>
  <c r="CB2" i="7"/>
  <c r="CB36" i="10"/>
  <c r="CC21" i="10"/>
  <c r="CB23" i="10"/>
  <c r="CB19" i="10"/>
  <c r="CB24" i="10"/>
  <c r="CA130" i="7" l="1"/>
  <c r="CA131" i="7"/>
  <c r="CA115" i="7"/>
  <c r="CA116" i="7"/>
  <c r="CA40" i="7"/>
  <c r="BZ146" i="11"/>
  <c r="BE150" i="11"/>
  <c r="CB33" i="7"/>
  <c r="CB43" i="7" s="1"/>
  <c r="CB42" i="7"/>
  <c r="CB48" i="7"/>
  <c r="CB58" i="7" s="1"/>
  <c r="CB57" i="7"/>
  <c r="CA19" i="11"/>
  <c r="BE120" i="11"/>
  <c r="BE105" i="11"/>
  <c r="BE93" i="11"/>
  <c r="BE137" i="11" s="1"/>
  <c r="BE112" i="11"/>
  <c r="BE95" i="11"/>
  <c r="BE163" i="11"/>
  <c r="BZ83" i="11"/>
  <c r="BZ84" i="11" s="1"/>
  <c r="BZ108" i="11"/>
  <c r="BZ111" i="11"/>
  <c r="BO119" i="11"/>
  <c r="CA160" i="7"/>
  <c r="CA175" i="7"/>
  <c r="BO162" i="11"/>
  <c r="CA86" i="7"/>
  <c r="CA76" i="11"/>
  <c r="CY78" i="11" s="1"/>
  <c r="CY77" i="11" s="1"/>
  <c r="CC27" i="10"/>
  <c r="CB63" i="7"/>
  <c r="CB73" i="7" s="1"/>
  <c r="CB168" i="7"/>
  <c r="CB174" i="7"/>
  <c r="CB108" i="7"/>
  <c r="CB118" i="7" s="1"/>
  <c r="CB114" i="7"/>
  <c r="CB123" i="7"/>
  <c r="CB133" i="7" s="1"/>
  <c r="CB129" i="7"/>
  <c r="CB153" i="7"/>
  <c r="CB163" i="7" s="1"/>
  <c r="CB159" i="7"/>
  <c r="CB93" i="7"/>
  <c r="CB103" i="7" s="1"/>
  <c r="CB99" i="7"/>
  <c r="CB138" i="7"/>
  <c r="CB144" i="7"/>
  <c r="CB78" i="7"/>
  <c r="CB84" i="7"/>
  <c r="CB214" i="11"/>
  <c r="CB261" i="11" s="1"/>
  <c r="CB18" i="7" s="1"/>
  <c r="CB230" i="11"/>
  <c r="CB131" i="11"/>
  <c r="CB229" i="11"/>
  <c r="CA40" i="11"/>
  <c r="CA42" i="11" s="1"/>
  <c r="CB48" i="10"/>
  <c r="CB39" i="7"/>
  <c r="CA64" i="11"/>
  <c r="CC1" i="7"/>
  <c r="CC1" i="11"/>
  <c r="CC22" i="10"/>
  <c r="CD21" i="10" s="1"/>
  <c r="CB4" i="11"/>
  <c r="CB4" i="7"/>
  <c r="J135" i="3" l="1"/>
  <c r="J136" i="3" s="1"/>
  <c r="K135" i="3"/>
  <c r="K136" i="3" s="1"/>
  <c r="E108" i="7" s="1"/>
  <c r="M135" i="3"/>
  <c r="M134" i="3" s="1"/>
  <c r="L135" i="3"/>
  <c r="L136" i="3" s="1"/>
  <c r="E123" i="7" s="1"/>
  <c r="CB34" i="7"/>
  <c r="CB40" i="7" s="1"/>
  <c r="CB323" i="11"/>
  <c r="CB324" i="11"/>
  <c r="E78" i="7"/>
  <c r="CA148" i="11"/>
  <c r="DE66" i="11"/>
  <c r="DE65" i="11" s="1"/>
  <c r="CA133" i="11"/>
  <c r="CB10" i="11"/>
  <c r="CB15" i="11" s="1"/>
  <c r="CB148" i="7"/>
  <c r="CB169" i="7"/>
  <c r="CB175" i="7" s="1"/>
  <c r="CB178" i="7"/>
  <c r="CB79" i="7"/>
  <c r="CB85" i="7" s="1"/>
  <c r="CB88" i="7"/>
  <c r="CD1" i="7"/>
  <c r="CD1" i="11"/>
  <c r="CB12" i="11"/>
  <c r="CB17" i="11" s="1"/>
  <c r="CB88" i="11" s="1"/>
  <c r="CZ90" i="11" s="1"/>
  <c r="CZ89" i="11" s="1"/>
  <c r="CB11" i="11"/>
  <c r="CB16" i="11" s="1"/>
  <c r="CA146" i="11"/>
  <c r="CB210" i="11"/>
  <c r="CB115" i="11"/>
  <c r="CB35" i="11"/>
  <c r="CB9" i="11"/>
  <c r="CB14" i="11" s="1"/>
  <c r="CB52" i="11" s="1"/>
  <c r="CB8" i="11"/>
  <c r="CB13" i="11" s="1"/>
  <c r="CA110" i="11"/>
  <c r="CA26" i="11"/>
  <c r="CA20" i="11" s="1"/>
  <c r="BE96" i="11"/>
  <c r="CD22" i="10"/>
  <c r="CD27" i="10"/>
  <c r="BF87" i="11"/>
  <c r="H14" i="14"/>
  <c r="BF92" i="11"/>
  <c r="BF142" i="11" s="1"/>
  <c r="BF91" i="11"/>
  <c r="BF155" i="11" s="1"/>
  <c r="CB41" i="7"/>
  <c r="CA149" i="11"/>
  <c r="CB109" i="7"/>
  <c r="CB124" i="7"/>
  <c r="CB154" i="7"/>
  <c r="CB160" i="7" s="1"/>
  <c r="CB285" i="11"/>
  <c r="CB176" i="11"/>
  <c r="CB171" i="11"/>
  <c r="CB176" i="7"/>
  <c r="CB10" i="7"/>
  <c r="CC172" i="7"/>
  <c r="CC173" i="7" s="1"/>
  <c r="CC157" i="7"/>
  <c r="CC158" i="7" s="1"/>
  <c r="CC142" i="7"/>
  <c r="CC143" i="7" s="1"/>
  <c r="CC97" i="7"/>
  <c r="CC98" i="7" s="1"/>
  <c r="CC82" i="7"/>
  <c r="CC83" i="7" s="1"/>
  <c r="CC37" i="7"/>
  <c r="CC38" i="7" s="1"/>
  <c r="CC127" i="7"/>
  <c r="CC128" i="7" s="1"/>
  <c r="CC112" i="7"/>
  <c r="CC113" i="7" s="1"/>
  <c r="BO81" i="11"/>
  <c r="BO136" i="11" s="1"/>
  <c r="CC167" i="7"/>
  <c r="CC177" i="7" s="1"/>
  <c r="CC152" i="7"/>
  <c r="CC162" i="7" s="1"/>
  <c r="CC122" i="7"/>
  <c r="CC132" i="7" s="1"/>
  <c r="CC107" i="7"/>
  <c r="CC117" i="7" s="1"/>
  <c r="CC137" i="7"/>
  <c r="CC147" i="7" s="1"/>
  <c r="CC7" i="7"/>
  <c r="CC77" i="7"/>
  <c r="CC87" i="7" s="1"/>
  <c r="CC32" i="7"/>
  <c r="CC92" i="7"/>
  <c r="CC102" i="7" s="1"/>
  <c r="CC62" i="7"/>
  <c r="CC72" i="7" s="1"/>
  <c r="CC8" i="7"/>
  <c r="CC47" i="7"/>
  <c r="CC57" i="7" s="1"/>
  <c r="CC2" i="11"/>
  <c r="CC39" i="10"/>
  <c r="CC40" i="10"/>
  <c r="CC41" i="10"/>
  <c r="CC42" i="10"/>
  <c r="CC43" i="10"/>
  <c r="CC44" i="10"/>
  <c r="CC45" i="10"/>
  <c r="CC46" i="10"/>
  <c r="CC37" i="10"/>
  <c r="CC38" i="10"/>
  <c r="CC35" i="10"/>
  <c r="CC36" i="10"/>
  <c r="CC2" i="7"/>
  <c r="CC24" i="10"/>
  <c r="CC23" i="10"/>
  <c r="CC19" i="10"/>
  <c r="M138" i="3" l="1"/>
  <c r="E140" i="7" s="1"/>
  <c r="E137" i="7"/>
  <c r="E138" i="7"/>
  <c r="J143" i="7"/>
  <c r="J139" i="7" s="1"/>
  <c r="K143" i="7"/>
  <c r="L143" i="7"/>
  <c r="M143" i="7"/>
  <c r="N143" i="7"/>
  <c r="O143" i="7"/>
  <c r="P143" i="7"/>
  <c r="Q143" i="7"/>
  <c r="R143" i="7"/>
  <c r="S143" i="7"/>
  <c r="T143" i="7"/>
  <c r="U143" i="7"/>
  <c r="V143" i="7"/>
  <c r="W143" i="7"/>
  <c r="X143" i="7"/>
  <c r="Y143" i="7"/>
  <c r="Z143" i="7"/>
  <c r="AA143" i="7"/>
  <c r="AB143" i="7"/>
  <c r="AC143" i="7"/>
  <c r="AD143" i="7"/>
  <c r="AE143" i="7"/>
  <c r="AF143" i="7"/>
  <c r="AG143" i="7"/>
  <c r="AH143" i="7"/>
  <c r="AI143" i="7"/>
  <c r="AJ143" i="7"/>
  <c r="AK143" i="7"/>
  <c r="AL143" i="7"/>
  <c r="AM143" i="7"/>
  <c r="AN143" i="7"/>
  <c r="AO143" i="7"/>
  <c r="AP143" i="7"/>
  <c r="AQ143" i="7"/>
  <c r="AR143" i="7"/>
  <c r="AS143" i="7"/>
  <c r="AT143" i="7"/>
  <c r="AU143" i="7"/>
  <c r="AV143" i="7"/>
  <c r="AW143" i="7"/>
  <c r="AX143" i="7"/>
  <c r="AY143" i="7"/>
  <c r="AZ143" i="7"/>
  <c r="BA143" i="7"/>
  <c r="BB143" i="7"/>
  <c r="BC143" i="7"/>
  <c r="BD143" i="7"/>
  <c r="BE143" i="7"/>
  <c r="BF143" i="7"/>
  <c r="BG143" i="7"/>
  <c r="BH143" i="7"/>
  <c r="BI143" i="7"/>
  <c r="BJ143" i="7"/>
  <c r="BK143" i="7"/>
  <c r="BL143" i="7"/>
  <c r="BM143" i="7"/>
  <c r="BN143" i="7"/>
  <c r="BO143" i="7"/>
  <c r="BP143" i="7"/>
  <c r="BQ143" i="7"/>
  <c r="BR143" i="7"/>
  <c r="BS143" i="7"/>
  <c r="BT143" i="7"/>
  <c r="BU143" i="7"/>
  <c r="BV143" i="7"/>
  <c r="BW143" i="7"/>
  <c r="BX143" i="7"/>
  <c r="BY143" i="7"/>
  <c r="BZ143" i="7"/>
  <c r="CA143" i="7"/>
  <c r="CB143" i="7"/>
  <c r="CB130" i="7"/>
  <c r="CB131" i="7"/>
  <c r="CB115" i="7"/>
  <c r="CB116" i="7"/>
  <c r="AS98" i="7"/>
  <c r="E93" i="7"/>
  <c r="Q98" i="7"/>
  <c r="Y98" i="7"/>
  <c r="AG98" i="7"/>
  <c r="AO98" i="7"/>
  <c r="X98" i="7"/>
  <c r="J98" i="7"/>
  <c r="J94" i="7" s="1"/>
  <c r="J101" i="7" s="1"/>
  <c r="R98" i="7"/>
  <c r="Z98" i="7"/>
  <c r="AH98" i="7"/>
  <c r="AP98" i="7"/>
  <c r="K98" i="7"/>
  <c r="S98" i="7"/>
  <c r="AA98" i="7"/>
  <c r="AI98" i="7"/>
  <c r="AQ98" i="7"/>
  <c r="AN98" i="7"/>
  <c r="L98" i="7"/>
  <c r="T98" i="7"/>
  <c r="AB98" i="7"/>
  <c r="AJ98" i="7"/>
  <c r="AR98" i="7"/>
  <c r="M98" i="7"/>
  <c r="U98" i="7"/>
  <c r="AC98" i="7"/>
  <c r="AK98" i="7"/>
  <c r="N98" i="7"/>
  <c r="V98" i="7"/>
  <c r="AD98" i="7"/>
  <c r="AL98" i="7"/>
  <c r="O98" i="7"/>
  <c r="W98" i="7"/>
  <c r="AE98" i="7"/>
  <c r="AM98" i="7"/>
  <c r="P98" i="7"/>
  <c r="AF98" i="7"/>
  <c r="AT98" i="7"/>
  <c r="AU98" i="7"/>
  <c r="AV98" i="7"/>
  <c r="AW98" i="7"/>
  <c r="AX98" i="7"/>
  <c r="AY98" i="7"/>
  <c r="AZ98" i="7"/>
  <c r="BA98" i="7"/>
  <c r="BB98" i="7"/>
  <c r="BC98" i="7"/>
  <c r="BD98" i="7"/>
  <c r="BE98" i="7"/>
  <c r="BF98" i="7"/>
  <c r="BG98" i="7"/>
  <c r="BH98" i="7"/>
  <c r="BI98" i="7"/>
  <c r="BJ98" i="7"/>
  <c r="BK98" i="7"/>
  <c r="BL98" i="7"/>
  <c r="BM98" i="7"/>
  <c r="BN98" i="7"/>
  <c r="BO98" i="7"/>
  <c r="BP98" i="7"/>
  <c r="BQ98" i="7"/>
  <c r="BR98" i="7"/>
  <c r="BS98" i="7"/>
  <c r="BT98" i="7"/>
  <c r="BU98" i="7"/>
  <c r="BV98" i="7"/>
  <c r="BW98" i="7"/>
  <c r="BX98" i="7"/>
  <c r="BY98" i="7"/>
  <c r="BZ98" i="7"/>
  <c r="CA98" i="7"/>
  <c r="CB98" i="7"/>
  <c r="CC33" i="7"/>
  <c r="CC43" i="7" s="1"/>
  <c r="CC42" i="7"/>
  <c r="CD24" i="10"/>
  <c r="CD2" i="7"/>
  <c r="CD2" i="11"/>
  <c r="CD172" i="7"/>
  <c r="CD173" i="7" s="1"/>
  <c r="CD167" i="7"/>
  <c r="CD177" i="7" s="1"/>
  <c r="CD157" i="7"/>
  <c r="CD158" i="7" s="1"/>
  <c r="CD152" i="7"/>
  <c r="CD162" i="7" s="1"/>
  <c r="CD142" i="7"/>
  <c r="CD143" i="7" s="1"/>
  <c r="CD137" i="7"/>
  <c r="CD147" i="7" s="1"/>
  <c r="CD127" i="7"/>
  <c r="CD128" i="7" s="1"/>
  <c r="CD122" i="7"/>
  <c r="CD132" i="7" s="1"/>
  <c r="CD112" i="7"/>
  <c r="CD113" i="7" s="1"/>
  <c r="CD107" i="7"/>
  <c r="CD117" i="7" s="1"/>
  <c r="CD97" i="7"/>
  <c r="CD98" i="7" s="1"/>
  <c r="CD92" i="7"/>
  <c r="CD102" i="7" s="1"/>
  <c r="CD77" i="7"/>
  <c r="CD87" i="7" s="1"/>
  <c r="CD62" i="7"/>
  <c r="CD72" i="7" s="1"/>
  <c r="CD47" i="7"/>
  <c r="CD37" i="7"/>
  <c r="CD38" i="7" s="1"/>
  <c r="CD32" i="7"/>
  <c r="CD42" i="7" s="1"/>
  <c r="CD7" i="7"/>
  <c r="CD82" i="7"/>
  <c r="CD83" i="7" s="1"/>
  <c r="CD8" i="7"/>
  <c r="CC48" i="7"/>
  <c r="CC58" i="7" s="1"/>
  <c r="CB19" i="11"/>
  <c r="CB64" i="11"/>
  <c r="BP75" i="11"/>
  <c r="BP104" i="11" s="1"/>
  <c r="CE21" i="10"/>
  <c r="CE22" i="10" s="1"/>
  <c r="CF21" i="10" s="1"/>
  <c r="CD19" i="10"/>
  <c r="CD23" i="10"/>
  <c r="CD46" i="10"/>
  <c r="CD45" i="10"/>
  <c r="CD44" i="10"/>
  <c r="CD43" i="10"/>
  <c r="CD42" i="10"/>
  <c r="CD41" i="10"/>
  <c r="CD40" i="10"/>
  <c r="CD39" i="10"/>
  <c r="CD38" i="10"/>
  <c r="CD37" i="10"/>
  <c r="CD36" i="10"/>
  <c r="CD35" i="10"/>
  <c r="BF120" i="11"/>
  <c r="CA108" i="11"/>
  <c r="CA111" i="11"/>
  <c r="CA83" i="11"/>
  <c r="CA84" i="11" s="1"/>
  <c r="CB86" i="7"/>
  <c r="CB40" i="11"/>
  <c r="CB42" i="11" s="1"/>
  <c r="K53" i="7"/>
  <c r="K49" i="7" s="1"/>
  <c r="S53" i="7"/>
  <c r="L53" i="7"/>
  <c r="M53" i="7"/>
  <c r="N53" i="7"/>
  <c r="O53" i="7"/>
  <c r="P53" i="7"/>
  <c r="J55" i="7"/>
  <c r="Q53" i="7"/>
  <c r="R53" i="7"/>
  <c r="P68" i="7"/>
  <c r="N68" i="7"/>
  <c r="J68" i="7"/>
  <c r="J64" i="7" s="1"/>
  <c r="T68" i="7"/>
  <c r="O68" i="7"/>
  <c r="Y68" i="7"/>
  <c r="V68" i="7"/>
  <c r="W68" i="7"/>
  <c r="M68" i="7"/>
  <c r="AA68" i="7"/>
  <c r="R68" i="7"/>
  <c r="U68" i="7"/>
  <c r="Q68" i="7"/>
  <c r="L68" i="7"/>
  <c r="X68" i="7"/>
  <c r="S68" i="7"/>
  <c r="Z68" i="7"/>
  <c r="K68" i="7"/>
  <c r="CC63" i="7"/>
  <c r="CC73" i="7" s="1"/>
  <c r="CC138" i="7"/>
  <c r="CC148" i="7" s="1"/>
  <c r="CC144" i="7"/>
  <c r="CC108" i="7"/>
  <c r="CC114" i="7"/>
  <c r="CC123" i="7"/>
  <c r="CC129" i="7"/>
  <c r="CC93" i="7"/>
  <c r="CC99" i="7"/>
  <c r="CC153" i="7"/>
  <c r="CC163" i="7" s="1"/>
  <c r="CC159" i="7"/>
  <c r="CC168" i="7"/>
  <c r="CC178" i="7" s="1"/>
  <c r="CC174" i="7"/>
  <c r="CC78" i="7"/>
  <c r="CC84" i="7"/>
  <c r="BP79" i="11"/>
  <c r="BP154" i="11" s="1"/>
  <c r="BP80" i="11"/>
  <c r="BP141" i="11" s="1"/>
  <c r="CC131" i="11"/>
  <c r="CC229" i="11"/>
  <c r="CC214" i="11"/>
  <c r="CC261" i="11" s="1"/>
  <c r="CC230" i="11"/>
  <c r="CC48" i="10"/>
  <c r="CC4" i="11"/>
  <c r="CC4" i="7"/>
  <c r="CB76" i="11"/>
  <c r="CZ78" i="11" s="1"/>
  <c r="CZ77" i="11" s="1"/>
  <c r="CC39" i="7"/>
  <c r="J71" i="7" l="1"/>
  <c r="K13" i="7" s="1"/>
  <c r="K185" i="11" s="1"/>
  <c r="K217" i="11" s="1"/>
  <c r="J24" i="7"/>
  <c r="J145" i="7"/>
  <c r="K139" i="7"/>
  <c r="CC324" i="11"/>
  <c r="CC323" i="11"/>
  <c r="CC34" i="7"/>
  <c r="CC41" i="7" s="1"/>
  <c r="J100" i="7"/>
  <c r="K94" i="7"/>
  <c r="K101" i="7" s="1"/>
  <c r="CB148" i="11"/>
  <c r="DF66" i="11"/>
  <c r="DF65" i="11" s="1"/>
  <c r="J14" i="7"/>
  <c r="CB133" i="11"/>
  <c r="BF150" i="11"/>
  <c r="CC103" i="7"/>
  <c r="CC79" i="7"/>
  <c r="CC85" i="7" s="1"/>
  <c r="CC88" i="7"/>
  <c r="CC124" i="7"/>
  <c r="CC133" i="7"/>
  <c r="CC109" i="7"/>
  <c r="CC118" i="7"/>
  <c r="CD48" i="7"/>
  <c r="CD58" i="7" s="1"/>
  <c r="CD57" i="7"/>
  <c r="CE19" i="10"/>
  <c r="CE23" i="10"/>
  <c r="CE4" i="7" s="1"/>
  <c r="CE1" i="7"/>
  <c r="CE1" i="11"/>
  <c r="CD131" i="11"/>
  <c r="CD229" i="11"/>
  <c r="CD84" i="7"/>
  <c r="CD78" i="7"/>
  <c r="CD39" i="7"/>
  <c r="CD33" i="7"/>
  <c r="CD114" i="7"/>
  <c r="CD108" i="7"/>
  <c r="CD174" i="7"/>
  <c r="CD168" i="7"/>
  <c r="CD178" i="7" s="1"/>
  <c r="CD159" i="7"/>
  <c r="CD153" i="7"/>
  <c r="CD163" i="7" s="1"/>
  <c r="CE24" i="10"/>
  <c r="CD4" i="7"/>
  <c r="CD4" i="11"/>
  <c r="CD129" i="7"/>
  <c r="CD123" i="7"/>
  <c r="CD230" i="11"/>
  <c r="CD214" i="11"/>
  <c r="CD261" i="11" s="1"/>
  <c r="CD18" i="7" s="1"/>
  <c r="CE27" i="10"/>
  <c r="CD63" i="7"/>
  <c r="CD73" i="7" s="1"/>
  <c r="CF1" i="7"/>
  <c r="CF1" i="11"/>
  <c r="CD99" i="7"/>
  <c r="CD93" i="7"/>
  <c r="CE2" i="7"/>
  <c r="CE2" i="11"/>
  <c r="CD144" i="7"/>
  <c r="CD138" i="7"/>
  <c r="CD148" i="7" s="1"/>
  <c r="CB110" i="11"/>
  <c r="CC12" i="11"/>
  <c r="CC17" i="11" s="1"/>
  <c r="CB26" i="11"/>
  <c r="CB20" i="11" s="1"/>
  <c r="CC11" i="11"/>
  <c r="CC16" i="11" s="1"/>
  <c r="CB146" i="11"/>
  <c r="CC210" i="11"/>
  <c r="CC176" i="11"/>
  <c r="CC171" i="11"/>
  <c r="CC115" i="11"/>
  <c r="CC35" i="11"/>
  <c r="CC10" i="11"/>
  <c r="CC15" i="11" s="1"/>
  <c r="CC9" i="11"/>
  <c r="CC14" i="11" s="1"/>
  <c r="CC8" i="11"/>
  <c r="CC13" i="11" s="1"/>
  <c r="CC18" i="7"/>
  <c r="CF22" i="10"/>
  <c r="CG21" i="10" s="1"/>
  <c r="CF27" i="10"/>
  <c r="CD48" i="10"/>
  <c r="CE46" i="10"/>
  <c r="CE45" i="10"/>
  <c r="CE44" i="10"/>
  <c r="CE43" i="10"/>
  <c r="CE42" i="10"/>
  <c r="CE41" i="10"/>
  <c r="CE40" i="10"/>
  <c r="CE39" i="10"/>
  <c r="CE38" i="10"/>
  <c r="CE37" i="10"/>
  <c r="CE36" i="10"/>
  <c r="CE35" i="10"/>
  <c r="BF93" i="11"/>
  <c r="BF137" i="11" s="1"/>
  <c r="BF105" i="11"/>
  <c r="BF112" i="11"/>
  <c r="BF95" i="11"/>
  <c r="BF163" i="11"/>
  <c r="CB149" i="11"/>
  <c r="BP119" i="11"/>
  <c r="K64" i="7"/>
  <c r="CC169" i="7"/>
  <c r="CC154" i="7"/>
  <c r="L49" i="7"/>
  <c r="K56" i="7"/>
  <c r="BP162" i="11"/>
  <c r="CC285" i="11"/>
  <c r="L11" i="7"/>
  <c r="L216" i="11" s="1"/>
  <c r="R11" i="7"/>
  <c r="R216" i="11" s="1"/>
  <c r="K11" i="7"/>
  <c r="K216" i="11" s="1"/>
  <c r="K55" i="7"/>
  <c r="Q11" i="7"/>
  <c r="Q216" i="11" s="1"/>
  <c r="S11" i="7"/>
  <c r="S216" i="11" s="1"/>
  <c r="O11" i="7"/>
  <c r="O216" i="11" s="1"/>
  <c r="M11" i="7"/>
  <c r="M216" i="11" s="1"/>
  <c r="P11" i="7"/>
  <c r="P216" i="11" s="1"/>
  <c r="N11" i="7"/>
  <c r="N216" i="11" s="1"/>
  <c r="E62" i="7"/>
  <c r="V62" i="7" s="1"/>
  <c r="E65" i="7"/>
  <c r="J11" i="7"/>
  <c r="J216" i="11" s="1"/>
  <c r="J70" i="7"/>
  <c r="CC176" i="7"/>
  <c r="CC10" i="7"/>
  <c r="BP81" i="11"/>
  <c r="BP136" i="11" s="1"/>
  <c r="AB67" i="7" l="1"/>
  <c r="AB68" i="7" s="1"/>
  <c r="AC67" i="7"/>
  <c r="AC68" i="7" s="1"/>
  <c r="AD67" i="7"/>
  <c r="AD68" i="7" s="1"/>
  <c r="AE67" i="7"/>
  <c r="AE68" i="7" s="1"/>
  <c r="AF67" i="7"/>
  <c r="AF68" i="7" s="1"/>
  <c r="AG67" i="7"/>
  <c r="AG68" i="7" s="1"/>
  <c r="AH67" i="7"/>
  <c r="AH68" i="7" s="1"/>
  <c r="AI67" i="7"/>
  <c r="AI68" i="7" s="1"/>
  <c r="AJ67" i="7"/>
  <c r="AJ68" i="7" s="1"/>
  <c r="AK67" i="7"/>
  <c r="AK68" i="7" s="1"/>
  <c r="AL67" i="7"/>
  <c r="AL68" i="7" s="1"/>
  <c r="AM67" i="7"/>
  <c r="AM68" i="7" s="1"/>
  <c r="V72" i="7"/>
  <c r="V69" i="7"/>
  <c r="V63" i="7"/>
  <c r="W69" i="7"/>
  <c r="X69" i="7"/>
  <c r="Y69" i="7"/>
  <c r="Z69" i="7"/>
  <c r="AA69" i="7"/>
  <c r="AB69" i="7"/>
  <c r="AC69" i="7"/>
  <c r="AD69" i="7"/>
  <c r="AE69" i="7"/>
  <c r="AF69" i="7"/>
  <c r="AG69" i="7"/>
  <c r="K145" i="7"/>
  <c r="L139" i="7"/>
  <c r="CC130" i="7"/>
  <c r="CC131" i="7"/>
  <c r="CC115" i="7"/>
  <c r="CC116" i="7"/>
  <c r="J12" i="7"/>
  <c r="BF62" i="7"/>
  <c r="AH62" i="7"/>
  <c r="CD67" i="7"/>
  <c r="CD68" i="7" s="1"/>
  <c r="AN67" i="7"/>
  <c r="AN68" i="7" s="1"/>
  <c r="AO67" i="7"/>
  <c r="AO68" i="7" s="1"/>
  <c r="AP67" i="7"/>
  <c r="AP68" i="7" s="1"/>
  <c r="AQ67" i="7"/>
  <c r="AQ68" i="7" s="1"/>
  <c r="AR67" i="7"/>
  <c r="AR68" i="7" s="1"/>
  <c r="AS67" i="7"/>
  <c r="AS68" i="7" s="1"/>
  <c r="AT67" i="7"/>
  <c r="AT68" i="7" s="1"/>
  <c r="AU67" i="7"/>
  <c r="AU68" i="7" s="1"/>
  <c r="AV67" i="7"/>
  <c r="AV68" i="7" s="1"/>
  <c r="AW67" i="7"/>
  <c r="AW68" i="7" s="1"/>
  <c r="AX67" i="7"/>
  <c r="AX68" i="7" s="1"/>
  <c r="AY67" i="7"/>
  <c r="AY68" i="7" s="1"/>
  <c r="AZ67" i="7"/>
  <c r="AZ68" i="7" s="1"/>
  <c r="BA67" i="7"/>
  <c r="BA68" i="7" s="1"/>
  <c r="BB67" i="7"/>
  <c r="BB68" i="7" s="1"/>
  <c r="BC67" i="7"/>
  <c r="BC68" i="7" s="1"/>
  <c r="BD67" i="7"/>
  <c r="BD68" i="7" s="1"/>
  <c r="BE67" i="7"/>
  <c r="BE68" i="7" s="1"/>
  <c r="BF67" i="7"/>
  <c r="BF68" i="7" s="1"/>
  <c r="BG67" i="7"/>
  <c r="BG68" i="7" s="1"/>
  <c r="BH67" i="7"/>
  <c r="BH68" i="7" s="1"/>
  <c r="BI67" i="7"/>
  <c r="BI68" i="7" s="1"/>
  <c r="BJ67" i="7"/>
  <c r="BJ68" i="7" s="1"/>
  <c r="BK67" i="7"/>
  <c r="BK68" i="7" s="1"/>
  <c r="BL67" i="7"/>
  <c r="BL68" i="7" s="1"/>
  <c r="BM67" i="7"/>
  <c r="BM68" i="7" s="1"/>
  <c r="BN67" i="7"/>
  <c r="BN68" i="7" s="1"/>
  <c r="BO67" i="7"/>
  <c r="BO68" i="7" s="1"/>
  <c r="BP67" i="7"/>
  <c r="BP68" i="7" s="1"/>
  <c r="BQ67" i="7"/>
  <c r="BQ68" i="7" s="1"/>
  <c r="BR67" i="7"/>
  <c r="BR68" i="7" s="1"/>
  <c r="BS67" i="7"/>
  <c r="BS68" i="7" s="1"/>
  <c r="BT67" i="7"/>
  <c r="BT68" i="7" s="1"/>
  <c r="BU67" i="7"/>
  <c r="BU68" i="7" s="1"/>
  <c r="BV67" i="7"/>
  <c r="BV68" i="7" s="1"/>
  <c r="BW67" i="7"/>
  <c r="BW68" i="7" s="1"/>
  <c r="BX67" i="7"/>
  <c r="BX68" i="7" s="1"/>
  <c r="BY67" i="7"/>
  <c r="BY68" i="7" s="1"/>
  <c r="BZ67" i="7"/>
  <c r="BZ68" i="7" s="1"/>
  <c r="CA67" i="7"/>
  <c r="CA68" i="7" s="1"/>
  <c r="CB67" i="7"/>
  <c r="CB68" i="7" s="1"/>
  <c r="CC67" i="7"/>
  <c r="CC68" i="7" s="1"/>
  <c r="L64" i="7"/>
  <c r="K71" i="7"/>
  <c r="L13" i="7" s="1"/>
  <c r="L185" i="11" s="1"/>
  <c r="L217" i="11" s="1"/>
  <c r="CD323" i="11"/>
  <c r="CD324" i="11"/>
  <c r="CC40" i="7"/>
  <c r="CD8" i="11"/>
  <c r="CD13" i="11" s="1"/>
  <c r="CD40" i="11" s="1"/>
  <c r="CD42" i="11" s="1"/>
  <c r="K100" i="7"/>
  <c r="L94" i="7"/>
  <c r="L101" i="7" s="1"/>
  <c r="N47" i="7"/>
  <c r="N57" i="7" s="1"/>
  <c r="K24" i="7"/>
  <c r="BF63" i="7"/>
  <c r="CD103" i="7"/>
  <c r="CD124" i="7"/>
  <c r="CD133" i="7"/>
  <c r="CD109" i="7"/>
  <c r="CD118" i="7"/>
  <c r="CD34" i="7"/>
  <c r="CD43" i="7"/>
  <c r="CD79" i="7"/>
  <c r="CD86" i="7" s="1"/>
  <c r="CD88" i="7"/>
  <c r="K14" i="7"/>
  <c r="T52" i="7"/>
  <c r="T53" i="7" s="1"/>
  <c r="T11" i="7" s="1"/>
  <c r="T216" i="11" s="1"/>
  <c r="U52" i="7"/>
  <c r="U53" i="7" s="1"/>
  <c r="U11" i="7" s="1"/>
  <c r="U216" i="11" s="1"/>
  <c r="V52" i="7"/>
  <c r="V53" i="7" s="1"/>
  <c r="V11" i="7" s="1"/>
  <c r="V216" i="11" s="1"/>
  <c r="W52" i="7"/>
  <c r="W53" i="7" s="1"/>
  <c r="W11" i="7" s="1"/>
  <c r="W216" i="11" s="1"/>
  <c r="X52" i="7"/>
  <c r="X53" i="7" s="1"/>
  <c r="X11" i="7" s="1"/>
  <c r="X216" i="11" s="1"/>
  <c r="Y52" i="7"/>
  <c r="Y53" i="7" s="1"/>
  <c r="Y11" i="7" s="1"/>
  <c r="Y216" i="11" s="1"/>
  <c r="Z52" i="7"/>
  <c r="Z53" i="7" s="1"/>
  <c r="Z11" i="7" s="1"/>
  <c r="Z216" i="11" s="1"/>
  <c r="AA52" i="7"/>
  <c r="AA53" i="7" s="1"/>
  <c r="AA11" i="7" s="1"/>
  <c r="AA216" i="11" s="1"/>
  <c r="AB52" i="7"/>
  <c r="AB53" i="7" s="1"/>
  <c r="AB11" i="7" s="1"/>
  <c r="AB216" i="11" s="1"/>
  <c r="AC52" i="7"/>
  <c r="AC53" i="7" s="1"/>
  <c r="AC11" i="7" s="1"/>
  <c r="AC216" i="11" s="1"/>
  <c r="AD52" i="7"/>
  <c r="AD53" i="7" s="1"/>
  <c r="AD11" i="7" s="1"/>
  <c r="AD216" i="11" s="1"/>
  <c r="AE52" i="7"/>
  <c r="AE53" i="7" s="1"/>
  <c r="AE11" i="7" s="1"/>
  <c r="AE216" i="11" s="1"/>
  <c r="AL47" i="7"/>
  <c r="AL57" i="7" s="1"/>
  <c r="Z47" i="7"/>
  <c r="Z57" i="7" s="1"/>
  <c r="AF52" i="7"/>
  <c r="AF53" i="7" s="1"/>
  <c r="AF11" i="7" s="1"/>
  <c r="AF216" i="11" s="1"/>
  <c r="AG52" i="7"/>
  <c r="AG53" i="7" s="1"/>
  <c r="AG11" i="7" s="1"/>
  <c r="AG216" i="11" s="1"/>
  <c r="AH52" i="7"/>
  <c r="AH53" i="7" s="1"/>
  <c r="AH11" i="7" s="1"/>
  <c r="AH216" i="11" s="1"/>
  <c r="AI52" i="7"/>
  <c r="AI53" i="7" s="1"/>
  <c r="AI11" i="7" s="1"/>
  <c r="AI216" i="11" s="1"/>
  <c r="AJ52" i="7"/>
  <c r="AJ53" i="7" s="1"/>
  <c r="AJ11" i="7" s="1"/>
  <c r="AJ216" i="11" s="1"/>
  <c r="AK52" i="7"/>
  <c r="AK53" i="7" s="1"/>
  <c r="AK11" i="7" s="1"/>
  <c r="AK216" i="11" s="1"/>
  <c r="AL52" i="7"/>
  <c r="AL53" i="7" s="1"/>
  <c r="AL11" i="7" s="1"/>
  <c r="AL216" i="11" s="1"/>
  <c r="AM52" i="7"/>
  <c r="AM53" i="7" s="1"/>
  <c r="AM11" i="7" s="1"/>
  <c r="AM216" i="11" s="1"/>
  <c r="CE4" i="11"/>
  <c r="CF19" i="10"/>
  <c r="CD285" i="11"/>
  <c r="CF23" i="10"/>
  <c r="CF4" i="7" s="1"/>
  <c r="CF24" i="10"/>
  <c r="CF97" i="7"/>
  <c r="CF98" i="7" s="1"/>
  <c r="CF92" i="7"/>
  <c r="CF102" i="7" s="1"/>
  <c r="CF82" i="7"/>
  <c r="CF83" i="7" s="1"/>
  <c r="CF77" i="7"/>
  <c r="CF87" i="7" s="1"/>
  <c r="CF172" i="7"/>
  <c r="CF173" i="7" s="1"/>
  <c r="CF167" i="7"/>
  <c r="CF177" i="7" s="1"/>
  <c r="CF157" i="7"/>
  <c r="CF158" i="7" s="1"/>
  <c r="CF152" i="7"/>
  <c r="CF162" i="7" s="1"/>
  <c r="CF142" i="7"/>
  <c r="CF143" i="7" s="1"/>
  <c r="CF137" i="7"/>
  <c r="CF147" i="7" s="1"/>
  <c r="CF127" i="7"/>
  <c r="CF128" i="7" s="1"/>
  <c r="CF122" i="7"/>
  <c r="CF132" i="7" s="1"/>
  <c r="CF112" i="7"/>
  <c r="CF113" i="7" s="1"/>
  <c r="CF107" i="7"/>
  <c r="CF117" i="7" s="1"/>
  <c r="CF7" i="7"/>
  <c r="CF67" i="7"/>
  <c r="CF68" i="7" s="1"/>
  <c r="CF62" i="7"/>
  <c r="CF72" i="7" s="1"/>
  <c r="CF47" i="7"/>
  <c r="CF37" i="7"/>
  <c r="CF38" i="7" s="1"/>
  <c r="CF32" i="7"/>
  <c r="CF42" i="7" s="1"/>
  <c r="CF8" i="7"/>
  <c r="CG1" i="7"/>
  <c r="CG1" i="11"/>
  <c r="CD210" i="11"/>
  <c r="CD176" i="11"/>
  <c r="CD171" i="11"/>
  <c r="CD115" i="11"/>
  <c r="CD35" i="11"/>
  <c r="CF2" i="7"/>
  <c r="CF2" i="11"/>
  <c r="CD10" i="7"/>
  <c r="CE157" i="7"/>
  <c r="CE158" i="7" s="1"/>
  <c r="CE152" i="7"/>
  <c r="CE162" i="7" s="1"/>
  <c r="CE142" i="7"/>
  <c r="CE143" i="7" s="1"/>
  <c r="CE137" i="7"/>
  <c r="CE147" i="7" s="1"/>
  <c r="CE127" i="7"/>
  <c r="CE128" i="7" s="1"/>
  <c r="CE122" i="7"/>
  <c r="CE132" i="7" s="1"/>
  <c r="CE112" i="7"/>
  <c r="CE113" i="7" s="1"/>
  <c r="CE107" i="7"/>
  <c r="CE117" i="7" s="1"/>
  <c r="CE97" i="7"/>
  <c r="CE98" i="7" s="1"/>
  <c r="CE92" i="7"/>
  <c r="CE102" i="7" s="1"/>
  <c r="CE82" i="7"/>
  <c r="CE83" i="7" s="1"/>
  <c r="CE77" i="7"/>
  <c r="CE87" i="7" s="1"/>
  <c r="CE172" i="7"/>
  <c r="CE173" i="7" s="1"/>
  <c r="CE167" i="7"/>
  <c r="CE177" i="7" s="1"/>
  <c r="CE8" i="7"/>
  <c r="CE67" i="7"/>
  <c r="CE68" i="7" s="1"/>
  <c r="CE62" i="7"/>
  <c r="CE72" i="7" s="1"/>
  <c r="CE47" i="7"/>
  <c r="CE37" i="7"/>
  <c r="CE38" i="7" s="1"/>
  <c r="CE32" i="7"/>
  <c r="CE42" i="7" s="1"/>
  <c r="CE7" i="7"/>
  <c r="CC19" i="11"/>
  <c r="BF96" i="11"/>
  <c r="BQ75" i="11"/>
  <c r="BQ104" i="11" s="1"/>
  <c r="E22" i="14"/>
  <c r="CD11" i="11"/>
  <c r="CD16" i="11" s="1"/>
  <c r="CD9" i="11"/>
  <c r="CD14" i="11" s="1"/>
  <c r="CD10" i="11"/>
  <c r="CD15" i="11" s="1"/>
  <c r="CC88" i="11"/>
  <c r="DA90" i="11" s="1"/>
  <c r="DA89" i="11" s="1"/>
  <c r="CD12" i="11"/>
  <c r="CD17" i="11" s="1"/>
  <c r="CC175" i="7"/>
  <c r="CD169" i="7"/>
  <c r="CC160" i="7"/>
  <c r="CD154" i="7"/>
  <c r="M194" i="2"/>
  <c r="CE48" i="10"/>
  <c r="CG22" i="10"/>
  <c r="CG23" i="10" s="1"/>
  <c r="CG27" i="10"/>
  <c r="CF46" i="10"/>
  <c r="CF45" i="10"/>
  <c r="CF44" i="10"/>
  <c r="CF43" i="10"/>
  <c r="CF42" i="10"/>
  <c r="CF41" i="10"/>
  <c r="CF40" i="10"/>
  <c r="CF39" i="10"/>
  <c r="CF38" i="10"/>
  <c r="CF37" i="10"/>
  <c r="CF35" i="10"/>
  <c r="CF36" i="10"/>
  <c r="BK62" i="7"/>
  <c r="BK72" i="7" s="1"/>
  <c r="BR62" i="7"/>
  <c r="BG92" i="11"/>
  <c r="BG142" i="11" s="1"/>
  <c r="BG87" i="11"/>
  <c r="BG91" i="11"/>
  <c r="BG155" i="11" s="1"/>
  <c r="CB108" i="11"/>
  <c r="CB111" i="11"/>
  <c r="CB83" i="11"/>
  <c r="CB84" i="11" s="1"/>
  <c r="M49" i="7"/>
  <c r="L56" i="7"/>
  <c r="F26" i="14"/>
  <c r="G26" i="14"/>
  <c r="H26" i="14"/>
  <c r="I26" i="14"/>
  <c r="J26" i="14"/>
  <c r="F22" i="14"/>
  <c r="G22" i="14"/>
  <c r="H22" i="14"/>
  <c r="I22" i="14"/>
  <c r="J22" i="14"/>
  <c r="CC52" i="11"/>
  <c r="F23" i="14"/>
  <c r="G23" i="14"/>
  <c r="H23" i="14"/>
  <c r="I23" i="14"/>
  <c r="J23" i="14"/>
  <c r="CC64" i="11"/>
  <c r="F24" i="14"/>
  <c r="G24" i="14"/>
  <c r="H24" i="14"/>
  <c r="I24" i="14"/>
  <c r="J24" i="14"/>
  <c r="CC76" i="11"/>
  <c r="DA78" i="11" s="1"/>
  <c r="DA77" i="11" s="1"/>
  <c r="F25" i="14"/>
  <c r="G25" i="14"/>
  <c r="H25" i="14"/>
  <c r="I25" i="14"/>
  <c r="J25" i="14"/>
  <c r="CC86" i="7"/>
  <c r="L55" i="7"/>
  <c r="K70" i="7"/>
  <c r="BQ79" i="11"/>
  <c r="BQ154" i="11" s="1"/>
  <c r="BQ80" i="11"/>
  <c r="BQ141" i="11" s="1"/>
  <c r="CC40" i="11"/>
  <c r="CC42" i="11" s="1"/>
  <c r="V73" i="7" l="1"/>
  <c r="V10" i="7"/>
  <c r="L145" i="7"/>
  <c r="M139" i="7"/>
  <c r="CD130" i="7"/>
  <c r="CD131" i="7"/>
  <c r="CD115" i="7"/>
  <c r="CD116" i="7"/>
  <c r="BJ69" i="7"/>
  <c r="BF72" i="7"/>
  <c r="BI69" i="7"/>
  <c r="BH69" i="7"/>
  <c r="L24" i="7"/>
  <c r="BG69" i="7"/>
  <c r="M64" i="7"/>
  <c r="L71" i="7"/>
  <c r="M13" i="7" s="1"/>
  <c r="M185" i="11" s="1"/>
  <c r="M217" i="11" s="1"/>
  <c r="BF69" i="7"/>
  <c r="AH72" i="7"/>
  <c r="AH63" i="7"/>
  <c r="AH69" i="7"/>
  <c r="AI69" i="7"/>
  <c r="AJ69" i="7"/>
  <c r="AK69" i="7"/>
  <c r="AL69" i="7"/>
  <c r="AM69" i="7"/>
  <c r="AN69" i="7"/>
  <c r="AO69" i="7"/>
  <c r="AP69" i="7"/>
  <c r="AQ69" i="7"/>
  <c r="AR69" i="7"/>
  <c r="AS69" i="7"/>
  <c r="AT69" i="7"/>
  <c r="AU69" i="7"/>
  <c r="AV69" i="7"/>
  <c r="AW69" i="7"/>
  <c r="AX69" i="7"/>
  <c r="AY69" i="7"/>
  <c r="AZ69" i="7"/>
  <c r="BA69" i="7"/>
  <c r="BB69" i="7"/>
  <c r="BC69" i="7"/>
  <c r="BD69" i="7"/>
  <c r="BE69" i="7"/>
  <c r="K12" i="7"/>
  <c r="CE12" i="11"/>
  <c r="CE17" i="11" s="1"/>
  <c r="N54" i="7"/>
  <c r="CE115" i="11"/>
  <c r="CE116" i="11" s="1"/>
  <c r="CE323" i="11"/>
  <c r="CE324" i="11"/>
  <c r="O54" i="7"/>
  <c r="N48" i="7"/>
  <c r="N58" i="7" s="1"/>
  <c r="S54" i="7"/>
  <c r="L100" i="7"/>
  <c r="M94" i="7"/>
  <c r="M101" i="7" s="1"/>
  <c r="R54" i="7"/>
  <c r="Q54" i="7"/>
  <c r="P54" i="7"/>
  <c r="CC148" i="11"/>
  <c r="DG66" i="11"/>
  <c r="DG65" i="11" s="1"/>
  <c r="CD85" i="7"/>
  <c r="BK63" i="7"/>
  <c r="BK73" i="7" s="1"/>
  <c r="CD40" i="7"/>
  <c r="CD41" i="7"/>
  <c r="BF73" i="7"/>
  <c r="BF10" i="7"/>
  <c r="CE210" i="11"/>
  <c r="CE211" i="11" s="1"/>
  <c r="CC133" i="11"/>
  <c r="BR63" i="7"/>
  <c r="BR10" i="7" s="1"/>
  <c r="BR72" i="7"/>
  <c r="CE48" i="7"/>
  <c r="CE58" i="7" s="1"/>
  <c r="CE57" i="7"/>
  <c r="CF48" i="7"/>
  <c r="CF58" i="7" s="1"/>
  <c r="CF57" i="7"/>
  <c r="CE10" i="11"/>
  <c r="CE15" i="11" s="1"/>
  <c r="CE9" i="11"/>
  <c r="CE14" i="11" s="1"/>
  <c r="CE35" i="11"/>
  <c r="CE11" i="11"/>
  <c r="CE16" i="11" s="1"/>
  <c r="CE176" i="11"/>
  <c r="CE171" i="11"/>
  <c r="CE8" i="11"/>
  <c r="CE13" i="11" s="1"/>
  <c r="CE40" i="11" s="1"/>
  <c r="CE42" i="11" s="1"/>
  <c r="BZ69" i="7"/>
  <c r="T54" i="7"/>
  <c r="BR69" i="7"/>
  <c r="AL48" i="7"/>
  <c r="Y54" i="7"/>
  <c r="X54" i="7"/>
  <c r="W54" i="7"/>
  <c r="V54" i="7"/>
  <c r="U54" i="7"/>
  <c r="CF4" i="11"/>
  <c r="Z48" i="7"/>
  <c r="Z54" i="7"/>
  <c r="AA54" i="7"/>
  <c r="AB54" i="7"/>
  <c r="AC54" i="7"/>
  <c r="AD54" i="7"/>
  <c r="AE54" i="7"/>
  <c r="AF54" i="7"/>
  <c r="AG54" i="7"/>
  <c r="CD69" i="7"/>
  <c r="BY69" i="7"/>
  <c r="BQ69" i="7"/>
  <c r="BP69" i="7"/>
  <c r="BW69" i="7"/>
  <c r="BO69" i="7"/>
  <c r="BV69" i="7"/>
  <c r="BN69" i="7"/>
  <c r="CC69" i="7"/>
  <c r="BU69" i="7"/>
  <c r="BM69" i="7"/>
  <c r="BX69" i="7"/>
  <c r="CB69" i="7"/>
  <c r="BT69" i="7"/>
  <c r="BK69" i="7"/>
  <c r="CA69" i="7"/>
  <c r="BS69" i="7"/>
  <c r="BL69" i="7"/>
  <c r="CH21" i="10"/>
  <c r="CH1" i="11" s="1"/>
  <c r="CG19" i="10"/>
  <c r="CG4" i="11"/>
  <c r="CG4" i="7"/>
  <c r="CE214" i="11"/>
  <c r="CE230" i="11"/>
  <c r="CF131" i="11"/>
  <c r="CF229" i="11"/>
  <c r="CE174" i="7"/>
  <c r="CE168" i="7"/>
  <c r="CE129" i="7"/>
  <c r="CE123" i="7"/>
  <c r="CG172" i="7"/>
  <c r="CG173" i="7" s="1"/>
  <c r="CG167" i="7"/>
  <c r="CG177" i="7" s="1"/>
  <c r="CG157" i="7"/>
  <c r="CG158" i="7" s="1"/>
  <c r="CG152" i="7"/>
  <c r="CG162" i="7" s="1"/>
  <c r="CG142" i="7"/>
  <c r="CG143" i="7" s="1"/>
  <c r="CG137" i="7"/>
  <c r="CG147" i="7" s="1"/>
  <c r="CG97" i="7"/>
  <c r="CG98" i="7" s="1"/>
  <c r="CG92" i="7"/>
  <c r="CG102" i="7" s="1"/>
  <c r="CG82" i="7"/>
  <c r="CG83" i="7" s="1"/>
  <c r="CG112" i="7"/>
  <c r="CG113" i="7" s="1"/>
  <c r="CG122" i="7"/>
  <c r="CG132" i="7" s="1"/>
  <c r="CG7" i="7"/>
  <c r="CG127" i="7"/>
  <c r="CG128" i="7" s="1"/>
  <c r="CG67" i="7"/>
  <c r="CG68" i="7" s="1"/>
  <c r="CG62" i="7"/>
  <c r="CG72" i="7" s="1"/>
  <c r="CG47" i="7"/>
  <c r="CG37" i="7"/>
  <c r="CG38" i="7" s="1"/>
  <c r="CG32" i="7"/>
  <c r="CG42" i="7" s="1"/>
  <c r="CG8" i="7"/>
  <c r="CG107" i="7"/>
  <c r="CG117" i="7" s="1"/>
  <c r="CG77" i="7"/>
  <c r="CG87" i="7" s="1"/>
  <c r="CF114" i="7"/>
  <c r="CF108" i="7"/>
  <c r="CF118" i="7" s="1"/>
  <c r="CF174" i="7"/>
  <c r="CF168" i="7"/>
  <c r="CF178" i="7" s="1"/>
  <c r="CD215" i="11"/>
  <c r="CD231" i="11"/>
  <c r="CE229" i="11"/>
  <c r="CE131" i="11"/>
  <c r="CD211" i="11"/>
  <c r="CD237" i="11"/>
  <c r="CF230" i="11"/>
  <c r="CF214" i="11"/>
  <c r="CE114" i="7"/>
  <c r="CE108" i="7"/>
  <c r="CE39" i="7"/>
  <c r="CE33" i="7"/>
  <c r="CE43" i="7" s="1"/>
  <c r="CE84" i="7"/>
  <c r="CE78" i="7"/>
  <c r="CE144" i="7"/>
  <c r="CE138" i="7"/>
  <c r="CF39" i="7"/>
  <c r="CF33" i="7"/>
  <c r="CF43" i="7" s="1"/>
  <c r="CF129" i="7"/>
  <c r="CF123" i="7"/>
  <c r="CF133" i="7" s="1"/>
  <c r="CF84" i="7"/>
  <c r="CF78" i="7"/>
  <c r="CF88" i="7" s="1"/>
  <c r="CF159" i="7"/>
  <c r="CF153" i="7"/>
  <c r="CF163" i="7" s="1"/>
  <c r="CG2" i="7"/>
  <c r="CG2" i="11"/>
  <c r="CD116" i="11"/>
  <c r="CD151" i="11"/>
  <c r="CG24" i="10"/>
  <c r="CE99" i="7"/>
  <c r="CE93" i="7"/>
  <c r="CE159" i="7"/>
  <c r="CE153" i="7"/>
  <c r="CF144" i="7"/>
  <c r="CF138" i="7"/>
  <c r="CF148" i="7" s="1"/>
  <c r="CF99" i="7"/>
  <c r="CF93" i="7"/>
  <c r="CF103" i="7" s="1"/>
  <c r="CE69" i="7"/>
  <c r="CE63" i="7"/>
  <c r="CE73" i="7" s="1"/>
  <c r="CF69" i="7"/>
  <c r="CF63" i="7"/>
  <c r="CF73" i="7" s="1"/>
  <c r="CD133" i="11"/>
  <c r="CD146" i="11"/>
  <c r="CD47" i="11"/>
  <c r="CC110" i="11"/>
  <c r="CC26" i="11"/>
  <c r="CD108" i="11"/>
  <c r="E24" i="14"/>
  <c r="E23" i="14"/>
  <c r="E25" i="14"/>
  <c r="E26" i="14"/>
  <c r="CD175" i="7"/>
  <c r="CD160" i="7"/>
  <c r="CF48" i="10"/>
  <c r="CG44" i="10"/>
  <c r="CG42" i="10"/>
  <c r="CG40" i="10"/>
  <c r="CG38" i="10"/>
  <c r="CG35" i="10"/>
  <c r="CG45" i="10"/>
  <c r="CG46" i="10"/>
  <c r="CG43" i="10"/>
  <c r="CG41" i="10"/>
  <c r="CG39" i="10"/>
  <c r="CG37" i="10"/>
  <c r="CG36" i="10"/>
  <c r="BG120" i="11"/>
  <c r="CC149" i="11"/>
  <c r="BQ119" i="11"/>
  <c r="M56" i="7"/>
  <c r="BQ162" i="11"/>
  <c r="M55" i="7"/>
  <c r="J30" i="14"/>
  <c r="H50" i="14" s="1"/>
  <c r="H30" i="14"/>
  <c r="H48" i="14" s="1"/>
  <c r="F30" i="14"/>
  <c r="H46" i="14" s="1"/>
  <c r="I28" i="14"/>
  <c r="F49" i="14" s="1"/>
  <c r="G27" i="14"/>
  <c r="E47" i="14" s="1"/>
  <c r="J29" i="14"/>
  <c r="G50" i="14" s="1"/>
  <c r="H28" i="14"/>
  <c r="F48" i="14" s="1"/>
  <c r="F27" i="14"/>
  <c r="E46" i="14" s="1"/>
  <c r="I29" i="14"/>
  <c r="G49" i="14" s="1"/>
  <c r="G28" i="14"/>
  <c r="F47" i="14" s="1"/>
  <c r="J31" i="14"/>
  <c r="I50" i="14" s="1"/>
  <c r="H29" i="14"/>
  <c r="G48" i="14" s="1"/>
  <c r="F28" i="14"/>
  <c r="F46" i="14" s="1"/>
  <c r="I31" i="14"/>
  <c r="I49" i="14" s="1"/>
  <c r="I30" i="14"/>
  <c r="H49" i="14" s="1"/>
  <c r="G29" i="14"/>
  <c r="G47" i="14" s="1"/>
  <c r="H31" i="14"/>
  <c r="I48" i="14" s="1"/>
  <c r="F29" i="14"/>
  <c r="G46" i="14" s="1"/>
  <c r="J27" i="14"/>
  <c r="E50" i="14" s="1"/>
  <c r="G31" i="14"/>
  <c r="I47" i="14" s="1"/>
  <c r="G30" i="14"/>
  <c r="H47" i="14" s="1"/>
  <c r="I27" i="14"/>
  <c r="E49" i="14" s="1"/>
  <c r="F31" i="14"/>
  <c r="I46" i="14" s="1"/>
  <c r="J28" i="14"/>
  <c r="F50" i="14" s="1"/>
  <c r="H27" i="14"/>
  <c r="E48" i="14" s="1"/>
  <c r="L70" i="7"/>
  <c r="CC146" i="11"/>
  <c r="M145" i="7" l="1"/>
  <c r="N139" i="7"/>
  <c r="CE151" i="11"/>
  <c r="AH73" i="7"/>
  <c r="N64" i="7"/>
  <c r="M71" i="7"/>
  <c r="N13" i="7" s="1"/>
  <c r="N185" i="11" s="1"/>
  <c r="N217" i="11" s="1"/>
  <c r="N10" i="7"/>
  <c r="N49" i="7"/>
  <c r="N56" i="7" s="1"/>
  <c r="L12" i="7"/>
  <c r="CG323" i="11"/>
  <c r="CG324" i="11"/>
  <c r="CF210" i="11"/>
  <c r="CF237" i="11" s="1"/>
  <c r="CF323" i="11"/>
  <c r="CF324" i="11"/>
  <c r="M100" i="7"/>
  <c r="N94" i="7"/>
  <c r="N101" i="7" s="1"/>
  <c r="M24" i="7"/>
  <c r="BK10" i="7"/>
  <c r="CE237" i="11"/>
  <c r="CF12" i="11"/>
  <c r="BG150" i="11"/>
  <c r="BR73" i="7"/>
  <c r="Z10" i="7"/>
  <c r="Z58" i="7"/>
  <c r="CE148" i="7"/>
  <c r="AL10" i="7"/>
  <c r="AL58" i="7"/>
  <c r="CE79" i="7"/>
  <c r="CF79" i="7" s="1"/>
  <c r="CE88" i="7"/>
  <c r="CG48" i="7"/>
  <c r="CG58" i="7" s="1"/>
  <c r="CG57" i="7"/>
  <c r="CE124" i="7"/>
  <c r="CE133" i="7"/>
  <c r="CE154" i="7"/>
  <c r="CE160" i="7" s="1"/>
  <c r="CE163" i="7"/>
  <c r="CE169" i="7"/>
  <c r="CE175" i="7" s="1"/>
  <c r="CE178" i="7"/>
  <c r="CE103" i="7"/>
  <c r="CE109" i="7"/>
  <c r="CE118" i="7"/>
  <c r="CH27" i="10"/>
  <c r="CH22" i="10"/>
  <c r="CH24" i="10" s="1"/>
  <c r="CF115" i="11"/>
  <c r="CF151" i="11" s="1"/>
  <c r="CF11" i="11"/>
  <c r="CF8" i="11"/>
  <c r="CF171" i="11"/>
  <c r="CF176" i="11"/>
  <c r="CF10" i="11"/>
  <c r="CF9" i="11"/>
  <c r="CF35" i="11"/>
  <c r="CH1" i="7"/>
  <c r="CH167" i="7" s="1"/>
  <c r="CH177" i="7" s="1"/>
  <c r="CF10" i="7"/>
  <c r="CG174" i="7"/>
  <c r="CG168" i="7"/>
  <c r="CG178" i="7" s="1"/>
  <c r="CE10" i="7"/>
  <c r="CE34" i="7"/>
  <c r="CG99" i="7"/>
  <c r="CG93" i="7"/>
  <c r="CG103" i="7" s="1"/>
  <c r="CG69" i="7"/>
  <c r="CG63" i="7"/>
  <c r="CG73" i="7" s="1"/>
  <c r="CG144" i="7"/>
  <c r="CG138" i="7"/>
  <c r="CG148" i="7" s="1"/>
  <c r="CG84" i="7"/>
  <c r="CG78" i="7"/>
  <c r="CG88" i="7" s="1"/>
  <c r="CE261" i="11"/>
  <c r="CE285" i="11"/>
  <c r="CF285" i="11" s="1"/>
  <c r="CG114" i="7"/>
  <c r="CG108" i="7"/>
  <c r="CG229" i="11"/>
  <c r="CG131" i="11"/>
  <c r="CG159" i="7"/>
  <c r="CG153" i="7"/>
  <c r="CG163" i="7" s="1"/>
  <c r="CG39" i="7"/>
  <c r="CG33" i="7"/>
  <c r="CG43" i="7" s="1"/>
  <c r="CG230" i="11"/>
  <c r="CG214" i="11"/>
  <c r="CG129" i="7"/>
  <c r="CG123" i="7"/>
  <c r="CG133" i="7" s="1"/>
  <c r="CG176" i="11"/>
  <c r="CG171" i="11"/>
  <c r="CG210" i="11"/>
  <c r="CG115" i="11"/>
  <c r="CG35" i="11"/>
  <c r="CE133" i="11"/>
  <c r="CE108" i="11"/>
  <c r="CC20" i="11"/>
  <c r="CD64" i="11"/>
  <c r="CD52" i="11"/>
  <c r="CD88" i="11"/>
  <c r="CD76" i="11"/>
  <c r="E31" i="14"/>
  <c r="I45" i="14" s="1"/>
  <c r="CD19" i="11"/>
  <c r="E30" i="14"/>
  <c r="H45" i="14" s="1"/>
  <c r="E27" i="14"/>
  <c r="E45" i="14" s="1"/>
  <c r="E28" i="14"/>
  <c r="F45" i="14" s="1"/>
  <c r="E29" i="14"/>
  <c r="G45" i="14" s="1"/>
  <c r="CG48" i="10"/>
  <c r="CH35" i="10"/>
  <c r="BG93" i="11"/>
  <c r="BG137" i="11" s="1"/>
  <c r="BG105" i="11"/>
  <c r="BG95" i="11"/>
  <c r="BG112" i="11"/>
  <c r="BG163" i="11"/>
  <c r="CC108" i="11"/>
  <c r="CC111" i="11"/>
  <c r="CC83" i="11"/>
  <c r="CC84" i="11" s="1"/>
  <c r="Q57" i="14"/>
  <c r="R57" i="14"/>
  <c r="S57" i="14"/>
  <c r="T67" i="14"/>
  <c r="T52" i="14"/>
  <c r="T65" i="14"/>
  <c r="T57" i="14"/>
  <c r="T60" i="14"/>
  <c r="T56" i="14"/>
  <c r="T59" i="14"/>
  <c r="T55" i="14"/>
  <c r="T54" i="14"/>
  <c r="R60" i="14"/>
  <c r="R56" i="14"/>
  <c r="R59" i="14"/>
  <c r="R55" i="14"/>
  <c r="R54" i="14"/>
  <c r="R52" i="14"/>
  <c r="R67" i="14"/>
  <c r="R65" i="14"/>
  <c r="Q59" i="14"/>
  <c r="Q55" i="14"/>
  <c r="Q54" i="14"/>
  <c r="Q67" i="14"/>
  <c r="Q52" i="14"/>
  <c r="Q60" i="14"/>
  <c r="Q65" i="14"/>
  <c r="Q56" i="14"/>
  <c r="U65" i="14"/>
  <c r="U57" i="14"/>
  <c r="U60" i="14"/>
  <c r="U56" i="14"/>
  <c r="U59" i="14"/>
  <c r="U55" i="14"/>
  <c r="U54" i="14"/>
  <c r="U52" i="14"/>
  <c r="U67" i="14"/>
  <c r="S60" i="14"/>
  <c r="S56" i="14"/>
  <c r="S52" i="14"/>
  <c r="S59" i="14"/>
  <c r="S55" i="14"/>
  <c r="S54" i="14"/>
  <c r="S67" i="14"/>
  <c r="S65" i="14"/>
  <c r="M70" i="7"/>
  <c r="L14" i="7"/>
  <c r="BQ81" i="11"/>
  <c r="BQ136" i="11" s="1"/>
  <c r="N145" i="7" l="1"/>
  <c r="O139" i="7"/>
  <c r="CE130" i="7"/>
  <c r="CE131" i="7"/>
  <c r="CE115" i="7"/>
  <c r="CE116" i="7"/>
  <c r="O64" i="7"/>
  <c r="N71" i="7"/>
  <c r="O13" i="7" s="1"/>
  <c r="O185" i="11" s="1"/>
  <c r="O217" i="11" s="1"/>
  <c r="O49" i="7"/>
  <c r="N55" i="7"/>
  <c r="M12" i="7"/>
  <c r="CG8" i="11"/>
  <c r="CG13" i="11" s="1"/>
  <c r="CG40" i="11" s="1"/>
  <c r="CG42" i="11" s="1"/>
  <c r="CF13" i="11"/>
  <c r="CF40" i="11" s="1"/>
  <c r="CF42" i="11" s="1"/>
  <c r="CG11" i="11"/>
  <c r="CG16" i="11" s="1"/>
  <c r="CF16" i="11"/>
  <c r="CG12" i="11"/>
  <c r="CG17" i="11" s="1"/>
  <c r="CF17" i="11"/>
  <c r="CG9" i="11"/>
  <c r="CG14" i="11" s="1"/>
  <c r="CF14" i="11"/>
  <c r="CG10" i="11"/>
  <c r="CG15" i="11" s="1"/>
  <c r="CF15" i="11"/>
  <c r="CF211" i="11"/>
  <c r="N100" i="7"/>
  <c r="O94" i="7"/>
  <c r="O101" i="7" s="1"/>
  <c r="N24" i="7"/>
  <c r="CD150" i="11"/>
  <c r="DB90" i="11"/>
  <c r="DB89" i="11" s="1"/>
  <c r="CD148" i="11"/>
  <c r="DH66" i="11"/>
  <c r="DH65" i="11" s="1"/>
  <c r="CD149" i="11"/>
  <c r="DB78" i="11"/>
  <c r="DB77" i="11" s="1"/>
  <c r="CF34" i="7"/>
  <c r="CG34" i="7" s="1"/>
  <c r="CE146" i="11"/>
  <c r="CE47" i="11"/>
  <c r="CF124" i="7"/>
  <c r="CF116" i="11"/>
  <c r="CH38" i="10"/>
  <c r="CF169" i="7"/>
  <c r="CF175" i="7" s="1"/>
  <c r="CH2" i="11"/>
  <c r="CH40" i="10"/>
  <c r="CH42" i="10"/>
  <c r="CH39" i="10"/>
  <c r="CH36" i="10"/>
  <c r="CE85" i="7"/>
  <c r="CH41" i="10"/>
  <c r="CH44" i="10"/>
  <c r="CH43" i="10"/>
  <c r="CH45" i="10"/>
  <c r="CH37" i="10"/>
  <c r="CH46" i="10"/>
  <c r="CI21" i="10"/>
  <c r="CI22" i="10" s="1"/>
  <c r="CH19" i="10"/>
  <c r="CE86" i="7"/>
  <c r="CH23" i="10"/>
  <c r="CH4" i="11" s="1"/>
  <c r="CF109" i="7"/>
  <c r="CH2" i="7"/>
  <c r="CG118" i="7"/>
  <c r="CF154" i="7"/>
  <c r="CF160" i="7" s="1"/>
  <c r="CH62" i="7"/>
  <c r="CH67" i="7"/>
  <c r="CH68" i="7" s="1"/>
  <c r="CH82" i="7"/>
  <c r="CH83" i="7" s="1"/>
  <c r="CH112" i="7"/>
  <c r="CH113" i="7" s="1"/>
  <c r="CH157" i="7"/>
  <c r="CH158" i="7" s="1"/>
  <c r="CH172" i="7"/>
  <c r="CH173" i="7" s="1"/>
  <c r="CH97" i="7"/>
  <c r="CH98" i="7" s="1"/>
  <c r="CG79" i="7"/>
  <c r="CG86" i="7" s="1"/>
  <c r="CH122" i="7"/>
  <c r="CH32" i="7"/>
  <c r="CH127" i="7"/>
  <c r="CH128" i="7" s="1"/>
  <c r="CH47" i="7"/>
  <c r="CH57" i="7" s="1"/>
  <c r="CH137" i="7"/>
  <c r="CH147" i="7" s="1"/>
  <c r="CH77" i="7"/>
  <c r="CH87" i="7" s="1"/>
  <c r="CH7" i="7"/>
  <c r="CH131" i="11" s="1"/>
  <c r="CH142" i="7"/>
  <c r="CH143" i="7" s="1"/>
  <c r="CH8" i="7"/>
  <c r="CH230" i="11" s="1"/>
  <c r="CH92" i="7"/>
  <c r="CH152" i="7"/>
  <c r="CH37" i="7"/>
  <c r="CH38" i="7" s="1"/>
  <c r="CH107" i="7"/>
  <c r="CF86" i="7"/>
  <c r="CF85" i="7"/>
  <c r="CG285" i="11"/>
  <c r="CE40" i="7"/>
  <c r="CE41" i="7"/>
  <c r="CH168" i="7"/>
  <c r="CH178" i="7" s="1"/>
  <c r="CE231" i="11"/>
  <c r="CE215" i="11"/>
  <c r="CF261" i="11"/>
  <c r="CE18" i="7"/>
  <c r="CG116" i="11"/>
  <c r="CG151" i="11"/>
  <c r="CG10" i="7"/>
  <c r="CG211" i="11"/>
  <c r="CG237" i="11"/>
  <c r="CF215" i="11"/>
  <c r="CF231" i="11"/>
  <c r="CD111" i="11"/>
  <c r="CD112" i="11"/>
  <c r="CD110" i="11"/>
  <c r="CD26" i="11"/>
  <c r="BG96" i="11"/>
  <c r="CE76" i="11"/>
  <c r="CD95" i="11"/>
  <c r="CE88" i="11"/>
  <c r="CE112" i="11" s="1"/>
  <c r="CD83" i="11"/>
  <c r="CD84" i="11" s="1"/>
  <c r="CE52" i="11"/>
  <c r="CE19" i="11"/>
  <c r="CE64" i="11"/>
  <c r="P57" i="14"/>
  <c r="P56" i="14"/>
  <c r="P65" i="14"/>
  <c r="P54" i="14"/>
  <c r="P60" i="14"/>
  <c r="P55" i="14"/>
  <c r="P67" i="14"/>
  <c r="P59" i="14"/>
  <c r="P52" i="14"/>
  <c r="BH91" i="11"/>
  <c r="BH155" i="11" s="1"/>
  <c r="BH92" i="11"/>
  <c r="BH142" i="11" s="1"/>
  <c r="BH87" i="11"/>
  <c r="O55" i="7"/>
  <c r="I13" i="14"/>
  <c r="BR75" i="11"/>
  <c r="P49" i="7"/>
  <c r="O56" i="7"/>
  <c r="N70" i="7"/>
  <c r="N12" i="7" s="1"/>
  <c r="M14" i="7"/>
  <c r="BR79" i="11"/>
  <c r="BR154" i="11" s="1"/>
  <c r="BR80" i="11"/>
  <c r="BR141" i="11" s="1"/>
  <c r="O145" i="7" l="1"/>
  <c r="P139" i="7"/>
  <c r="CF130" i="7"/>
  <c r="CF131" i="7"/>
  <c r="CF115" i="7"/>
  <c r="CF116" i="7"/>
  <c r="P64" i="7"/>
  <c r="O71" i="7"/>
  <c r="P13" i="7" s="1"/>
  <c r="P185" i="11" s="1"/>
  <c r="P217" i="11" s="1"/>
  <c r="O24" i="7"/>
  <c r="CF146" i="11"/>
  <c r="CF47" i="11"/>
  <c r="CF108" i="11"/>
  <c r="CF133" i="11"/>
  <c r="CH324" i="11"/>
  <c r="CH323" i="11"/>
  <c r="O100" i="7"/>
  <c r="P94" i="7"/>
  <c r="P101" i="7" s="1"/>
  <c r="CG154" i="7"/>
  <c r="CG160" i="7" s="1"/>
  <c r="CF40" i="7"/>
  <c r="CE149" i="11"/>
  <c r="DC78" i="11"/>
  <c r="DC77" i="11" s="1"/>
  <c r="CE148" i="11"/>
  <c r="DI66" i="11"/>
  <c r="DI65" i="11" s="1"/>
  <c r="DC90" i="11"/>
  <c r="DC89" i="11" s="1"/>
  <c r="CF41" i="7"/>
  <c r="CG169" i="7"/>
  <c r="CG175" i="7" s="1"/>
  <c r="CG124" i="7"/>
  <c r="CH174" i="7"/>
  <c r="CI1" i="7"/>
  <c r="CI62" i="7" s="1"/>
  <c r="CH48" i="10"/>
  <c r="CH12" i="11"/>
  <c r="CH17" i="11" s="1"/>
  <c r="CH4" i="7"/>
  <c r="CH10" i="11"/>
  <c r="CH8" i="11"/>
  <c r="CH35" i="11"/>
  <c r="CH11" i="11"/>
  <c r="CH9" i="11"/>
  <c r="CH210" i="11"/>
  <c r="CH237" i="11" s="1"/>
  <c r="CH115" i="11"/>
  <c r="CH116" i="11" s="1"/>
  <c r="CH171" i="11"/>
  <c r="CH176" i="11"/>
  <c r="CJ21" i="10"/>
  <c r="CJ22" i="10" s="1"/>
  <c r="CJ19" i="10" s="1"/>
  <c r="CI45" i="10"/>
  <c r="CI37" i="10"/>
  <c r="CI44" i="10"/>
  <c r="CI35" i="10"/>
  <c r="CI38" i="10"/>
  <c r="CI43" i="10"/>
  <c r="CI36" i="10"/>
  <c r="CI46" i="10"/>
  <c r="CI42" i="10"/>
  <c r="CI24" i="10"/>
  <c r="CI41" i="10"/>
  <c r="CI19" i="10"/>
  <c r="CI23" i="10"/>
  <c r="CI4" i="11" s="1"/>
  <c r="CI2" i="11"/>
  <c r="CI40" i="10"/>
  <c r="CI39" i="10"/>
  <c r="CH108" i="7"/>
  <c r="CH118" i="7" s="1"/>
  <c r="CH117" i="7"/>
  <c r="CH63" i="7"/>
  <c r="CH73" i="7" s="1"/>
  <c r="CH72" i="7"/>
  <c r="CH153" i="7"/>
  <c r="CH163" i="7" s="1"/>
  <c r="CH162" i="7"/>
  <c r="CH93" i="7"/>
  <c r="CH103" i="7" s="1"/>
  <c r="CH102" i="7"/>
  <c r="CG109" i="7"/>
  <c r="CI1" i="11"/>
  <c r="CI27" i="10"/>
  <c r="CH33" i="7"/>
  <c r="CH43" i="7" s="1"/>
  <c r="CH42" i="7"/>
  <c r="CH123" i="7"/>
  <c r="CH133" i="7" s="1"/>
  <c r="CH132" i="7"/>
  <c r="CH159" i="7"/>
  <c r="CH144" i="7"/>
  <c r="CH129" i="7"/>
  <c r="CH69" i="7"/>
  <c r="CH84" i="7"/>
  <c r="CH229" i="11"/>
  <c r="CI2" i="7"/>
  <c r="CH138" i="7"/>
  <c r="CH148" i="7" s="1"/>
  <c r="CG85" i="7"/>
  <c r="CH39" i="7"/>
  <c r="CH48" i="7"/>
  <c r="CH58" i="7" s="1"/>
  <c r="CH99" i="7"/>
  <c r="CH78" i="7"/>
  <c r="CH214" i="11"/>
  <c r="CH285" i="11" s="1"/>
  <c r="CH114" i="7"/>
  <c r="CG40" i="7"/>
  <c r="CG41" i="7"/>
  <c r="CG231" i="11"/>
  <c r="CG215" i="11"/>
  <c r="CG261" i="11"/>
  <c r="CF18" i="7"/>
  <c r="CG133" i="11"/>
  <c r="CG146" i="11"/>
  <c r="CE150" i="11"/>
  <c r="CE111" i="11"/>
  <c r="CG47" i="11"/>
  <c r="CE110" i="11"/>
  <c r="CE26" i="11"/>
  <c r="CE20" i="11" s="1"/>
  <c r="CD20" i="11"/>
  <c r="CG108" i="11"/>
  <c r="CF64" i="11"/>
  <c r="CF19" i="11"/>
  <c r="CE95" i="11"/>
  <c r="CF88" i="11"/>
  <c r="CF52" i="11"/>
  <c r="CE83" i="11"/>
  <c r="CE84" i="11" s="1"/>
  <c r="CF76" i="11"/>
  <c r="CJ42" i="10"/>
  <c r="BH120" i="11"/>
  <c r="P55" i="7"/>
  <c r="BR104" i="11"/>
  <c r="BR119" i="11"/>
  <c r="Q49" i="7"/>
  <c r="P56" i="7"/>
  <c r="BR162" i="11"/>
  <c r="O70" i="7"/>
  <c r="O12" i="7" s="1"/>
  <c r="N14" i="7"/>
  <c r="BR81" i="11"/>
  <c r="BR136" i="11" s="1"/>
  <c r="P145" i="7" l="1"/>
  <c r="Q139" i="7"/>
  <c r="CG130" i="7"/>
  <c r="CG131" i="7"/>
  <c r="CG115" i="7"/>
  <c r="CG116" i="7"/>
  <c r="P24" i="7"/>
  <c r="Q64" i="7"/>
  <c r="P71" i="7"/>
  <c r="Q13" i="7" s="1"/>
  <c r="Q185" i="11" s="1"/>
  <c r="Q217" i="11" s="1"/>
  <c r="CI32" i="7"/>
  <c r="CI167" i="7"/>
  <c r="CI168" i="7" s="1"/>
  <c r="CI178" i="7" s="1"/>
  <c r="CH14" i="11"/>
  <c r="CH15" i="11"/>
  <c r="CH13" i="11"/>
  <c r="CH40" i="11" s="1"/>
  <c r="CH42" i="11" s="1"/>
  <c r="CH16" i="11"/>
  <c r="CH34" i="7"/>
  <c r="CH40" i="7" s="1"/>
  <c r="CJ40" i="10"/>
  <c r="CJ1" i="7"/>
  <c r="CJ157" i="7" s="1"/>
  <c r="CJ44" i="10"/>
  <c r="CJ41" i="10"/>
  <c r="CJ2" i="11"/>
  <c r="CJ45" i="10"/>
  <c r="CJ23" i="10"/>
  <c r="CJ4" i="7" s="1"/>
  <c r="CJ36" i="10"/>
  <c r="CH169" i="7"/>
  <c r="CH175" i="7" s="1"/>
  <c r="CJ37" i="10"/>
  <c r="CI323" i="11"/>
  <c r="CI324" i="11"/>
  <c r="CI4" i="7"/>
  <c r="CI8" i="7"/>
  <c r="CI214" i="11" s="1"/>
  <c r="CI285" i="11" s="1"/>
  <c r="CI152" i="7"/>
  <c r="CI67" i="7"/>
  <c r="CI68" i="7" s="1"/>
  <c r="CI97" i="7"/>
  <c r="CI98" i="7" s="1"/>
  <c r="CI82" i="7"/>
  <c r="CI83" i="7" s="1"/>
  <c r="CI107" i="7"/>
  <c r="CI117" i="7" s="1"/>
  <c r="CI127" i="7"/>
  <c r="CI128" i="7" s="1"/>
  <c r="CI77" i="7"/>
  <c r="CI78" i="7" s="1"/>
  <c r="CI88" i="7" s="1"/>
  <c r="CI47" i="7"/>
  <c r="CI57" i="7" s="1"/>
  <c r="CI122" i="7"/>
  <c r="CI132" i="7" s="1"/>
  <c r="CI157" i="7"/>
  <c r="CI158" i="7" s="1"/>
  <c r="CI92" i="7"/>
  <c r="CI93" i="7" s="1"/>
  <c r="CI103" i="7" s="1"/>
  <c r="CI172" i="7"/>
  <c r="CI173" i="7" s="1"/>
  <c r="CI37" i="7"/>
  <c r="CI38" i="7" s="1"/>
  <c r="CI112" i="7"/>
  <c r="CI113" i="7" s="1"/>
  <c r="CI7" i="7"/>
  <c r="CI229" i="11" s="1"/>
  <c r="P100" i="7"/>
  <c r="Q94" i="7"/>
  <c r="Q101" i="7" s="1"/>
  <c r="CF149" i="11"/>
  <c r="DD78" i="11"/>
  <c r="DD77" i="11" s="1"/>
  <c r="CF148" i="11"/>
  <c r="DJ66" i="11"/>
  <c r="DJ65" i="11" s="1"/>
  <c r="CH211" i="11"/>
  <c r="CI48" i="10"/>
  <c r="CH151" i="11"/>
  <c r="CJ38" i="10"/>
  <c r="CJ46" i="10"/>
  <c r="CJ2" i="7"/>
  <c r="CJ39" i="10"/>
  <c r="CK21" i="10"/>
  <c r="CK27" i="10" s="1"/>
  <c r="CH154" i="7"/>
  <c r="CH160" i="7" s="1"/>
  <c r="CJ1" i="11"/>
  <c r="CJ24" i="10"/>
  <c r="CJ27" i="10"/>
  <c r="CI137" i="7"/>
  <c r="CI142" i="7"/>
  <c r="CI143" i="7" s="1"/>
  <c r="CJ35" i="10"/>
  <c r="CJ43" i="10"/>
  <c r="CH124" i="7"/>
  <c r="BH150" i="11"/>
  <c r="CI63" i="7"/>
  <c r="CI73" i="7" s="1"/>
  <c r="CI72" i="7"/>
  <c r="CH109" i="7"/>
  <c r="CI177" i="7"/>
  <c r="CI33" i="7"/>
  <c r="CI43" i="7" s="1"/>
  <c r="CI42" i="7"/>
  <c r="CH79" i="7"/>
  <c r="CH85" i="7" s="1"/>
  <c r="CH88" i="7"/>
  <c r="CH10" i="7"/>
  <c r="CH215" i="11" s="1"/>
  <c r="CI115" i="11"/>
  <c r="CI171" i="11"/>
  <c r="CI176" i="11"/>
  <c r="CI210" i="11"/>
  <c r="CI35" i="11"/>
  <c r="CI12" i="11"/>
  <c r="CI10" i="11"/>
  <c r="CI9" i="11"/>
  <c r="CI11" i="11"/>
  <c r="CI8" i="11"/>
  <c r="CH261" i="11"/>
  <c r="CG18" i="7"/>
  <c r="CJ172" i="7"/>
  <c r="CJ173" i="7" s="1"/>
  <c r="CJ167" i="7"/>
  <c r="CJ177" i="7" s="1"/>
  <c r="CJ152" i="7"/>
  <c r="CJ162" i="7" s="1"/>
  <c r="CJ142" i="7"/>
  <c r="CJ143" i="7" s="1"/>
  <c r="CJ137" i="7"/>
  <c r="CJ147" i="7" s="1"/>
  <c r="CJ127" i="7"/>
  <c r="CJ128" i="7" s="1"/>
  <c r="CJ122" i="7"/>
  <c r="CJ132" i="7" s="1"/>
  <c r="CJ112" i="7"/>
  <c r="CJ113" i="7" s="1"/>
  <c r="CJ107" i="7"/>
  <c r="CJ117" i="7" s="1"/>
  <c r="CJ92" i="7"/>
  <c r="CJ102" i="7" s="1"/>
  <c r="CJ82" i="7"/>
  <c r="CJ83" i="7" s="1"/>
  <c r="CJ7" i="7"/>
  <c r="CJ67" i="7"/>
  <c r="CJ68" i="7" s="1"/>
  <c r="CJ62" i="7"/>
  <c r="CJ72" i="7" s="1"/>
  <c r="CJ47" i="7"/>
  <c r="CJ37" i="7"/>
  <c r="CJ38" i="7" s="1"/>
  <c r="CJ8" i="7"/>
  <c r="CJ77" i="7"/>
  <c r="CJ87" i="7" s="1"/>
  <c r="CF111" i="11"/>
  <c r="CF110" i="11"/>
  <c r="CF26" i="11"/>
  <c r="BS75" i="11"/>
  <c r="DD90" i="11"/>
  <c r="DD89" i="11" s="1"/>
  <c r="CG19" i="11"/>
  <c r="CG76" i="11"/>
  <c r="CG88" i="11"/>
  <c r="CG52" i="11"/>
  <c r="CG64" i="11"/>
  <c r="CF83" i="11"/>
  <c r="CF84" i="11" s="1"/>
  <c r="BH112" i="11"/>
  <c r="BH95" i="11"/>
  <c r="BH163" i="11"/>
  <c r="BH93" i="11"/>
  <c r="BH137" i="11" s="1"/>
  <c r="BH105" i="11"/>
  <c r="Q55" i="7"/>
  <c r="R49" i="7"/>
  <c r="Q56" i="7"/>
  <c r="P70" i="7"/>
  <c r="O14" i="7"/>
  <c r="BS79" i="11"/>
  <c r="BS154" i="11" s="1"/>
  <c r="BS80" i="11"/>
  <c r="BS141" i="11" s="1"/>
  <c r="Q145" i="7" l="1"/>
  <c r="R139" i="7"/>
  <c r="CH130" i="7"/>
  <c r="CH131" i="7"/>
  <c r="CH115" i="7"/>
  <c r="CH116" i="7"/>
  <c r="P12" i="7"/>
  <c r="CI123" i="7"/>
  <c r="CI124" i="7" s="1"/>
  <c r="Q24" i="7"/>
  <c r="CI87" i="7"/>
  <c r="R64" i="7"/>
  <c r="Q71" i="7"/>
  <c r="R13" i="7" s="1"/>
  <c r="R185" i="11" s="1"/>
  <c r="R217" i="11" s="1"/>
  <c r="CH41" i="7"/>
  <c r="CI48" i="7"/>
  <c r="CI58" i="7" s="1"/>
  <c r="CH133" i="11"/>
  <c r="CJ4" i="11"/>
  <c r="CJ324" i="11" s="1"/>
  <c r="CI17" i="11"/>
  <c r="CI131" i="11"/>
  <c r="CJ32" i="7"/>
  <c r="CJ42" i="7" s="1"/>
  <c r="CJ97" i="7"/>
  <c r="CJ98" i="7" s="1"/>
  <c r="CH47" i="11"/>
  <c r="CI14" i="11"/>
  <c r="CI13" i="11"/>
  <c r="CI40" i="11" s="1"/>
  <c r="CI42" i="11" s="1"/>
  <c r="CI16" i="11"/>
  <c r="CI15" i="11"/>
  <c r="CI39" i="7"/>
  <c r="CI99" i="7"/>
  <c r="CI230" i="11"/>
  <c r="CI69" i="7"/>
  <c r="CI102" i="7"/>
  <c r="CJ48" i="10"/>
  <c r="CJ323" i="11"/>
  <c r="CK1" i="7"/>
  <c r="CK122" i="7" s="1"/>
  <c r="CK132" i="7" s="1"/>
  <c r="CI129" i="7"/>
  <c r="CI159" i="7"/>
  <c r="CI114" i="7"/>
  <c r="CI174" i="7"/>
  <c r="CI84" i="7"/>
  <c r="CI108" i="7"/>
  <c r="CI118" i="7" s="1"/>
  <c r="Q100" i="7"/>
  <c r="R94" i="7"/>
  <c r="R101" i="7" s="1"/>
  <c r="CI162" i="7"/>
  <c r="CI153" i="7"/>
  <c r="CI163" i="7" s="1"/>
  <c r="CG149" i="11"/>
  <c r="DE78" i="11"/>
  <c r="DE77" i="11" s="1"/>
  <c r="CG148" i="11"/>
  <c r="DK66" i="11"/>
  <c r="DK65" i="11" s="1"/>
  <c r="CI34" i="7"/>
  <c r="CI40" i="7" s="1"/>
  <c r="CH108" i="11"/>
  <c r="CH146" i="11"/>
  <c r="CF150" i="11"/>
  <c r="CI169" i="7"/>
  <c r="CI175" i="7" s="1"/>
  <c r="CI147" i="7"/>
  <c r="CI138" i="7"/>
  <c r="CI144" i="7"/>
  <c r="CK1" i="11"/>
  <c r="CK22" i="10"/>
  <c r="CK23" i="10" s="1"/>
  <c r="CK4" i="7" s="1"/>
  <c r="CI79" i="7"/>
  <c r="CI86" i="7" s="1"/>
  <c r="CH86" i="7"/>
  <c r="CJ48" i="7"/>
  <c r="CJ58" i="7" s="1"/>
  <c r="CJ57" i="7"/>
  <c r="CH231" i="11"/>
  <c r="CJ84" i="7"/>
  <c r="CJ78" i="7"/>
  <c r="CJ214" i="11"/>
  <c r="CJ285" i="11" s="1"/>
  <c r="CJ230" i="11"/>
  <c r="CJ93" i="7"/>
  <c r="CJ153" i="7"/>
  <c r="CJ163" i="7" s="1"/>
  <c r="CJ159" i="7"/>
  <c r="CJ158" i="7"/>
  <c r="CI116" i="11"/>
  <c r="CI151" i="11"/>
  <c r="CJ115" i="11"/>
  <c r="CI211" i="11"/>
  <c r="CI237" i="11"/>
  <c r="CJ114" i="7"/>
  <c r="CJ108" i="7"/>
  <c r="CJ174" i="7"/>
  <c r="CJ168" i="7"/>
  <c r="CJ131" i="11"/>
  <c r="CJ229" i="11"/>
  <c r="CJ144" i="7"/>
  <c r="CJ138" i="7"/>
  <c r="CI261" i="11"/>
  <c r="CH18" i="7"/>
  <c r="CJ69" i="7"/>
  <c r="CJ63" i="7"/>
  <c r="CJ73" i="7" s="1"/>
  <c r="CJ129" i="7"/>
  <c r="CJ123" i="7"/>
  <c r="CG111" i="11"/>
  <c r="CG110" i="11"/>
  <c r="CG26" i="11"/>
  <c r="BS104" i="11"/>
  <c r="BH96" i="11"/>
  <c r="CF95" i="11"/>
  <c r="CF112" i="11"/>
  <c r="CF20" i="11"/>
  <c r="CH19" i="11"/>
  <c r="CH64" i="11"/>
  <c r="CH88" i="11"/>
  <c r="CG83" i="11"/>
  <c r="CG84" i="11" s="1"/>
  <c r="CH52" i="11"/>
  <c r="CH76" i="11"/>
  <c r="BI87" i="11"/>
  <c r="BI92" i="11"/>
  <c r="BI142" i="11" s="1"/>
  <c r="BI91" i="11"/>
  <c r="BI155" i="11" s="1"/>
  <c r="R55" i="7"/>
  <c r="BS119" i="11"/>
  <c r="S49" i="7"/>
  <c r="R56" i="7"/>
  <c r="BS162" i="11"/>
  <c r="Q70" i="7"/>
  <c r="P14" i="7"/>
  <c r="CJ12" i="11" l="1"/>
  <c r="CJ17" i="11" s="1"/>
  <c r="CJ9" i="11"/>
  <c r="CJ14" i="11" s="1"/>
  <c r="CJ176" i="11"/>
  <c r="CJ8" i="11"/>
  <c r="CJ13" i="11" s="1"/>
  <c r="CJ40" i="11" s="1"/>
  <c r="CJ42" i="11" s="1"/>
  <c r="CJ171" i="11"/>
  <c r="CJ10" i="11"/>
  <c r="CJ15" i="11" s="1"/>
  <c r="R145" i="7"/>
  <c r="S139" i="7"/>
  <c r="CI133" i="7"/>
  <c r="CJ35" i="11"/>
  <c r="CJ210" i="11"/>
  <c r="CJ237" i="11" s="1"/>
  <c r="CJ11" i="11"/>
  <c r="CJ16" i="11" s="1"/>
  <c r="CI130" i="7"/>
  <c r="CI131" i="7"/>
  <c r="CJ99" i="7"/>
  <c r="R24" i="7"/>
  <c r="S64" i="7"/>
  <c r="R71" i="7"/>
  <c r="S13" i="7" s="1"/>
  <c r="S185" i="11" s="1"/>
  <c r="S217" i="11" s="1"/>
  <c r="CJ39" i="7"/>
  <c r="CJ33" i="7"/>
  <c r="CJ43" i="7" s="1"/>
  <c r="CI47" i="11"/>
  <c r="CI146" i="11"/>
  <c r="CI133" i="11"/>
  <c r="Q12" i="7"/>
  <c r="CI41" i="7"/>
  <c r="CK7" i="7"/>
  <c r="CK229" i="11" s="1"/>
  <c r="CK82" i="7"/>
  <c r="CK83" i="7" s="1"/>
  <c r="CK142" i="7"/>
  <c r="CK143" i="7" s="1"/>
  <c r="CK67" i="7"/>
  <c r="CK68" i="7" s="1"/>
  <c r="CK127" i="7"/>
  <c r="CK128" i="7" s="1"/>
  <c r="CK77" i="7"/>
  <c r="CK87" i="7" s="1"/>
  <c r="CK137" i="7"/>
  <c r="CK147" i="7" s="1"/>
  <c r="CK8" i="7"/>
  <c r="CK230" i="11" s="1"/>
  <c r="CK92" i="7"/>
  <c r="CK102" i="7" s="1"/>
  <c r="CK152" i="7"/>
  <c r="CK162" i="7" s="1"/>
  <c r="CK32" i="7"/>
  <c r="CK42" i="7" s="1"/>
  <c r="CK97" i="7"/>
  <c r="CK98" i="7" s="1"/>
  <c r="CK157" i="7"/>
  <c r="CK158" i="7" s="1"/>
  <c r="CK4" i="11"/>
  <c r="CK37" i="7"/>
  <c r="CK38" i="7" s="1"/>
  <c r="CK107" i="7"/>
  <c r="CK117" i="7" s="1"/>
  <c r="CK167" i="7"/>
  <c r="CK177" i="7" s="1"/>
  <c r="CK47" i="7"/>
  <c r="CK48" i="7" s="1"/>
  <c r="CK58" i="7" s="1"/>
  <c r="CK112" i="7"/>
  <c r="CK113" i="7" s="1"/>
  <c r="CK172" i="7"/>
  <c r="CK173" i="7" s="1"/>
  <c r="CK62" i="7"/>
  <c r="CK72" i="7" s="1"/>
  <c r="CI10" i="7"/>
  <c r="CI215" i="11" s="1"/>
  <c r="CI154" i="7"/>
  <c r="CI160" i="7" s="1"/>
  <c r="R100" i="7"/>
  <c r="S94" i="7"/>
  <c r="CI109" i="7"/>
  <c r="CH149" i="11"/>
  <c r="DF78" i="11"/>
  <c r="DF77" i="11" s="1"/>
  <c r="CH148" i="11"/>
  <c r="DL66" i="11"/>
  <c r="DL65" i="11" s="1"/>
  <c r="CI85" i="7"/>
  <c r="CI108" i="11"/>
  <c r="CK43" i="10"/>
  <c r="CK35" i="10"/>
  <c r="CK19" i="10"/>
  <c r="CI148" i="7"/>
  <c r="CK38" i="10"/>
  <c r="CK24" i="10"/>
  <c r="CK42" i="10"/>
  <c r="CL21" i="10"/>
  <c r="CK45" i="10"/>
  <c r="CK46" i="10"/>
  <c r="CK44" i="10"/>
  <c r="CK39" i="10"/>
  <c r="CK36" i="10"/>
  <c r="CK37" i="10"/>
  <c r="CK41" i="10"/>
  <c r="CK2" i="7"/>
  <c r="CK2" i="11"/>
  <c r="CK40" i="10"/>
  <c r="CJ118" i="7"/>
  <c r="CJ148" i="7"/>
  <c r="CJ103" i="7"/>
  <c r="CJ124" i="7"/>
  <c r="CJ133" i="7"/>
  <c r="CJ169" i="7"/>
  <c r="CJ175" i="7" s="1"/>
  <c r="CJ178" i="7"/>
  <c r="CJ79" i="7"/>
  <c r="CJ85" i="7" s="1"/>
  <c r="CJ88" i="7"/>
  <c r="CJ261" i="11"/>
  <c r="CI18" i="7"/>
  <c r="CK153" i="7"/>
  <c r="CK163" i="7" s="1"/>
  <c r="CJ34" i="7"/>
  <c r="CJ116" i="11"/>
  <c r="CJ151" i="11"/>
  <c r="CK123" i="7"/>
  <c r="CG20" i="11"/>
  <c r="CH111" i="11"/>
  <c r="CH110" i="11"/>
  <c r="CH26" i="11"/>
  <c r="CH83" i="11"/>
  <c r="CH84" i="11" s="1"/>
  <c r="CI76" i="11"/>
  <c r="CI88" i="11"/>
  <c r="CI52" i="11"/>
  <c r="CI64" i="11"/>
  <c r="CI19" i="11"/>
  <c r="BI120" i="11"/>
  <c r="S55" i="7"/>
  <c r="T49" i="7"/>
  <c r="S56" i="7"/>
  <c r="R70" i="7"/>
  <c r="Q14" i="7"/>
  <c r="BS81" i="11"/>
  <c r="BS136" i="11" s="1"/>
  <c r="CJ211" i="11" l="1"/>
  <c r="CJ10" i="7"/>
  <c r="CK9" i="11"/>
  <c r="CJ133" i="11"/>
  <c r="CJ108" i="11"/>
  <c r="S145" i="7"/>
  <c r="T139" i="7"/>
  <c r="R12" i="7"/>
  <c r="CK78" i="7"/>
  <c r="CK79" i="7" s="1"/>
  <c r="CK85" i="7" s="1"/>
  <c r="CJ130" i="7"/>
  <c r="CJ131" i="7"/>
  <c r="CI115" i="7"/>
  <c r="CI116" i="7"/>
  <c r="S24" i="7"/>
  <c r="S101" i="7"/>
  <c r="T64" i="7"/>
  <c r="S71" i="7"/>
  <c r="CK129" i="7"/>
  <c r="CK63" i="7"/>
  <c r="CK73" i="7" s="1"/>
  <c r="CK159" i="7"/>
  <c r="CK57" i="7"/>
  <c r="CK131" i="11"/>
  <c r="CJ109" i="7"/>
  <c r="CK33" i="7"/>
  <c r="CK43" i="7" s="1"/>
  <c r="CK39" i="7"/>
  <c r="CK144" i="7"/>
  <c r="CK99" i="7"/>
  <c r="CK69" i="7"/>
  <c r="CJ154" i="7"/>
  <c r="CJ160" i="7" s="1"/>
  <c r="CK138" i="7"/>
  <c r="CK148" i="7" s="1"/>
  <c r="CK35" i="11"/>
  <c r="CK323" i="11"/>
  <c r="CK8" i="11"/>
  <c r="CK171" i="11"/>
  <c r="CK324" i="11"/>
  <c r="CK115" i="11"/>
  <c r="CK116" i="11" s="1"/>
  <c r="CK176" i="11"/>
  <c r="CK114" i="7"/>
  <c r="CK10" i="11"/>
  <c r="CK210" i="11"/>
  <c r="CK237" i="11" s="1"/>
  <c r="CK108" i="7"/>
  <c r="CK118" i="7" s="1"/>
  <c r="CK84" i="7"/>
  <c r="CK214" i="11"/>
  <c r="CK285" i="11" s="1"/>
  <c r="CK12" i="11"/>
  <c r="CK11" i="11"/>
  <c r="CI231" i="11"/>
  <c r="CK93" i="7"/>
  <c r="CK103" i="7" s="1"/>
  <c r="CK168" i="7"/>
  <c r="CK169" i="7" s="1"/>
  <c r="CK175" i="7" s="1"/>
  <c r="CK174" i="7"/>
  <c r="CK48" i="10"/>
  <c r="S100" i="7"/>
  <c r="T94" i="7"/>
  <c r="T101" i="7" s="1"/>
  <c r="CI149" i="11"/>
  <c r="DG78" i="11"/>
  <c r="DG77" i="11" s="1"/>
  <c r="CI148" i="11"/>
  <c r="DM66" i="11"/>
  <c r="DM65" i="11" s="1"/>
  <c r="CJ146" i="11"/>
  <c r="CJ47" i="11"/>
  <c r="CL22" i="10"/>
  <c r="CL27" i="10"/>
  <c r="CL1" i="11"/>
  <c r="CL1" i="7"/>
  <c r="CJ86" i="7"/>
  <c r="BI150" i="11"/>
  <c r="CK124" i="7"/>
  <c r="CK133" i="7"/>
  <c r="CJ41" i="7"/>
  <c r="CJ40" i="7"/>
  <c r="CJ215" i="11"/>
  <c r="CJ231" i="11"/>
  <c r="CK261" i="11"/>
  <c r="CJ18" i="7"/>
  <c r="CI111" i="11"/>
  <c r="CI110" i="11"/>
  <c r="CI26" i="11"/>
  <c r="CI20" i="11" s="1"/>
  <c r="BT75" i="11"/>
  <c r="BT104" i="11" s="1"/>
  <c r="DE90" i="11"/>
  <c r="DE89" i="11" s="1"/>
  <c r="CH20" i="11"/>
  <c r="CJ19" i="11"/>
  <c r="CJ88" i="11"/>
  <c r="CI83" i="11"/>
  <c r="CI84" i="11" s="1"/>
  <c r="CJ76" i="11"/>
  <c r="CJ64" i="11"/>
  <c r="CJ52" i="11"/>
  <c r="BI93" i="11"/>
  <c r="BI137" i="11" s="1"/>
  <c r="BI105" i="11"/>
  <c r="BI95" i="11"/>
  <c r="BI112" i="11"/>
  <c r="BI163" i="11"/>
  <c r="U49" i="7"/>
  <c r="T56" i="7"/>
  <c r="T55" i="7"/>
  <c r="S70" i="7"/>
  <c r="R14" i="7"/>
  <c r="BT79" i="11"/>
  <c r="BT154" i="11" s="1"/>
  <c r="BT80" i="11"/>
  <c r="BT141" i="11" s="1"/>
  <c r="T13" i="7" l="1"/>
  <c r="T185" i="11" s="1"/>
  <c r="T217" i="11" s="1"/>
  <c r="CK88" i="7"/>
  <c r="CK14" i="11"/>
  <c r="CK52" i="11" s="1"/>
  <c r="T145" i="7"/>
  <c r="U139" i="7"/>
  <c r="CK154" i="7"/>
  <c r="CK160" i="7" s="1"/>
  <c r="CK130" i="7"/>
  <c r="CK131" i="7"/>
  <c r="CJ115" i="7"/>
  <c r="CJ116" i="7"/>
  <c r="U64" i="7"/>
  <c r="T71" i="7"/>
  <c r="U13" i="7" s="1"/>
  <c r="U185" i="11" s="1"/>
  <c r="U217" i="11" s="1"/>
  <c r="CK34" i="7"/>
  <c r="CK40" i="7" s="1"/>
  <c r="CK15" i="11"/>
  <c r="CK64" i="11" s="1"/>
  <c r="CK16" i="11"/>
  <c r="CK76" i="11" s="1"/>
  <c r="CK13" i="11"/>
  <c r="CK40" i="11" s="1"/>
  <c r="CK42" i="11" s="1"/>
  <c r="CK17" i="11"/>
  <c r="CK178" i="7"/>
  <c r="CK211" i="11"/>
  <c r="CK10" i="7"/>
  <c r="CK231" i="11" s="1"/>
  <c r="CK109" i="7"/>
  <c r="CK151" i="11"/>
  <c r="S12" i="7"/>
  <c r="T100" i="7"/>
  <c r="U94" i="7"/>
  <c r="U101" i="7" s="1"/>
  <c r="T24" i="7"/>
  <c r="CJ148" i="11"/>
  <c r="DN66" i="11"/>
  <c r="DN65" i="11" s="1"/>
  <c r="CJ149" i="11"/>
  <c r="DH78" i="11"/>
  <c r="DH77" i="11" s="1"/>
  <c r="CG150" i="11"/>
  <c r="CL172" i="7"/>
  <c r="CL173" i="7" s="1"/>
  <c r="CL112" i="7"/>
  <c r="CL113" i="7" s="1"/>
  <c r="CL37" i="7"/>
  <c r="CL38" i="7" s="1"/>
  <c r="CL167" i="7"/>
  <c r="CL107" i="7"/>
  <c r="CL32" i="7"/>
  <c r="CL92" i="7"/>
  <c r="CL137" i="7"/>
  <c r="CL127" i="7"/>
  <c r="CL128" i="7" s="1"/>
  <c r="CL47" i="7"/>
  <c r="CL157" i="7"/>
  <c r="CL158" i="7" s="1"/>
  <c r="CL97" i="7"/>
  <c r="CL98" i="7" s="1"/>
  <c r="CL8" i="7"/>
  <c r="CL152" i="7"/>
  <c r="CL62" i="7"/>
  <c r="CL122" i="7"/>
  <c r="CL77" i="7"/>
  <c r="CL67" i="7"/>
  <c r="CL68" i="7" s="1"/>
  <c r="CL142" i="7"/>
  <c r="CL143" i="7" s="1"/>
  <c r="CL82" i="7"/>
  <c r="CL83" i="7" s="1"/>
  <c r="CL7" i="7"/>
  <c r="CL2" i="7"/>
  <c r="CL41" i="10"/>
  <c r="CL23" i="10"/>
  <c r="CL2" i="11"/>
  <c r="CL40" i="10"/>
  <c r="CL19" i="10"/>
  <c r="CL39" i="10"/>
  <c r="CM21" i="10"/>
  <c r="CL46" i="10"/>
  <c r="CL38" i="10"/>
  <c r="CL36" i="10"/>
  <c r="CL35" i="10"/>
  <c r="CL42" i="10"/>
  <c r="CL43" i="10"/>
  <c r="CL45" i="10"/>
  <c r="CL37" i="10"/>
  <c r="CL44" i="10"/>
  <c r="CL24" i="10"/>
  <c r="CK86" i="7"/>
  <c r="CK18" i="7"/>
  <c r="CJ111" i="11"/>
  <c r="CJ110" i="11"/>
  <c r="CJ26" i="11"/>
  <c r="BI96" i="11"/>
  <c r="CJ83" i="11"/>
  <c r="CJ84" i="11" s="1"/>
  <c r="BJ87" i="11"/>
  <c r="BJ91" i="11"/>
  <c r="BJ155" i="11" s="1"/>
  <c r="BJ92" i="11"/>
  <c r="BJ142" i="11" s="1"/>
  <c r="U55" i="7"/>
  <c r="BT119" i="11"/>
  <c r="V49" i="7"/>
  <c r="U56" i="7"/>
  <c r="BT162" i="11"/>
  <c r="T70" i="7"/>
  <c r="S14" i="7"/>
  <c r="U145" i="7" l="1"/>
  <c r="V139" i="7"/>
  <c r="CK115" i="7"/>
  <c r="CK116" i="7"/>
  <c r="V64" i="7"/>
  <c r="U71" i="7"/>
  <c r="V13" i="7" s="1"/>
  <c r="V185" i="11" s="1"/>
  <c r="V217" i="11" s="1"/>
  <c r="CK41" i="7"/>
  <c r="CK215" i="11"/>
  <c r="CK133" i="11"/>
  <c r="CK19" i="11"/>
  <c r="CK108" i="11"/>
  <c r="CK47" i="11"/>
  <c r="CK146" i="11"/>
  <c r="T12" i="7"/>
  <c r="CK88" i="11"/>
  <c r="CK26" i="11" s="1"/>
  <c r="U100" i="7"/>
  <c r="V94" i="7"/>
  <c r="V101" i="7" s="1"/>
  <c r="U24" i="7"/>
  <c r="CK148" i="11"/>
  <c r="DO66" i="11"/>
  <c r="DO65" i="11" s="1"/>
  <c r="CK149" i="11"/>
  <c r="DI78" i="11"/>
  <c r="DI77" i="11" s="1"/>
  <c r="CG95" i="11"/>
  <c r="CG112" i="11"/>
  <c r="CL72" i="7"/>
  <c r="CL69" i="7"/>
  <c r="CL63" i="7"/>
  <c r="CL162" i="7"/>
  <c r="CL159" i="7"/>
  <c r="CL153" i="7"/>
  <c r="CL42" i="7"/>
  <c r="CL33" i="7"/>
  <c r="CL39" i="7"/>
  <c r="CM1" i="7"/>
  <c r="CM27" i="10"/>
  <c r="CM1" i="11"/>
  <c r="CM22" i="10"/>
  <c r="CL229" i="11"/>
  <c r="CL131" i="11"/>
  <c r="CL230" i="11"/>
  <c r="CL214" i="11"/>
  <c r="CL117" i="7"/>
  <c r="CL108" i="7"/>
  <c r="CL114" i="7"/>
  <c r="CL177" i="7"/>
  <c r="CL174" i="7"/>
  <c r="CL168" i="7"/>
  <c r="CL102" i="7"/>
  <c r="CL99" i="7"/>
  <c r="CL93" i="7"/>
  <c r="CL57" i="7"/>
  <c r="CL48" i="7"/>
  <c r="CL58" i="7" s="1"/>
  <c r="CL48" i="10"/>
  <c r="CL87" i="7"/>
  <c r="CL84" i="7"/>
  <c r="CL78" i="7"/>
  <c r="CL4" i="7"/>
  <c r="CL4" i="11"/>
  <c r="CL132" i="7"/>
  <c r="CL129" i="7"/>
  <c r="CL123" i="7"/>
  <c r="CL147" i="7"/>
  <c r="CL144" i="7"/>
  <c r="CL138" i="7"/>
  <c r="CK111" i="11"/>
  <c r="CK110" i="11"/>
  <c r="CJ20" i="11"/>
  <c r="CK83" i="11"/>
  <c r="CK84" i="11" s="1"/>
  <c r="BJ120" i="11"/>
  <c r="V55" i="7"/>
  <c r="W49" i="7"/>
  <c r="V56" i="7"/>
  <c r="U70" i="7"/>
  <c r="T14" i="7"/>
  <c r="BT81" i="11"/>
  <c r="BT136" i="11" s="1"/>
  <c r="V145" i="7" l="1"/>
  <c r="W139" i="7"/>
  <c r="V24" i="7"/>
  <c r="W64" i="7"/>
  <c r="V71" i="7"/>
  <c r="W13" i="7" s="1"/>
  <c r="W185" i="11" s="1"/>
  <c r="W217" i="11" s="1"/>
  <c r="CK20" i="11"/>
  <c r="U12" i="7"/>
  <c r="CL323" i="11"/>
  <c r="CL324" i="11"/>
  <c r="V100" i="7"/>
  <c r="W94" i="7"/>
  <c r="W101" i="7" s="1"/>
  <c r="CL133" i="7"/>
  <c r="CL124" i="7"/>
  <c r="CL169" i="7"/>
  <c r="CL175" i="7" s="1"/>
  <c r="CL178" i="7"/>
  <c r="CL163" i="7"/>
  <c r="CL154" i="7"/>
  <c r="CL160" i="7" s="1"/>
  <c r="CL43" i="7"/>
  <c r="CL34" i="7"/>
  <c r="CL10" i="7"/>
  <c r="CM2" i="11"/>
  <c r="CM44" i="10"/>
  <c r="CM36" i="10"/>
  <c r="CM45" i="10"/>
  <c r="CM43" i="10"/>
  <c r="CM35" i="10"/>
  <c r="CM23" i="10"/>
  <c r="CM42" i="10"/>
  <c r="CM41" i="10"/>
  <c r="CM19" i="10"/>
  <c r="CM40" i="10"/>
  <c r="CN21" i="10"/>
  <c r="CM46" i="10"/>
  <c r="CM2" i="7"/>
  <c r="CM39" i="10"/>
  <c r="CM24" i="10"/>
  <c r="CM38" i="10"/>
  <c r="CM37" i="10"/>
  <c r="CL118" i="7"/>
  <c r="CL109" i="7"/>
  <c r="CL73" i="7"/>
  <c r="CL9" i="11"/>
  <c r="CL14" i="11" s="1"/>
  <c r="CL12" i="11"/>
  <c r="CL17" i="11" s="1"/>
  <c r="CL88" i="11" s="1"/>
  <c r="CL8" i="11"/>
  <c r="CL13" i="11" s="1"/>
  <c r="CL10" i="11"/>
  <c r="CL15" i="11" s="1"/>
  <c r="CL64" i="11" s="1"/>
  <c r="CL210" i="11"/>
  <c r="CL176" i="11"/>
  <c r="CL171" i="11"/>
  <c r="CL115" i="11"/>
  <c r="CL35" i="11"/>
  <c r="CL11" i="11"/>
  <c r="CL16" i="11" s="1"/>
  <c r="CL76" i="11" s="1"/>
  <c r="CL148" i="7"/>
  <c r="CL79" i="7"/>
  <c r="CL88" i="7"/>
  <c r="CL103" i="7"/>
  <c r="CM122" i="7"/>
  <c r="CM167" i="7"/>
  <c r="CM97" i="7"/>
  <c r="CM98" i="7" s="1"/>
  <c r="CM8" i="7"/>
  <c r="CM112" i="7"/>
  <c r="CM113" i="7" s="1"/>
  <c r="CM7" i="7"/>
  <c r="CM107" i="7"/>
  <c r="CM67" i="7"/>
  <c r="CM68" i="7" s="1"/>
  <c r="CM157" i="7"/>
  <c r="CM158" i="7" s="1"/>
  <c r="CM62" i="7"/>
  <c r="CM127" i="7"/>
  <c r="CM128" i="7" s="1"/>
  <c r="CM172" i="7"/>
  <c r="CM173" i="7" s="1"/>
  <c r="CM152" i="7"/>
  <c r="CM92" i="7"/>
  <c r="CM47" i="7"/>
  <c r="CM137" i="7"/>
  <c r="CM77" i="7"/>
  <c r="CM32" i="7"/>
  <c r="CM142" i="7"/>
  <c r="CM143" i="7" s="1"/>
  <c r="CM82" i="7"/>
  <c r="CM83" i="7" s="1"/>
  <c r="CM37" i="7"/>
  <c r="CM38" i="7" s="1"/>
  <c r="CL285" i="11"/>
  <c r="CL261" i="11"/>
  <c r="CL18" i="7" s="1"/>
  <c r="BJ150" i="11"/>
  <c r="BU75" i="11"/>
  <c r="BU104" i="11" s="1"/>
  <c r="DF90" i="11"/>
  <c r="DF89" i="11" s="1"/>
  <c r="BJ93" i="11"/>
  <c r="BJ137" i="11" s="1"/>
  <c r="BJ112" i="11"/>
  <c r="BJ95" i="11"/>
  <c r="BJ163" i="11"/>
  <c r="BJ105" i="11"/>
  <c r="W55" i="7"/>
  <c r="X49" i="7"/>
  <c r="W56" i="7"/>
  <c r="U14" i="7"/>
  <c r="BU80" i="11"/>
  <c r="BU141" i="11" s="1"/>
  <c r="BU79" i="11"/>
  <c r="BU154" i="11" s="1"/>
  <c r="W145" i="7" l="1"/>
  <c r="X139" i="7"/>
  <c r="CL130" i="7"/>
  <c r="CL131" i="7"/>
  <c r="CL115" i="7"/>
  <c r="CL116" i="7"/>
  <c r="W24" i="7"/>
  <c r="X64" i="7"/>
  <c r="W71" i="7"/>
  <c r="X13" i="7" s="1"/>
  <c r="X185" i="11" s="1"/>
  <c r="X217" i="11" s="1"/>
  <c r="W100" i="7"/>
  <c r="X94" i="7"/>
  <c r="X101" i="7" s="1"/>
  <c r="CL148" i="11"/>
  <c r="DP66" i="11"/>
  <c r="DP65" i="11" s="1"/>
  <c r="CL149" i="11"/>
  <c r="DJ78" i="11"/>
  <c r="DJ77" i="11" s="1"/>
  <c r="CH150" i="11"/>
  <c r="CM177" i="7"/>
  <c r="CM174" i="7"/>
  <c r="CM168" i="7"/>
  <c r="CM132" i="7"/>
  <c r="CM129" i="7"/>
  <c r="CM123" i="7"/>
  <c r="CN22" i="10"/>
  <c r="CN27" i="10"/>
  <c r="CN1" i="11"/>
  <c r="CN1" i="7"/>
  <c r="CM57" i="7"/>
  <c r="CM48" i="7"/>
  <c r="CM58" i="7" s="1"/>
  <c r="CM117" i="7"/>
  <c r="CM114" i="7"/>
  <c r="CM108" i="7"/>
  <c r="CM87" i="7"/>
  <c r="CM78" i="7"/>
  <c r="CM84" i="7"/>
  <c r="CM147" i="7"/>
  <c r="CM144" i="7"/>
  <c r="CM138" i="7"/>
  <c r="CL52" i="11"/>
  <c r="CM102" i="7"/>
  <c r="CM93" i="7"/>
  <c r="CM99" i="7"/>
  <c r="CM131" i="11"/>
  <c r="CM229" i="11"/>
  <c r="CL116" i="11"/>
  <c r="CL151" i="11"/>
  <c r="CM230" i="11"/>
  <c r="CM214" i="11"/>
  <c r="CM285" i="11" s="1"/>
  <c r="CL85" i="7"/>
  <c r="CL86" i="7"/>
  <c r="CL40" i="11"/>
  <c r="CL42" i="11" s="1"/>
  <c r="CL19" i="11"/>
  <c r="CL215" i="11"/>
  <c r="CL231" i="11"/>
  <c r="CM4" i="11"/>
  <c r="CM4" i="7"/>
  <c r="CL41" i="7"/>
  <c r="CL40" i="7"/>
  <c r="CL110" i="11"/>
  <c r="CM162" i="7"/>
  <c r="CM153" i="7"/>
  <c r="CM159" i="7"/>
  <c r="CL83" i="11"/>
  <c r="CL84" i="11" s="1"/>
  <c r="CL111" i="11"/>
  <c r="CM42" i="7"/>
  <c r="CM39" i="7"/>
  <c r="CM33" i="7"/>
  <c r="CM72" i="7"/>
  <c r="CM69" i="7"/>
  <c r="CM63" i="7"/>
  <c r="CL211" i="11"/>
  <c r="CL237" i="11"/>
  <c r="CM48" i="10"/>
  <c r="BK91" i="11"/>
  <c r="BK155" i="11" s="1"/>
  <c r="BJ96" i="11"/>
  <c r="BK92" i="11"/>
  <c r="BK142" i="11" s="1"/>
  <c r="BK87" i="11"/>
  <c r="X55" i="7"/>
  <c r="BU119" i="11"/>
  <c r="Y49" i="7"/>
  <c r="X56" i="7"/>
  <c r="V70" i="7"/>
  <c r="V12" i="7" s="1"/>
  <c r="BU162" i="11"/>
  <c r="V14" i="7"/>
  <c r="BU81" i="11"/>
  <c r="BU136" i="11" s="1"/>
  <c r="X145" i="7" l="1"/>
  <c r="Y139" i="7"/>
  <c r="Y64" i="7"/>
  <c r="X71" i="7"/>
  <c r="Y13" i="7" s="1"/>
  <c r="Y185" i="11" s="1"/>
  <c r="Y217" i="11" s="1"/>
  <c r="CM323" i="11"/>
  <c r="CM324" i="11"/>
  <c r="X100" i="7"/>
  <c r="Y94" i="7"/>
  <c r="Y101" i="7" s="1"/>
  <c r="X24" i="7"/>
  <c r="CH112" i="11"/>
  <c r="CH95" i="11"/>
  <c r="CM115" i="11"/>
  <c r="CM171" i="11"/>
  <c r="CM210" i="11"/>
  <c r="CM35" i="11"/>
  <c r="CM10" i="11"/>
  <c r="CM15" i="11" s="1"/>
  <c r="CM64" i="11" s="1"/>
  <c r="CM9" i="11"/>
  <c r="CM14" i="11" s="1"/>
  <c r="CM52" i="11" s="1"/>
  <c r="CM176" i="11"/>
  <c r="CM8" i="11"/>
  <c r="CM13" i="11" s="1"/>
  <c r="CM11" i="11"/>
  <c r="CM16" i="11" s="1"/>
  <c r="CM76" i="11" s="1"/>
  <c r="CM83" i="11" s="1"/>
  <c r="CM84" i="11" s="1"/>
  <c r="CM169" i="7"/>
  <c r="CM175" i="7" s="1"/>
  <c r="CM178" i="7"/>
  <c r="CM79" i="7"/>
  <c r="CM88" i="7"/>
  <c r="CN152" i="7"/>
  <c r="CN67" i="7"/>
  <c r="CN68" i="7" s="1"/>
  <c r="CN97" i="7"/>
  <c r="CN98" i="7" s="1"/>
  <c r="CN142" i="7"/>
  <c r="CN143" i="7" s="1"/>
  <c r="CN62" i="7"/>
  <c r="CN92" i="7"/>
  <c r="CN137" i="7"/>
  <c r="CN47" i="7"/>
  <c r="CN77" i="7"/>
  <c r="CN122" i="7"/>
  <c r="CN32" i="7"/>
  <c r="CN112" i="7"/>
  <c r="CN113" i="7" s="1"/>
  <c r="CN167" i="7"/>
  <c r="CN107" i="7"/>
  <c r="CN157" i="7"/>
  <c r="CN158" i="7" s="1"/>
  <c r="CN7" i="7"/>
  <c r="CN82" i="7"/>
  <c r="CN83" i="7" s="1"/>
  <c r="CN127" i="7"/>
  <c r="CN128" i="7" s="1"/>
  <c r="CN37" i="7"/>
  <c r="CN38" i="7" s="1"/>
  <c r="CN172" i="7"/>
  <c r="CN173" i="7" s="1"/>
  <c r="CN8" i="7"/>
  <c r="CM73" i="7"/>
  <c r="CM103" i="7"/>
  <c r="CM124" i="7"/>
  <c r="CM133" i="7"/>
  <c r="CM154" i="7"/>
  <c r="CM160" i="7" s="1"/>
  <c r="CM163" i="7"/>
  <c r="CM148" i="7"/>
  <c r="CN44" i="10"/>
  <c r="CN36" i="10"/>
  <c r="CN43" i="10"/>
  <c r="CN35" i="10"/>
  <c r="CN2" i="7"/>
  <c r="CN42" i="10"/>
  <c r="CN23" i="10"/>
  <c r="CN2" i="11"/>
  <c r="CN40" i="10"/>
  <c r="CN24" i="10"/>
  <c r="CN39" i="10"/>
  <c r="CO21" i="10"/>
  <c r="CN38" i="10"/>
  <c r="CN45" i="10"/>
  <c r="CN37" i="10"/>
  <c r="CN41" i="10"/>
  <c r="CN19" i="10"/>
  <c r="CN46" i="10"/>
  <c r="CM43" i="7"/>
  <c r="CM34" i="7"/>
  <c r="CM10" i="7"/>
  <c r="CM261" i="11"/>
  <c r="CM18" i="7" s="1"/>
  <c r="CL133" i="11"/>
  <c r="CL47" i="11"/>
  <c r="CL26" i="11"/>
  <c r="CL20" i="11" s="1"/>
  <c r="CM109" i="7"/>
  <c r="CM118" i="7"/>
  <c r="CM12" i="11"/>
  <c r="CM17" i="11" s="1"/>
  <c r="CM88" i="11" s="1"/>
  <c r="BK150" i="11"/>
  <c r="BV75" i="11"/>
  <c r="BV104" i="11" s="1"/>
  <c r="BK120" i="11"/>
  <c r="DG90" i="11"/>
  <c r="DG89" i="11" s="1"/>
  <c r="BK93" i="11"/>
  <c r="BK137" i="11" s="1"/>
  <c r="BK105" i="11"/>
  <c r="BK95" i="11"/>
  <c r="BK112" i="11"/>
  <c r="BK163" i="11"/>
  <c r="Y55" i="7"/>
  <c r="Z49" i="7"/>
  <c r="Y56" i="7"/>
  <c r="W70" i="7"/>
  <c r="W12" i="7" s="1"/>
  <c r="W14" i="7"/>
  <c r="BV79" i="11"/>
  <c r="BV154" i="11" s="1"/>
  <c r="BV80" i="11"/>
  <c r="BV141" i="11" s="1"/>
  <c r="Y145" i="7" l="1"/>
  <c r="Z139" i="7"/>
  <c r="CM130" i="7"/>
  <c r="CM131" i="7"/>
  <c r="CM115" i="7"/>
  <c r="CM116" i="7"/>
  <c r="Z64" i="7"/>
  <c r="Y71" i="7"/>
  <c r="Z13" i="7" s="1"/>
  <c r="Z185" i="11" s="1"/>
  <c r="Z217" i="11" s="1"/>
  <c r="DK78" i="11"/>
  <c r="DK77" i="11" s="1"/>
  <c r="CM111" i="11"/>
  <c r="CM149" i="11"/>
  <c r="Y100" i="7"/>
  <c r="Z94" i="7"/>
  <c r="Y24" i="7"/>
  <c r="CM148" i="11"/>
  <c r="DQ66" i="11"/>
  <c r="DQ65" i="11" s="1"/>
  <c r="CN48" i="10"/>
  <c r="CM110" i="11"/>
  <c r="CL146" i="11"/>
  <c r="CL108" i="11"/>
  <c r="CI150" i="11"/>
  <c r="CN117" i="7"/>
  <c r="CN108" i="7"/>
  <c r="CN114" i="7"/>
  <c r="CN214" i="11"/>
  <c r="CN230" i="11"/>
  <c r="CN72" i="7"/>
  <c r="CN63" i="7"/>
  <c r="CN69" i="7"/>
  <c r="CM211" i="11"/>
  <c r="CM237" i="11"/>
  <c r="CN42" i="7"/>
  <c r="CN39" i="7"/>
  <c r="CN33" i="7"/>
  <c r="CO22" i="10"/>
  <c r="CO27" i="10"/>
  <c r="CO1" i="11"/>
  <c r="CO1" i="7"/>
  <c r="CN177" i="7"/>
  <c r="CN174" i="7"/>
  <c r="CN168" i="7"/>
  <c r="CN132" i="7"/>
  <c r="CN123" i="7"/>
  <c r="CN129" i="7"/>
  <c r="CN4" i="7"/>
  <c r="CN4" i="11"/>
  <c r="CN229" i="11"/>
  <c r="CN131" i="11"/>
  <c r="CN87" i="7"/>
  <c r="CN78" i="7"/>
  <c r="CN84" i="7"/>
  <c r="CM215" i="11"/>
  <c r="CM231" i="11"/>
  <c r="CN57" i="7"/>
  <c r="CN48" i="7"/>
  <c r="CN58" i="7" s="1"/>
  <c r="CM151" i="11"/>
  <c r="CM116" i="11"/>
  <c r="CN102" i="7"/>
  <c r="CN99" i="7"/>
  <c r="CN93" i="7"/>
  <c r="CM40" i="11"/>
  <c r="CM42" i="11" s="1"/>
  <c r="CM19" i="11"/>
  <c r="CN162" i="7"/>
  <c r="CN153" i="7"/>
  <c r="CN159" i="7"/>
  <c r="CM41" i="7"/>
  <c r="CM40" i="7"/>
  <c r="CN147" i="7"/>
  <c r="CN138" i="7"/>
  <c r="CN144" i="7"/>
  <c r="CM85" i="7"/>
  <c r="CM86" i="7"/>
  <c r="BL87" i="11"/>
  <c r="BK96" i="11"/>
  <c r="BL91" i="11"/>
  <c r="BL155" i="11" s="1"/>
  <c r="BL92" i="11"/>
  <c r="BL142" i="11" s="1"/>
  <c r="Z55" i="7"/>
  <c r="BV119" i="11"/>
  <c r="AA49" i="7"/>
  <c r="Z56" i="7"/>
  <c r="X70" i="7"/>
  <c r="X12" i="7" s="1"/>
  <c r="BV162" i="11"/>
  <c r="X14" i="7"/>
  <c r="Z145" i="7" l="1"/>
  <c r="AA139" i="7"/>
  <c r="Z24" i="7"/>
  <c r="Z101" i="7"/>
  <c r="AA64" i="7"/>
  <c r="Z71" i="7"/>
  <c r="AA13" i="7" s="1"/>
  <c r="AA185" i="11" s="1"/>
  <c r="AA217" i="11" s="1"/>
  <c r="CN11" i="11"/>
  <c r="CN16" i="11" s="1"/>
  <c r="CN76" i="11" s="1"/>
  <c r="CN323" i="11"/>
  <c r="CN324" i="11"/>
  <c r="Z100" i="7"/>
  <c r="AA94" i="7"/>
  <c r="AA101" i="7" s="1"/>
  <c r="CI112" i="11"/>
  <c r="CI95" i="11"/>
  <c r="CN43" i="7"/>
  <c r="CN34" i="7"/>
  <c r="CN10" i="7"/>
  <c r="CN169" i="7"/>
  <c r="CN175" i="7" s="1"/>
  <c r="CN178" i="7"/>
  <c r="CN285" i="11"/>
  <c r="CN261" i="11"/>
  <c r="CN18" i="7" s="1"/>
  <c r="CN148" i="7"/>
  <c r="CM146" i="11"/>
  <c r="CM133" i="11"/>
  <c r="CM26" i="11"/>
  <c r="CM20" i="11" s="1"/>
  <c r="CN35" i="11"/>
  <c r="CN171" i="11"/>
  <c r="CN8" i="11"/>
  <c r="CN13" i="11" s="1"/>
  <c r="CN115" i="11"/>
  <c r="CN176" i="11"/>
  <c r="CN210" i="11"/>
  <c r="CN12" i="11"/>
  <c r="CN17" i="11" s="1"/>
  <c r="CN88" i="11" s="1"/>
  <c r="CN109" i="7"/>
  <c r="CN118" i="7"/>
  <c r="CN73" i="7"/>
  <c r="CN9" i="11"/>
  <c r="CN14" i="11" s="1"/>
  <c r="CN52" i="11" s="1"/>
  <c r="CN103" i="7"/>
  <c r="CO97" i="7"/>
  <c r="CO98" i="7" s="1"/>
  <c r="CO67" i="7"/>
  <c r="CO68" i="7" s="1"/>
  <c r="CO167" i="7"/>
  <c r="CO77" i="7"/>
  <c r="CO32" i="7"/>
  <c r="CO152" i="7"/>
  <c r="CO127" i="7"/>
  <c r="CO128" i="7" s="1"/>
  <c r="CO7" i="7"/>
  <c r="CO92" i="7"/>
  <c r="CO62" i="7"/>
  <c r="CO172" i="7"/>
  <c r="CO173" i="7" s="1"/>
  <c r="CO82" i="7"/>
  <c r="CO83" i="7" s="1"/>
  <c r="CO47" i="7"/>
  <c r="CO37" i="7"/>
  <c r="CO38" i="7" s="1"/>
  <c r="CO8" i="7"/>
  <c r="CO142" i="7"/>
  <c r="CO143" i="7" s="1"/>
  <c r="CO112" i="7"/>
  <c r="CO113" i="7" s="1"/>
  <c r="CO157" i="7"/>
  <c r="CO158" i="7" s="1"/>
  <c r="CO107" i="7"/>
  <c r="CO122" i="7"/>
  <c r="CO137" i="7"/>
  <c r="CN163" i="7"/>
  <c r="CN154" i="7"/>
  <c r="CN160" i="7" s="1"/>
  <c r="CN79" i="7"/>
  <c r="CN88" i="7"/>
  <c r="CN124" i="7"/>
  <c r="CN133" i="7"/>
  <c r="CO2" i="7"/>
  <c r="CO36" i="10"/>
  <c r="CO35" i="10"/>
  <c r="CO23" i="10"/>
  <c r="CO42" i="10"/>
  <c r="CO41" i="10"/>
  <c r="CO39" i="10"/>
  <c r="CO2" i="11"/>
  <c r="CO44" i="10"/>
  <c r="CO19" i="10"/>
  <c r="CO46" i="10"/>
  <c r="CO24" i="10"/>
  <c r="CO45" i="10"/>
  <c r="CP21" i="10"/>
  <c r="CO43" i="10"/>
  <c r="CO38" i="10"/>
  <c r="CO37" i="10"/>
  <c r="CO40" i="10"/>
  <c r="CN10" i="11"/>
  <c r="CN15" i="11" s="1"/>
  <c r="CN64" i="11" s="1"/>
  <c r="BL150" i="11"/>
  <c r="DH90" i="11"/>
  <c r="DH89" i="11" s="1"/>
  <c r="BL120" i="11"/>
  <c r="BL105" i="11"/>
  <c r="BL93" i="11"/>
  <c r="BL137" i="11" s="1"/>
  <c r="BL112" i="11"/>
  <c r="BL95" i="11"/>
  <c r="BL163" i="11"/>
  <c r="AA55" i="7"/>
  <c r="AB49" i="7"/>
  <c r="AA56" i="7"/>
  <c r="Y70" i="7"/>
  <c r="Y12" i="7" s="1"/>
  <c r="Y14" i="7"/>
  <c r="BV81" i="11"/>
  <c r="BV136" i="11" s="1"/>
  <c r="AA145" i="7" l="1"/>
  <c r="AB139" i="7"/>
  <c r="CN130" i="7"/>
  <c r="CN131" i="7"/>
  <c r="CN115" i="7"/>
  <c r="CN116" i="7"/>
  <c r="AB64" i="7"/>
  <c r="AA71" i="7"/>
  <c r="AB13" i="7" s="1"/>
  <c r="AB185" i="11" s="1"/>
  <c r="AB217" i="11" s="1"/>
  <c r="AA100" i="7"/>
  <c r="AB94" i="7"/>
  <c r="AB101" i="7" s="1"/>
  <c r="AA24" i="7"/>
  <c r="CN111" i="11"/>
  <c r="DL78" i="11"/>
  <c r="DL77" i="11" s="1"/>
  <c r="CN148" i="11"/>
  <c r="DR66" i="11"/>
  <c r="DR65" i="11" s="1"/>
  <c r="CM47" i="11"/>
  <c r="CM108" i="11"/>
  <c r="CJ150" i="11"/>
  <c r="CN110" i="11"/>
  <c r="CN149" i="11"/>
  <c r="CN83" i="11"/>
  <c r="CN84" i="11" s="1"/>
  <c r="CO57" i="7"/>
  <c r="CO48" i="7"/>
  <c r="CO58" i="7" s="1"/>
  <c r="CO117" i="7"/>
  <c r="CO114" i="7"/>
  <c r="CO108" i="7"/>
  <c r="CO87" i="7"/>
  <c r="CO84" i="7"/>
  <c r="CO78" i="7"/>
  <c r="CO132" i="7"/>
  <c r="CO129" i="7"/>
  <c r="CO123" i="7"/>
  <c r="CO177" i="7"/>
  <c r="CO168" i="7"/>
  <c r="CO174" i="7"/>
  <c r="CN19" i="11"/>
  <c r="CN40" i="11"/>
  <c r="CN42" i="11" s="1"/>
  <c r="CP1" i="7"/>
  <c r="CP1" i="11"/>
  <c r="CP22" i="10"/>
  <c r="CP27" i="10"/>
  <c r="CO72" i="7"/>
  <c r="CO63" i="7"/>
  <c r="CO69" i="7"/>
  <c r="CN116" i="11"/>
  <c r="CN151" i="11"/>
  <c r="CN86" i="7"/>
  <c r="CN85" i="7"/>
  <c r="CO102" i="7"/>
  <c r="CO99" i="7"/>
  <c r="CO93" i="7"/>
  <c r="CO42" i="7"/>
  <c r="CO39" i="7"/>
  <c r="CO33" i="7"/>
  <c r="CO4" i="11"/>
  <c r="CO4" i="7"/>
  <c r="CO229" i="11"/>
  <c r="CO131" i="11"/>
  <c r="CN215" i="11"/>
  <c r="CN231" i="11"/>
  <c r="CO48" i="10"/>
  <c r="CO230" i="11"/>
  <c r="CO214" i="11"/>
  <c r="CN40" i="7"/>
  <c r="CN41" i="7"/>
  <c r="CO147" i="7"/>
  <c r="CO144" i="7"/>
  <c r="CO138" i="7"/>
  <c r="CO162" i="7"/>
  <c r="CO153" i="7"/>
  <c r="CO159" i="7"/>
  <c r="CN211" i="11"/>
  <c r="CN237" i="11"/>
  <c r="BL96" i="11"/>
  <c r="BW75" i="11"/>
  <c r="BM87" i="11"/>
  <c r="BM91" i="11"/>
  <c r="BM155" i="11" s="1"/>
  <c r="BM92" i="11"/>
  <c r="BM142" i="11" s="1"/>
  <c r="AB55" i="7"/>
  <c r="AC49" i="7"/>
  <c r="AB56" i="7"/>
  <c r="Z70" i="7"/>
  <c r="Z12" i="7" s="1"/>
  <c r="Z14" i="7"/>
  <c r="BW79" i="11"/>
  <c r="BW154" i="11" s="1"/>
  <c r="BW80" i="11"/>
  <c r="BW141" i="11" s="1"/>
  <c r="AB145" i="7" l="1"/>
  <c r="AC139" i="7"/>
  <c r="AB24" i="7"/>
  <c r="AC64" i="7"/>
  <c r="AB71" i="7"/>
  <c r="AC13" i="7" s="1"/>
  <c r="AC185" i="11" s="1"/>
  <c r="AC217" i="11" s="1"/>
  <c r="CO323" i="11"/>
  <c r="CO324" i="11"/>
  <c r="AB100" i="7"/>
  <c r="AC94" i="7"/>
  <c r="AC101" i="7" s="1"/>
  <c r="CJ95" i="11"/>
  <c r="CJ112" i="11"/>
  <c r="CO103" i="7"/>
  <c r="CO73" i="7"/>
  <c r="CO169" i="7"/>
  <c r="CO175" i="7" s="1"/>
  <c r="CO178" i="7"/>
  <c r="CO109" i="7"/>
  <c r="CO118" i="7"/>
  <c r="CO163" i="7"/>
  <c r="CO154" i="7"/>
  <c r="CO160" i="7" s="1"/>
  <c r="CP41" i="10"/>
  <c r="CP24" i="10"/>
  <c r="CP39" i="10"/>
  <c r="CQ21" i="10"/>
  <c r="CP37" i="10"/>
  <c r="CP19" i="10"/>
  <c r="CP43" i="10"/>
  <c r="CP36" i="10"/>
  <c r="CP35" i="10"/>
  <c r="CP23" i="10"/>
  <c r="CP46" i="10"/>
  <c r="CP42" i="10"/>
  <c r="CP2" i="7"/>
  <c r="CP45" i="10"/>
  <c r="CP40" i="10"/>
  <c r="CP2" i="11"/>
  <c r="CP44" i="10"/>
  <c r="CP38" i="10"/>
  <c r="CO124" i="7"/>
  <c r="CO133" i="7"/>
  <c r="CO285" i="11"/>
  <c r="CO261" i="11"/>
  <c r="CO18" i="7" s="1"/>
  <c r="CO171" i="11"/>
  <c r="CO210" i="11"/>
  <c r="CO10" i="11"/>
  <c r="CO15" i="11" s="1"/>
  <c r="CO64" i="11" s="1"/>
  <c r="DS66" i="11" s="1"/>
  <c r="DS65" i="11" s="1"/>
  <c r="CO115" i="11"/>
  <c r="CO176" i="11"/>
  <c r="CO35" i="11"/>
  <c r="CO11" i="11"/>
  <c r="CO16" i="11" s="1"/>
  <c r="CO76" i="11" s="1"/>
  <c r="DM78" i="11" s="1"/>
  <c r="DM77" i="11" s="1"/>
  <c r="CO8" i="11"/>
  <c r="CO13" i="11" s="1"/>
  <c r="CO40" i="11" s="1"/>
  <c r="CO42" i="11" s="1"/>
  <c r="CO12" i="11"/>
  <c r="CO17" i="11" s="1"/>
  <c r="CO88" i="11" s="1"/>
  <c r="CO9" i="11"/>
  <c r="CO14" i="11" s="1"/>
  <c r="CO43" i="7"/>
  <c r="CO10" i="7"/>
  <c r="CO34" i="7"/>
  <c r="CP142" i="7"/>
  <c r="CP143" i="7" s="1"/>
  <c r="CP97" i="7"/>
  <c r="CP98" i="7" s="1"/>
  <c r="CP82" i="7"/>
  <c r="CP83" i="7" s="1"/>
  <c r="CP137" i="7"/>
  <c r="CP77" i="7"/>
  <c r="CP127" i="7"/>
  <c r="CP128" i="7" s="1"/>
  <c r="CP67" i="7"/>
  <c r="CP68" i="7" s="1"/>
  <c r="CP7" i="7"/>
  <c r="CP122" i="7"/>
  <c r="CP62" i="7"/>
  <c r="CP172" i="7"/>
  <c r="CP173" i="7" s="1"/>
  <c r="CP112" i="7"/>
  <c r="CP113" i="7" s="1"/>
  <c r="CP47" i="7"/>
  <c r="CP8" i="7"/>
  <c r="CP167" i="7"/>
  <c r="CP107" i="7"/>
  <c r="CP37" i="7"/>
  <c r="CP38" i="7" s="1"/>
  <c r="CP152" i="7"/>
  <c r="CP157" i="7"/>
  <c r="CP158" i="7" s="1"/>
  <c r="CP92" i="7"/>
  <c r="CP32" i="7"/>
  <c r="CO148" i="7"/>
  <c r="CN146" i="11"/>
  <c r="CN133" i="11"/>
  <c r="CN26" i="11"/>
  <c r="CN20" i="11" s="1"/>
  <c r="CO79" i="7"/>
  <c r="CO88" i="7"/>
  <c r="BW104" i="11"/>
  <c r="BM120" i="11"/>
  <c r="AC55" i="7"/>
  <c r="BW119" i="11"/>
  <c r="AD49" i="7"/>
  <c r="AC56" i="7"/>
  <c r="AA70" i="7"/>
  <c r="AA12" i="7" s="1"/>
  <c r="BW162" i="11"/>
  <c r="AA14" i="7"/>
  <c r="AC145" i="7" l="1"/>
  <c r="AD139" i="7"/>
  <c r="CO130" i="7"/>
  <c r="CO131" i="7"/>
  <c r="CO115" i="7"/>
  <c r="CO116" i="7"/>
  <c r="AD64" i="7"/>
  <c r="AC71" i="7"/>
  <c r="AD13" i="7" s="1"/>
  <c r="AD185" i="11" s="1"/>
  <c r="AD217" i="11" s="1"/>
  <c r="CO133" i="11"/>
  <c r="CO146" i="11"/>
  <c r="AC100" i="7"/>
  <c r="AD94" i="7"/>
  <c r="AD101" i="7" s="1"/>
  <c r="AC24" i="7"/>
  <c r="N194" i="2"/>
  <c r="CN108" i="11"/>
  <c r="CO47" i="11"/>
  <c r="CN47" i="11"/>
  <c r="CO108" i="11"/>
  <c r="CP42" i="7"/>
  <c r="CP39" i="7"/>
  <c r="CP33" i="7"/>
  <c r="CP57" i="7"/>
  <c r="CP48" i="7"/>
  <c r="CP58" i="7" s="1"/>
  <c r="CP102" i="7"/>
  <c r="CP99" i="7"/>
  <c r="CP93" i="7"/>
  <c r="CP87" i="7"/>
  <c r="CP78" i="7"/>
  <c r="CP84" i="7"/>
  <c r="CP147" i="7"/>
  <c r="CP144" i="7"/>
  <c r="CP138" i="7"/>
  <c r="CP132" i="7"/>
  <c r="CP129" i="7"/>
  <c r="CP123" i="7"/>
  <c r="CO149" i="11"/>
  <c r="CO83" i="11"/>
  <c r="CO84" i="11" s="1"/>
  <c r="CO111" i="11"/>
  <c r="CP117" i="7"/>
  <c r="CP108" i="7"/>
  <c r="CP114" i="7"/>
  <c r="CP229" i="11"/>
  <c r="CP131" i="11"/>
  <c r="CP4" i="11"/>
  <c r="CP4" i="7"/>
  <c r="CO151" i="11"/>
  <c r="CO116" i="11"/>
  <c r="CP177" i="7"/>
  <c r="CP174" i="7"/>
  <c r="CP168" i="7"/>
  <c r="CO40" i="7"/>
  <c r="CO41" i="7"/>
  <c r="CO148" i="11"/>
  <c r="CO110" i="11"/>
  <c r="CO211" i="11"/>
  <c r="CO237" i="11"/>
  <c r="CP48" i="10"/>
  <c r="CP162" i="7"/>
  <c r="CP153" i="7"/>
  <c r="CP159" i="7"/>
  <c r="CP72" i="7"/>
  <c r="CP69" i="7"/>
  <c r="CP63" i="7"/>
  <c r="CQ27" i="10"/>
  <c r="CQ1" i="7"/>
  <c r="CQ1" i="11"/>
  <c r="CQ22" i="10"/>
  <c r="CO86" i="7"/>
  <c r="CO85" i="7"/>
  <c r="CP230" i="11"/>
  <c r="CP214" i="11"/>
  <c r="CO231" i="11"/>
  <c r="CO215" i="11"/>
  <c r="CO52" i="11"/>
  <c r="CO26" i="11" s="1"/>
  <c r="CO19" i="11"/>
  <c r="BM150" i="11"/>
  <c r="DI90" i="11"/>
  <c r="DI89" i="11" s="1"/>
  <c r="BM93" i="11"/>
  <c r="BM137" i="11" s="1"/>
  <c r="BM95" i="11"/>
  <c r="BM112" i="11"/>
  <c r="BM163" i="11"/>
  <c r="BM105" i="11"/>
  <c r="AD55" i="7"/>
  <c r="AE49" i="7"/>
  <c r="AD56" i="7"/>
  <c r="AB70" i="7"/>
  <c r="AB12" i="7" s="1"/>
  <c r="AB14" i="7"/>
  <c r="BW81" i="11"/>
  <c r="BW136" i="11" s="1"/>
  <c r="AD145" i="7" l="1"/>
  <c r="AE139" i="7"/>
  <c r="AE64" i="7"/>
  <c r="AD71" i="7"/>
  <c r="AE13" i="7" s="1"/>
  <c r="AE185" i="11" s="1"/>
  <c r="AE217" i="11" s="1"/>
  <c r="CP324" i="11"/>
  <c r="CP323" i="11"/>
  <c r="AD100" i="7"/>
  <c r="AE94" i="7"/>
  <c r="AE101" i="7" s="1"/>
  <c r="AD24" i="7"/>
  <c r="CK150" i="11"/>
  <c r="CP171" i="11"/>
  <c r="CP115" i="11"/>
  <c r="CP10" i="11"/>
  <c r="CP15" i="11" s="1"/>
  <c r="CP64" i="11" s="1"/>
  <c r="CP210" i="11"/>
  <c r="CP35" i="11"/>
  <c r="CP176" i="11"/>
  <c r="CP8" i="11"/>
  <c r="CP13" i="11" s="1"/>
  <c r="CP12" i="11"/>
  <c r="CP17" i="11" s="1"/>
  <c r="CP88" i="11" s="1"/>
  <c r="CP148" i="7"/>
  <c r="CP11" i="11"/>
  <c r="CP16" i="11" s="1"/>
  <c r="CP76" i="11" s="1"/>
  <c r="CP154" i="7"/>
  <c r="CP160" i="7" s="1"/>
  <c r="CP163" i="7"/>
  <c r="CO20" i="11"/>
  <c r="CQ152" i="7"/>
  <c r="CQ92" i="7"/>
  <c r="CQ32" i="7"/>
  <c r="CQ142" i="7"/>
  <c r="CQ143" i="7" s="1"/>
  <c r="CQ82" i="7"/>
  <c r="CQ83" i="7" s="1"/>
  <c r="CQ8" i="7"/>
  <c r="CQ97" i="7"/>
  <c r="CQ98" i="7" s="1"/>
  <c r="CQ37" i="7"/>
  <c r="CQ38" i="7" s="1"/>
  <c r="CQ137" i="7"/>
  <c r="CQ77" i="7"/>
  <c r="CQ127" i="7"/>
  <c r="CQ128" i="7" s="1"/>
  <c r="CQ7" i="7"/>
  <c r="CQ157" i="7"/>
  <c r="CQ158" i="7" s="1"/>
  <c r="CQ122" i="7"/>
  <c r="CQ67" i="7"/>
  <c r="CQ68" i="7" s="1"/>
  <c r="CQ172" i="7"/>
  <c r="CQ173" i="7" s="1"/>
  <c r="CQ112" i="7"/>
  <c r="CQ113" i="7" s="1"/>
  <c r="CQ62" i="7"/>
  <c r="CQ47" i="7"/>
  <c r="CQ167" i="7"/>
  <c r="CQ107" i="7"/>
  <c r="CP178" i="7"/>
  <c r="CP169" i="7"/>
  <c r="CP175" i="7" s="1"/>
  <c r="CP133" i="7"/>
  <c r="CP124" i="7"/>
  <c r="CP79" i="7"/>
  <c r="CP88" i="7"/>
  <c r="CP43" i="7"/>
  <c r="CP10" i="7"/>
  <c r="CP34" i="7"/>
  <c r="CQ2" i="11"/>
  <c r="CQ45" i="10"/>
  <c r="CQ37" i="10"/>
  <c r="CQ42" i="10"/>
  <c r="CQ44" i="10"/>
  <c r="CQ35" i="10"/>
  <c r="CQ24" i="10"/>
  <c r="CR21" i="10"/>
  <c r="CQ46" i="10"/>
  <c r="CQ43" i="10"/>
  <c r="CQ36" i="10"/>
  <c r="CQ41" i="10"/>
  <c r="CQ2" i="7"/>
  <c r="CQ38" i="10"/>
  <c r="CQ40" i="10"/>
  <c r="CQ23" i="10"/>
  <c r="CQ39" i="10"/>
  <c r="CQ19" i="10"/>
  <c r="CP261" i="11"/>
  <c r="CP18" i="7" s="1"/>
  <c r="CP285" i="11"/>
  <c r="CP73" i="7"/>
  <c r="CP118" i="7"/>
  <c r="CP109" i="7"/>
  <c r="CP103" i="7"/>
  <c r="CP9" i="11"/>
  <c r="CP14" i="11" s="1"/>
  <c r="CP52" i="11" s="1"/>
  <c r="BN87" i="11"/>
  <c r="BX75" i="11"/>
  <c r="BX104" i="11" s="1"/>
  <c r="BM96" i="11"/>
  <c r="BN92" i="11"/>
  <c r="BN142" i="11" s="1"/>
  <c r="BN91" i="11"/>
  <c r="BN155" i="11" s="1"/>
  <c r="AE55" i="7"/>
  <c r="AF49" i="7"/>
  <c r="AE56" i="7"/>
  <c r="AC70" i="7"/>
  <c r="AC12" i="7" s="1"/>
  <c r="AC14" i="7"/>
  <c r="BX79" i="11"/>
  <c r="BX154" i="11" s="1"/>
  <c r="BX80" i="11"/>
  <c r="BX141" i="11" s="1"/>
  <c r="AE145" i="7" l="1"/>
  <c r="AF139" i="7"/>
  <c r="CP130" i="7"/>
  <c r="CP131" i="7"/>
  <c r="CP115" i="7"/>
  <c r="CP116" i="7"/>
  <c r="AF64" i="7"/>
  <c r="AE71" i="7"/>
  <c r="AF13" i="7" s="1"/>
  <c r="AF185" i="11" s="1"/>
  <c r="AF217" i="11" s="1"/>
  <c r="AE100" i="7"/>
  <c r="AF94" i="7"/>
  <c r="AF101" i="7" s="1"/>
  <c r="AE24" i="7"/>
  <c r="CP110" i="11"/>
  <c r="DT66" i="11"/>
  <c r="DT65" i="11" s="1"/>
  <c r="CP149" i="11"/>
  <c r="DN78" i="11"/>
  <c r="DN77" i="11" s="1"/>
  <c r="CK95" i="11"/>
  <c r="CK112" i="11"/>
  <c r="CP148" i="11"/>
  <c r="CQ229" i="11"/>
  <c r="CQ131" i="11"/>
  <c r="CQ57" i="7"/>
  <c r="CQ48" i="7"/>
  <c r="CQ58" i="7" s="1"/>
  <c r="CP111" i="11"/>
  <c r="CP86" i="7"/>
  <c r="CP85" i="7"/>
  <c r="CQ72" i="7"/>
  <c r="CQ69" i="7"/>
  <c r="CQ63" i="7"/>
  <c r="CQ42" i="7"/>
  <c r="CQ39" i="7"/>
  <c r="CQ33" i="7"/>
  <c r="CP237" i="11"/>
  <c r="CP211" i="11"/>
  <c r="CQ48" i="10"/>
  <c r="CP83" i="11"/>
  <c r="CP84" i="11" s="1"/>
  <c r="CQ87" i="7"/>
  <c r="CQ84" i="7"/>
  <c r="CQ78" i="7"/>
  <c r="CQ102" i="7"/>
  <c r="CQ99" i="7"/>
  <c r="CQ93" i="7"/>
  <c r="CQ147" i="7"/>
  <c r="CQ144" i="7"/>
  <c r="CQ138" i="7"/>
  <c r="CQ162" i="7"/>
  <c r="CQ159" i="7"/>
  <c r="CQ153" i="7"/>
  <c r="CP116" i="11"/>
  <c r="CP151" i="11"/>
  <c r="CQ177" i="7"/>
  <c r="CQ174" i="7"/>
  <c r="CQ168" i="7"/>
  <c r="CQ4" i="7"/>
  <c r="CQ4" i="11"/>
  <c r="CR1" i="7"/>
  <c r="CR1" i="11"/>
  <c r="CR22" i="10"/>
  <c r="CR27" i="10"/>
  <c r="CP41" i="7"/>
  <c r="CP40" i="7"/>
  <c r="CQ132" i="7"/>
  <c r="CQ129" i="7"/>
  <c r="CQ123" i="7"/>
  <c r="CP40" i="11"/>
  <c r="CP42" i="11" s="1"/>
  <c r="CP19" i="11"/>
  <c r="CP215" i="11"/>
  <c r="CP231" i="11"/>
  <c r="CQ117" i="7"/>
  <c r="CQ114" i="7"/>
  <c r="CQ108" i="7"/>
  <c r="CQ230" i="11"/>
  <c r="CQ214" i="11"/>
  <c r="BN150" i="11"/>
  <c r="DJ90" i="11"/>
  <c r="DJ89" i="11" s="1"/>
  <c r="BN120" i="11"/>
  <c r="BN93" i="11"/>
  <c r="BN137" i="11" s="1"/>
  <c r="BN105" i="11"/>
  <c r="BN112" i="11"/>
  <c r="BN95" i="11"/>
  <c r="BN163" i="11"/>
  <c r="AF55" i="7"/>
  <c r="BX119" i="11"/>
  <c r="AG49" i="7"/>
  <c r="AF56" i="7"/>
  <c r="AD70" i="7"/>
  <c r="AD12" i="7" s="1"/>
  <c r="BX162" i="11"/>
  <c r="AD14" i="7"/>
  <c r="BX81" i="11"/>
  <c r="BX136" i="11" s="1"/>
  <c r="AF145" i="7" l="1"/>
  <c r="AG139" i="7"/>
  <c r="AF24" i="7"/>
  <c r="AG64" i="7"/>
  <c r="AF71" i="7"/>
  <c r="AG13" i="7" s="1"/>
  <c r="AG185" i="11" s="1"/>
  <c r="AG217" i="11" s="1"/>
  <c r="CQ323" i="11"/>
  <c r="CQ324" i="11"/>
  <c r="AF100" i="7"/>
  <c r="AG94" i="7"/>
  <c r="AG101" i="7" s="1"/>
  <c r="CL150" i="11"/>
  <c r="CQ43" i="7"/>
  <c r="CQ10" i="7"/>
  <c r="CQ34" i="7"/>
  <c r="CQ169" i="7"/>
  <c r="CQ175" i="7" s="1"/>
  <c r="CQ178" i="7"/>
  <c r="CQ79" i="7"/>
  <c r="CQ88" i="7"/>
  <c r="CQ154" i="7"/>
  <c r="CQ160" i="7" s="1"/>
  <c r="CQ163" i="7"/>
  <c r="CQ148" i="7"/>
  <c r="CR43" i="10"/>
  <c r="CR36" i="10"/>
  <c r="CR35" i="10"/>
  <c r="CR42" i="10"/>
  <c r="CR19" i="10"/>
  <c r="CR41" i="10"/>
  <c r="CR23" i="10"/>
  <c r="CR40" i="10"/>
  <c r="CS21" i="10"/>
  <c r="CR39" i="10"/>
  <c r="CR24" i="10"/>
  <c r="CR2" i="7"/>
  <c r="CR46" i="10"/>
  <c r="CR38" i="10"/>
  <c r="CR44" i="10"/>
  <c r="CR2" i="11"/>
  <c r="CR45" i="10"/>
  <c r="CR37" i="10"/>
  <c r="CQ73" i="7"/>
  <c r="CQ285" i="11"/>
  <c r="CQ261" i="11"/>
  <c r="CQ18" i="7" s="1"/>
  <c r="CP146" i="11"/>
  <c r="CP133" i="11"/>
  <c r="CP26" i="11"/>
  <c r="CP20" i="11" s="1"/>
  <c r="CQ124" i="7"/>
  <c r="CQ133" i="7"/>
  <c r="CR152" i="7"/>
  <c r="CR92" i="7"/>
  <c r="CR32" i="7"/>
  <c r="CR142" i="7"/>
  <c r="CR143" i="7" s="1"/>
  <c r="CR82" i="7"/>
  <c r="CR83" i="7" s="1"/>
  <c r="CR8" i="7"/>
  <c r="CR157" i="7"/>
  <c r="CR158" i="7" s="1"/>
  <c r="CR137" i="7"/>
  <c r="CR77" i="7"/>
  <c r="CR127" i="7"/>
  <c r="CR128" i="7" s="1"/>
  <c r="CR7" i="7"/>
  <c r="CR122" i="7"/>
  <c r="CR67" i="7"/>
  <c r="CR68" i="7" s="1"/>
  <c r="CR172" i="7"/>
  <c r="CR173" i="7" s="1"/>
  <c r="CR112" i="7"/>
  <c r="CR113" i="7" s="1"/>
  <c r="CR62" i="7"/>
  <c r="CR167" i="7"/>
  <c r="CR107" i="7"/>
  <c r="CR47" i="7"/>
  <c r="CR97" i="7"/>
  <c r="CR98" i="7" s="1"/>
  <c r="CR37" i="7"/>
  <c r="CR38" i="7" s="1"/>
  <c r="CQ109" i="7"/>
  <c r="CQ118" i="7"/>
  <c r="CQ12" i="11"/>
  <c r="CQ17" i="11" s="1"/>
  <c r="CQ88" i="11" s="1"/>
  <c r="CQ115" i="11"/>
  <c r="CQ9" i="11"/>
  <c r="CQ14" i="11" s="1"/>
  <c r="CQ52" i="11" s="1"/>
  <c r="CQ10" i="11"/>
  <c r="CQ15" i="11" s="1"/>
  <c r="CQ64" i="11" s="1"/>
  <c r="DU66" i="11" s="1"/>
  <c r="DU65" i="11" s="1"/>
  <c r="CQ210" i="11"/>
  <c r="CQ8" i="11"/>
  <c r="CQ13" i="11" s="1"/>
  <c r="CQ176" i="11"/>
  <c r="CQ171" i="11"/>
  <c r="CQ35" i="11"/>
  <c r="CQ103" i="7"/>
  <c r="CQ11" i="11"/>
  <c r="CQ16" i="11" s="1"/>
  <c r="CQ76" i="11" s="1"/>
  <c r="CQ149" i="11" s="1"/>
  <c r="BO87" i="11"/>
  <c r="BY75" i="11"/>
  <c r="BY104" i="11" s="1"/>
  <c r="BN96" i="11"/>
  <c r="BO91" i="11"/>
  <c r="BO155" i="11" s="1"/>
  <c r="BO92" i="11"/>
  <c r="BO142" i="11" s="1"/>
  <c r="AG55" i="7"/>
  <c r="AG56" i="7"/>
  <c r="AE70" i="7"/>
  <c r="AE12" i="7" s="1"/>
  <c r="AE14" i="7"/>
  <c r="BY79" i="11"/>
  <c r="BY154" i="11" s="1"/>
  <c r="BY80" i="11"/>
  <c r="BY141" i="11" s="1"/>
  <c r="AG145" i="7" l="1"/>
  <c r="AH139" i="7"/>
  <c r="CQ130" i="7"/>
  <c r="CQ131" i="7"/>
  <c r="CQ115" i="7"/>
  <c r="CQ116" i="7"/>
  <c r="AH64" i="7"/>
  <c r="AG71" i="7"/>
  <c r="AH13" i="7" s="1"/>
  <c r="AH185" i="11" s="1"/>
  <c r="AH217" i="11" s="1"/>
  <c r="CQ83" i="11"/>
  <c r="CQ84" i="11" s="1"/>
  <c r="CQ111" i="11"/>
  <c r="DO78" i="11"/>
  <c r="DO77" i="11" s="1"/>
  <c r="AG100" i="7"/>
  <c r="AH94" i="7"/>
  <c r="AH101" i="7" s="1"/>
  <c r="AG24" i="7"/>
  <c r="CP47" i="11"/>
  <c r="CP108" i="11"/>
  <c r="CL95" i="11"/>
  <c r="CL112" i="11"/>
  <c r="CR131" i="11"/>
  <c r="CR229" i="11"/>
  <c r="CR214" i="11"/>
  <c r="CR230" i="11"/>
  <c r="CQ148" i="11"/>
  <c r="CQ110" i="11"/>
  <c r="CR132" i="7"/>
  <c r="CR129" i="7"/>
  <c r="CR123" i="7"/>
  <c r="CR48" i="10"/>
  <c r="CQ86" i="7"/>
  <c r="CQ85" i="7"/>
  <c r="CQ40" i="11"/>
  <c r="CQ42" i="11" s="1"/>
  <c r="CQ19" i="11"/>
  <c r="CR117" i="7"/>
  <c r="CR114" i="7"/>
  <c r="CR108" i="7"/>
  <c r="CR42" i="7"/>
  <c r="CR39" i="7"/>
  <c r="CR33" i="7"/>
  <c r="CS22" i="10"/>
  <c r="CS1" i="7"/>
  <c r="CS1" i="11"/>
  <c r="CS27" i="10"/>
  <c r="CR57" i="7"/>
  <c r="CR48" i="7"/>
  <c r="CR58" i="7" s="1"/>
  <c r="CQ116" i="11"/>
  <c r="CQ151" i="11"/>
  <c r="CR102" i="7"/>
  <c r="CR99" i="7"/>
  <c r="CR93" i="7"/>
  <c r="CR72" i="7"/>
  <c r="CR69" i="7"/>
  <c r="CR63" i="7"/>
  <c r="CR87" i="7"/>
  <c r="CR84" i="7"/>
  <c r="CR78" i="7"/>
  <c r="CR162" i="7"/>
  <c r="CR153" i="7"/>
  <c r="CR159" i="7"/>
  <c r="CR4" i="11"/>
  <c r="CR4" i="7"/>
  <c r="CQ40" i="7"/>
  <c r="CQ41" i="7"/>
  <c r="CR177" i="7"/>
  <c r="CR174" i="7"/>
  <c r="CR168" i="7"/>
  <c r="CQ211" i="11"/>
  <c r="CQ237" i="11"/>
  <c r="CR147" i="7"/>
  <c r="CR144" i="7"/>
  <c r="CR138" i="7"/>
  <c r="CQ215" i="11"/>
  <c r="CQ231" i="11"/>
  <c r="BO150" i="11"/>
  <c r="DK90" i="11"/>
  <c r="DK89" i="11" s="1"/>
  <c r="BO120" i="11"/>
  <c r="BO105" i="11"/>
  <c r="BO93" i="11"/>
  <c r="BO137" i="11" s="1"/>
  <c r="BO112" i="11"/>
  <c r="BO95" i="11"/>
  <c r="BO163" i="11"/>
  <c r="BY119" i="11"/>
  <c r="AF70" i="7"/>
  <c r="AF12" i="7" s="1"/>
  <c r="BY162" i="11"/>
  <c r="AF14" i="7"/>
  <c r="AH145" i="7" l="1"/>
  <c r="AI139" i="7"/>
  <c r="AI64" i="7"/>
  <c r="AH71" i="7"/>
  <c r="CR323" i="11"/>
  <c r="CR324" i="11"/>
  <c r="AH100" i="7"/>
  <c r="AI94" i="7"/>
  <c r="AI101" i="7" s="1"/>
  <c r="CM150" i="11"/>
  <c r="CR43" i="7"/>
  <c r="CR10" i="7"/>
  <c r="CR34" i="7"/>
  <c r="CR73" i="7"/>
  <c r="CR109" i="7"/>
  <c r="CR118" i="7"/>
  <c r="CR285" i="11"/>
  <c r="CR261" i="11"/>
  <c r="CR18" i="7" s="1"/>
  <c r="CR178" i="7"/>
  <c r="CR169" i="7"/>
  <c r="CR175" i="7" s="1"/>
  <c r="CR154" i="7"/>
  <c r="CR160" i="7" s="1"/>
  <c r="CR163" i="7"/>
  <c r="CR103" i="7"/>
  <c r="CR124" i="7"/>
  <c r="CR133" i="7"/>
  <c r="CR35" i="11"/>
  <c r="CR10" i="11"/>
  <c r="CR15" i="11" s="1"/>
  <c r="CR64" i="11" s="1"/>
  <c r="DV66" i="11" s="1"/>
  <c r="DV65" i="11" s="1"/>
  <c r="CR210" i="11"/>
  <c r="CR11" i="11"/>
  <c r="CR16" i="11" s="1"/>
  <c r="CR76" i="11" s="1"/>
  <c r="CR115" i="11"/>
  <c r="CR12" i="11"/>
  <c r="CR17" i="11" s="1"/>
  <c r="CR88" i="11" s="1"/>
  <c r="CR176" i="11"/>
  <c r="CR8" i="11"/>
  <c r="CR13" i="11" s="1"/>
  <c r="CR171" i="11"/>
  <c r="CR79" i="7"/>
  <c r="CR88" i="7"/>
  <c r="CS127" i="7"/>
  <c r="CS128" i="7" s="1"/>
  <c r="CS67" i="7"/>
  <c r="CS68" i="7" s="1"/>
  <c r="CS122" i="7"/>
  <c r="CS62" i="7"/>
  <c r="CS37" i="7"/>
  <c r="CS38" i="7" s="1"/>
  <c r="CS152" i="7"/>
  <c r="CS172" i="7"/>
  <c r="CS173" i="7" s="1"/>
  <c r="CS112" i="7"/>
  <c r="CS113" i="7" s="1"/>
  <c r="CS47" i="7"/>
  <c r="CS167" i="7"/>
  <c r="CS107" i="7"/>
  <c r="CS92" i="7"/>
  <c r="CS157" i="7"/>
  <c r="CS158" i="7" s="1"/>
  <c r="CS97" i="7"/>
  <c r="CS98" i="7" s="1"/>
  <c r="CS32" i="7"/>
  <c r="CS142" i="7"/>
  <c r="CS143" i="7" s="1"/>
  <c r="CS82" i="7"/>
  <c r="CS83" i="7" s="1"/>
  <c r="CS7" i="7"/>
  <c r="CS137" i="7"/>
  <c r="CS77" i="7"/>
  <c r="CS8" i="7"/>
  <c r="CR148" i="7"/>
  <c r="CS45" i="10"/>
  <c r="CS37" i="10"/>
  <c r="CS24" i="10"/>
  <c r="CS44" i="10"/>
  <c r="CS36" i="10"/>
  <c r="CS42" i="10"/>
  <c r="CS43" i="10"/>
  <c r="CS35" i="10"/>
  <c r="CS23" i="10"/>
  <c r="CS41" i="10"/>
  <c r="CS19" i="10"/>
  <c r="CS40" i="10"/>
  <c r="CS2" i="7"/>
  <c r="CS39" i="10"/>
  <c r="CT21" i="10"/>
  <c r="CS2" i="11"/>
  <c r="CS46" i="10"/>
  <c r="CS38" i="10"/>
  <c r="CQ146" i="11"/>
  <c r="CQ26" i="11"/>
  <c r="CQ20" i="11" s="1"/>
  <c r="CQ133" i="11"/>
  <c r="CR9" i="11"/>
  <c r="CR14" i="11" s="1"/>
  <c r="CR52" i="11" s="1"/>
  <c r="BO96" i="11"/>
  <c r="BP87" i="11"/>
  <c r="BP92" i="11"/>
  <c r="BP142" i="11" s="1"/>
  <c r="BP91" i="11"/>
  <c r="BP155" i="11" s="1"/>
  <c r="AG70" i="7"/>
  <c r="AG12" i="7" s="1"/>
  <c r="AG14" i="7"/>
  <c r="BY81" i="11"/>
  <c r="BY136" i="11" s="1"/>
  <c r="AI145" i="7" l="1"/>
  <c r="AJ139" i="7"/>
  <c r="CR130" i="7"/>
  <c r="CR131" i="7"/>
  <c r="CR115" i="7"/>
  <c r="CR116" i="7"/>
  <c r="AJ64" i="7"/>
  <c r="AI71" i="7"/>
  <c r="CR110" i="11"/>
  <c r="CR148" i="11"/>
  <c r="AI100" i="7"/>
  <c r="AJ94" i="7"/>
  <c r="AJ101" i="7" s="1"/>
  <c r="CR149" i="11"/>
  <c r="DP78" i="11"/>
  <c r="DP77" i="11" s="1"/>
  <c r="CQ47" i="11"/>
  <c r="CQ108" i="11"/>
  <c r="CR111" i="11"/>
  <c r="CR83" i="11"/>
  <c r="CR84" i="11" s="1"/>
  <c r="CM112" i="11"/>
  <c r="CM95" i="11"/>
  <c r="CR40" i="11"/>
  <c r="CR42" i="11" s="1"/>
  <c r="CR19" i="11"/>
  <c r="CS72" i="7"/>
  <c r="CS69" i="7"/>
  <c r="CS63" i="7"/>
  <c r="CS230" i="11"/>
  <c r="CS214" i="11"/>
  <c r="CS87" i="7"/>
  <c r="CS84" i="7"/>
  <c r="CS78" i="7"/>
  <c r="CS102" i="7"/>
  <c r="CS99" i="7"/>
  <c r="CS93" i="7"/>
  <c r="CS147" i="7"/>
  <c r="CS144" i="7"/>
  <c r="CS138" i="7"/>
  <c r="CS117" i="7"/>
  <c r="CS114" i="7"/>
  <c r="CS108" i="7"/>
  <c r="CS132" i="7"/>
  <c r="CS129" i="7"/>
  <c r="CS123" i="7"/>
  <c r="CS229" i="11"/>
  <c r="CS131" i="11"/>
  <c r="CS177" i="7"/>
  <c r="CS174" i="7"/>
  <c r="CS168" i="7"/>
  <c r="CR116" i="11"/>
  <c r="CR151" i="11"/>
  <c r="CS4" i="11"/>
  <c r="CS4" i="7"/>
  <c r="CS57" i="7"/>
  <c r="CS48" i="7"/>
  <c r="CS58" i="7" s="1"/>
  <c r="CR41" i="7"/>
  <c r="CR40" i="7"/>
  <c r="CS48" i="10"/>
  <c r="CR211" i="11"/>
  <c r="CR237" i="11"/>
  <c r="CR215" i="11"/>
  <c r="CR231" i="11"/>
  <c r="CS162" i="7"/>
  <c r="CS153" i="7"/>
  <c r="CS159" i="7"/>
  <c r="CT1" i="7"/>
  <c r="CT1" i="11"/>
  <c r="CT22" i="10"/>
  <c r="CT27" i="10"/>
  <c r="CS42" i="7"/>
  <c r="CS39" i="7"/>
  <c r="CS33" i="7"/>
  <c r="CR86" i="7"/>
  <c r="CR85" i="7"/>
  <c r="BZ75" i="11"/>
  <c r="BZ104" i="11" s="1"/>
  <c r="BP120" i="11"/>
  <c r="AH70" i="7"/>
  <c r="BZ79" i="11"/>
  <c r="BZ154" i="11" s="1"/>
  <c r="BZ80" i="11"/>
  <c r="BZ141" i="11" s="1"/>
  <c r="AJ145" i="7" l="1"/>
  <c r="AK139" i="7"/>
  <c r="AK64" i="7"/>
  <c r="AJ71" i="7"/>
  <c r="CS323" i="11"/>
  <c r="CS324" i="11"/>
  <c r="AJ100" i="7"/>
  <c r="AK94" i="7"/>
  <c r="AK101" i="7" s="1"/>
  <c r="CS43" i="7"/>
  <c r="CS10" i="7"/>
  <c r="CS34" i="7"/>
  <c r="CS154" i="7"/>
  <c r="CS160" i="7" s="1"/>
  <c r="CS163" i="7"/>
  <c r="CT157" i="7"/>
  <c r="CT158" i="7" s="1"/>
  <c r="CT97" i="7"/>
  <c r="CT98" i="7" s="1"/>
  <c r="CT32" i="7"/>
  <c r="CT152" i="7"/>
  <c r="CT92" i="7"/>
  <c r="CT8" i="7"/>
  <c r="CT142" i="7"/>
  <c r="CT143" i="7" s="1"/>
  <c r="CT82" i="7"/>
  <c r="CT83" i="7" s="1"/>
  <c r="CT77" i="7"/>
  <c r="CT122" i="7"/>
  <c r="CT37" i="7"/>
  <c r="CT38" i="7" s="1"/>
  <c r="CT137" i="7"/>
  <c r="CT67" i="7"/>
  <c r="CT68" i="7" s="1"/>
  <c r="CT7" i="7"/>
  <c r="CT167" i="7"/>
  <c r="CT127" i="7"/>
  <c r="CT128" i="7" s="1"/>
  <c r="CT62" i="7"/>
  <c r="CT172" i="7"/>
  <c r="CT173" i="7" s="1"/>
  <c r="CT112" i="7"/>
  <c r="CT113" i="7" s="1"/>
  <c r="CT47" i="7"/>
  <c r="CT107" i="7"/>
  <c r="CS178" i="7"/>
  <c r="CS169" i="7"/>
  <c r="CS175" i="7" s="1"/>
  <c r="CS118" i="7"/>
  <c r="CS109" i="7"/>
  <c r="CS12" i="11"/>
  <c r="CS17" i="11" s="1"/>
  <c r="CS88" i="11" s="1"/>
  <c r="CS8" i="11"/>
  <c r="CS13" i="11" s="1"/>
  <c r="CS171" i="11"/>
  <c r="CS35" i="11"/>
  <c r="CS11" i="11"/>
  <c r="CS16" i="11" s="1"/>
  <c r="CS76" i="11" s="1"/>
  <c r="CS210" i="11"/>
  <c r="CS176" i="11"/>
  <c r="CS115" i="11"/>
  <c r="CS9" i="11"/>
  <c r="CS14" i="11" s="1"/>
  <c r="CS52" i="11" s="1"/>
  <c r="CS73" i="7"/>
  <c r="CS88" i="7"/>
  <c r="CS79" i="7"/>
  <c r="CS103" i="7"/>
  <c r="CR47" i="11"/>
  <c r="CR133" i="11"/>
  <c r="CR26" i="11"/>
  <c r="CR20" i="11" s="1"/>
  <c r="CT2" i="11"/>
  <c r="CT41" i="10"/>
  <c r="CT19" i="10"/>
  <c r="CT40" i="10"/>
  <c r="CT24" i="10"/>
  <c r="CU21" i="10"/>
  <c r="CT36" i="10"/>
  <c r="CT39" i="10"/>
  <c r="CT46" i="10"/>
  <c r="CT38" i="10"/>
  <c r="CT23" i="10"/>
  <c r="CT44" i="10"/>
  <c r="CT45" i="10"/>
  <c r="CT37" i="10"/>
  <c r="CT43" i="10"/>
  <c r="CT35" i="10"/>
  <c r="CT2" i="7"/>
  <c r="CT42" i="10"/>
  <c r="CS148" i="7"/>
  <c r="CS133" i="7"/>
  <c r="CS124" i="7"/>
  <c r="CS285" i="11"/>
  <c r="CS261" i="11"/>
  <c r="CS18" i="7" s="1"/>
  <c r="CS10" i="11"/>
  <c r="CS15" i="11" s="1"/>
  <c r="CS64" i="11" s="1"/>
  <c r="DW66" i="11" s="1"/>
  <c r="DW65" i="11" s="1"/>
  <c r="BP150" i="11"/>
  <c r="DL90" i="11"/>
  <c r="DL89" i="11" s="1"/>
  <c r="BP93" i="11"/>
  <c r="BP137" i="11" s="1"/>
  <c r="BP105" i="11"/>
  <c r="BP112" i="11"/>
  <c r="BP95" i="11"/>
  <c r="BP163" i="11"/>
  <c r="BZ119" i="11"/>
  <c r="AI70" i="7"/>
  <c r="BZ162" i="11"/>
  <c r="BZ81" i="11"/>
  <c r="BZ136" i="11" s="1"/>
  <c r="AK145" i="7" l="1"/>
  <c r="AL139" i="7"/>
  <c r="CS130" i="7"/>
  <c r="CS131" i="7"/>
  <c r="CS115" i="7"/>
  <c r="CS116" i="7"/>
  <c r="AL64" i="7"/>
  <c r="AK71" i="7"/>
  <c r="AK100" i="7"/>
  <c r="AL94" i="7"/>
  <c r="AL101" i="7" s="1"/>
  <c r="CS149" i="11"/>
  <c r="DQ78" i="11"/>
  <c r="DQ77" i="11" s="1"/>
  <c r="CR108" i="11"/>
  <c r="CR146" i="11"/>
  <c r="CN150" i="11"/>
  <c r="CS111" i="11"/>
  <c r="CS86" i="7"/>
  <c r="CS85" i="7"/>
  <c r="CS40" i="11"/>
  <c r="CS42" i="11" s="1"/>
  <c r="CS19" i="11"/>
  <c r="CT132" i="7"/>
  <c r="CT129" i="7"/>
  <c r="CT123" i="7"/>
  <c r="CT42" i="7"/>
  <c r="CT39" i="7"/>
  <c r="CT33" i="7"/>
  <c r="CU1" i="11"/>
  <c r="CU27" i="10"/>
  <c r="CU1" i="7"/>
  <c r="CU22" i="10"/>
  <c r="CS237" i="11"/>
  <c r="CS211" i="11"/>
  <c r="CT72" i="7"/>
  <c r="CT69" i="7"/>
  <c r="CT63" i="7"/>
  <c r="CT87" i="7"/>
  <c r="CT84" i="7"/>
  <c r="CT78" i="7"/>
  <c r="CS83" i="11"/>
  <c r="CS84" i="11" s="1"/>
  <c r="CT177" i="7"/>
  <c r="CT168" i="7"/>
  <c r="CT174" i="7"/>
  <c r="CT4" i="7"/>
  <c r="CT4" i="11"/>
  <c r="CT131" i="11"/>
  <c r="CT229" i="11"/>
  <c r="CS116" i="11"/>
  <c r="CS151" i="11"/>
  <c r="CT117" i="7"/>
  <c r="CT114" i="7"/>
  <c r="CT108" i="7"/>
  <c r="CT230" i="11"/>
  <c r="CT214" i="11"/>
  <c r="CT285" i="11" s="1"/>
  <c r="CS40" i="7"/>
  <c r="CS41" i="7"/>
  <c r="CT57" i="7"/>
  <c r="CT48" i="7"/>
  <c r="CT58" i="7" s="1"/>
  <c r="CT147" i="7"/>
  <c r="CT138" i="7"/>
  <c r="CT144" i="7"/>
  <c r="CT102" i="7"/>
  <c r="CT99" i="7"/>
  <c r="CT93" i="7"/>
  <c r="CS215" i="11"/>
  <c r="CS231" i="11"/>
  <c r="CT48" i="10"/>
  <c r="CS148" i="11"/>
  <c r="CS110" i="11"/>
  <c r="CT162" i="7"/>
  <c r="CT159" i="7"/>
  <c r="CT153" i="7"/>
  <c r="BP96" i="11"/>
  <c r="CA75" i="11"/>
  <c r="CA104" i="11" s="1"/>
  <c r="BQ87" i="11"/>
  <c r="BQ92" i="11"/>
  <c r="BQ142" i="11" s="1"/>
  <c r="BQ91" i="11"/>
  <c r="BQ155" i="11" s="1"/>
  <c r="AJ70" i="7"/>
  <c r="CA79" i="11"/>
  <c r="CA154" i="11" s="1"/>
  <c r="CA80" i="11"/>
  <c r="CA141" i="11" s="1"/>
  <c r="AL145" i="7" l="1"/>
  <c r="AM139" i="7"/>
  <c r="AM64" i="7"/>
  <c r="AL71" i="7"/>
  <c r="CT323" i="11"/>
  <c r="CT324" i="11"/>
  <c r="AL100" i="7"/>
  <c r="AM94" i="7"/>
  <c r="AM101" i="7" s="1"/>
  <c r="CN95" i="11"/>
  <c r="CN112" i="11"/>
  <c r="CT148" i="7"/>
  <c r="CT79" i="7"/>
  <c r="CT88" i="7"/>
  <c r="CU43" i="10"/>
  <c r="CU36" i="10"/>
  <c r="CU38" i="10"/>
  <c r="CU42" i="10"/>
  <c r="CU23" i="10"/>
  <c r="CU41" i="10"/>
  <c r="CU19" i="10"/>
  <c r="CU46" i="10"/>
  <c r="CU2" i="7"/>
  <c r="CU2" i="11"/>
  <c r="CU40" i="10"/>
  <c r="CU24" i="10"/>
  <c r="CU44" i="10"/>
  <c r="CU35" i="10"/>
  <c r="CU39" i="10"/>
  <c r="CV21" i="10"/>
  <c r="CU45" i="10"/>
  <c r="CU37" i="10"/>
  <c r="CT124" i="7"/>
  <c r="CT133" i="7"/>
  <c r="CT10" i="11"/>
  <c r="CT15" i="11" s="1"/>
  <c r="CT64" i="11" s="1"/>
  <c r="CT35" i="11"/>
  <c r="CT210" i="11"/>
  <c r="CT9" i="11"/>
  <c r="CT14" i="11" s="1"/>
  <c r="CT52" i="11" s="1"/>
  <c r="CT176" i="11"/>
  <c r="CT171" i="11"/>
  <c r="CT8" i="11"/>
  <c r="CT13" i="11" s="1"/>
  <c r="CT115" i="11"/>
  <c r="CT12" i="11"/>
  <c r="CT17" i="11" s="1"/>
  <c r="CT88" i="11" s="1"/>
  <c r="CU112" i="7"/>
  <c r="CU113" i="7" s="1"/>
  <c r="CU7" i="7"/>
  <c r="CU107" i="7"/>
  <c r="CU67" i="7"/>
  <c r="CU68" i="7" s="1"/>
  <c r="CU157" i="7"/>
  <c r="CU158" i="7" s="1"/>
  <c r="CU97" i="7"/>
  <c r="CU98" i="7" s="1"/>
  <c r="CU62" i="7"/>
  <c r="CU137" i="7"/>
  <c r="CU152" i="7"/>
  <c r="CU92" i="7"/>
  <c r="CU77" i="7"/>
  <c r="CU37" i="7"/>
  <c r="CU38" i="7" s="1"/>
  <c r="CU142" i="7"/>
  <c r="CU143" i="7" s="1"/>
  <c r="CU82" i="7"/>
  <c r="CU83" i="7" s="1"/>
  <c r="CU47" i="7"/>
  <c r="CU127" i="7"/>
  <c r="CU128" i="7" s="1"/>
  <c r="CU172" i="7"/>
  <c r="CU173" i="7" s="1"/>
  <c r="CU32" i="7"/>
  <c r="CU122" i="7"/>
  <c r="CU167" i="7"/>
  <c r="CU8" i="7"/>
  <c r="CT154" i="7"/>
  <c r="CT160" i="7" s="1"/>
  <c r="CT163" i="7"/>
  <c r="CT109" i="7"/>
  <c r="CT118" i="7"/>
  <c r="CT73" i="7"/>
  <c r="CS133" i="11"/>
  <c r="CS26" i="11"/>
  <c r="CS20" i="11" s="1"/>
  <c r="CS108" i="11"/>
  <c r="CT103" i="7"/>
  <c r="CT178" i="7"/>
  <c r="CT169" i="7"/>
  <c r="CT175" i="7" s="1"/>
  <c r="CT43" i="7"/>
  <c r="CT10" i="7"/>
  <c r="CT34" i="7"/>
  <c r="CT261" i="11"/>
  <c r="CT18" i="7" s="1"/>
  <c r="CT11" i="11"/>
  <c r="CT16" i="11" s="1"/>
  <c r="CT76" i="11" s="1"/>
  <c r="BQ120" i="11"/>
  <c r="CA119" i="11"/>
  <c r="AK70" i="7"/>
  <c r="CA162" i="11"/>
  <c r="AM145" i="7" l="1"/>
  <c r="AN139" i="7"/>
  <c r="CT130" i="7"/>
  <c r="CT131" i="7"/>
  <c r="CT115" i="7"/>
  <c r="CT116" i="7"/>
  <c r="AN64" i="7"/>
  <c r="AM71" i="7"/>
  <c r="AM100" i="7"/>
  <c r="AN94" i="7"/>
  <c r="AN101" i="7" s="1"/>
  <c r="CT110" i="11"/>
  <c r="DX66" i="11"/>
  <c r="DX65" i="11" s="1"/>
  <c r="CT111" i="11"/>
  <c r="DR78" i="11"/>
  <c r="DR77" i="11" s="1"/>
  <c r="CS146" i="11"/>
  <c r="CS47" i="11"/>
  <c r="CT83" i="11"/>
  <c r="CT84" i="11" s="1"/>
  <c r="CT149" i="11"/>
  <c r="CT148" i="11"/>
  <c r="CU102" i="7"/>
  <c r="CU99" i="7"/>
  <c r="CU93" i="7"/>
  <c r="CU131" i="11"/>
  <c r="CU229" i="11"/>
  <c r="CU117" i="7"/>
  <c r="CU114" i="7"/>
  <c r="CU108" i="7"/>
  <c r="CT40" i="7"/>
  <c r="CT41" i="7"/>
  <c r="CU162" i="7"/>
  <c r="CU159" i="7"/>
  <c r="CU153" i="7"/>
  <c r="CT215" i="11"/>
  <c r="CT231" i="11"/>
  <c r="CU57" i="7"/>
  <c r="CU48" i="7"/>
  <c r="CU58" i="7" s="1"/>
  <c r="CU147" i="7"/>
  <c r="CU144" i="7"/>
  <c r="CU138" i="7"/>
  <c r="CU72" i="7"/>
  <c r="CU69" i="7"/>
  <c r="CU63" i="7"/>
  <c r="CT211" i="11"/>
  <c r="CT237" i="11"/>
  <c r="CV1" i="11"/>
  <c r="CV22" i="10"/>
  <c r="CV27" i="10"/>
  <c r="CV1" i="7"/>
  <c r="CU42" i="7"/>
  <c r="CU39" i="7"/>
  <c r="CU33" i="7"/>
  <c r="CU214" i="11"/>
  <c r="CU230" i="11"/>
  <c r="CT85" i="7"/>
  <c r="CT86" i="7"/>
  <c r="CT40" i="11"/>
  <c r="CT42" i="11" s="1"/>
  <c r="CT19" i="11"/>
  <c r="CU177" i="7"/>
  <c r="CU168" i="7"/>
  <c r="CU174" i="7"/>
  <c r="CT116" i="11"/>
  <c r="CT151" i="11"/>
  <c r="CU48" i="10"/>
  <c r="CU132" i="7"/>
  <c r="CU129" i="7"/>
  <c r="CU123" i="7"/>
  <c r="CU87" i="7"/>
  <c r="CU78" i="7"/>
  <c r="CU84" i="7"/>
  <c r="CU4" i="11"/>
  <c r="CU4" i="7"/>
  <c r="BQ150" i="11"/>
  <c r="DM90" i="11"/>
  <c r="DM89" i="11" s="1"/>
  <c r="BQ105" i="11"/>
  <c r="BQ93" i="11"/>
  <c r="BQ137" i="11" s="1"/>
  <c r="BQ112" i="11"/>
  <c r="BQ95" i="11"/>
  <c r="BQ163" i="11"/>
  <c r="AL70" i="7"/>
  <c r="CA81" i="11"/>
  <c r="CA136" i="11" s="1"/>
  <c r="AN145" i="7" l="1"/>
  <c r="AO139" i="7"/>
  <c r="AO64" i="7"/>
  <c r="AN71" i="7"/>
  <c r="CU323" i="11"/>
  <c r="CU324" i="11"/>
  <c r="AN100" i="7"/>
  <c r="AO94" i="7"/>
  <c r="AO101" i="7" s="1"/>
  <c r="CO150" i="11"/>
  <c r="CV82" i="7"/>
  <c r="CV83" i="7" s="1"/>
  <c r="CV127" i="7"/>
  <c r="CV128" i="7" s="1"/>
  <c r="CV47" i="7"/>
  <c r="CV77" i="7"/>
  <c r="CV122" i="7"/>
  <c r="CV37" i="7"/>
  <c r="CV38" i="7" s="1"/>
  <c r="CV137" i="7"/>
  <c r="CV172" i="7"/>
  <c r="CV173" i="7" s="1"/>
  <c r="CV112" i="7"/>
  <c r="CV113" i="7" s="1"/>
  <c r="CV32" i="7"/>
  <c r="CV167" i="7"/>
  <c r="CV107" i="7"/>
  <c r="CV8" i="7"/>
  <c r="CV152" i="7"/>
  <c r="CV67" i="7"/>
  <c r="CV68" i="7" s="1"/>
  <c r="CV157" i="7"/>
  <c r="CV158" i="7" s="1"/>
  <c r="CV7" i="7"/>
  <c r="CV92" i="7"/>
  <c r="CV97" i="7"/>
  <c r="CV98" i="7" s="1"/>
  <c r="CV142" i="7"/>
  <c r="CV143" i="7" s="1"/>
  <c r="CV62" i="7"/>
  <c r="CT47" i="11"/>
  <c r="CT133" i="11"/>
  <c r="CT146" i="11"/>
  <c r="CT26" i="11"/>
  <c r="CT20" i="11" s="1"/>
  <c r="CU10" i="11"/>
  <c r="CU15" i="11" s="1"/>
  <c r="CU64" i="11" s="1"/>
  <c r="DY66" i="11" s="1"/>
  <c r="DY65" i="11" s="1"/>
  <c r="CU9" i="11"/>
  <c r="CU14" i="11" s="1"/>
  <c r="CU52" i="11" s="1"/>
  <c r="CU115" i="11"/>
  <c r="CU210" i="11"/>
  <c r="CU171" i="11"/>
  <c r="CU8" i="11"/>
  <c r="CU13" i="11" s="1"/>
  <c r="CU176" i="11"/>
  <c r="CU11" i="11"/>
  <c r="CU16" i="11" s="1"/>
  <c r="CU76" i="11" s="1"/>
  <c r="DS78" i="11" s="1"/>
  <c r="DS77" i="11" s="1"/>
  <c r="CU12" i="11"/>
  <c r="CU17" i="11" s="1"/>
  <c r="CU88" i="11" s="1"/>
  <c r="CU35" i="11"/>
  <c r="CU148" i="7"/>
  <c r="CU109" i="7"/>
  <c r="CU118" i="7"/>
  <c r="CV46" i="10"/>
  <c r="CV38" i="10"/>
  <c r="CV39" i="10"/>
  <c r="CV45" i="10"/>
  <c r="CV37" i="10"/>
  <c r="CV44" i="10"/>
  <c r="CV36" i="10"/>
  <c r="CV2" i="7"/>
  <c r="CV43" i="10"/>
  <c r="CV35" i="10"/>
  <c r="CV41" i="10"/>
  <c r="CV19" i="10"/>
  <c r="CV2" i="11"/>
  <c r="CV42" i="10"/>
  <c r="CV23" i="10"/>
  <c r="CW21" i="10"/>
  <c r="CV40" i="10"/>
  <c r="CV24" i="10"/>
  <c r="CU154" i="7"/>
  <c r="CU160" i="7" s="1"/>
  <c r="CU163" i="7"/>
  <c r="CU79" i="7"/>
  <c r="CU88" i="7"/>
  <c r="CU261" i="11"/>
  <c r="CU18" i="7" s="1"/>
  <c r="CU285" i="11"/>
  <c r="CU103" i="7"/>
  <c r="CU124" i="7"/>
  <c r="CU133" i="7"/>
  <c r="CU178" i="7"/>
  <c r="CU169" i="7"/>
  <c r="CU175" i="7" s="1"/>
  <c r="CU43" i="7"/>
  <c r="CU10" i="7"/>
  <c r="CU34" i="7"/>
  <c r="CU73" i="7"/>
  <c r="BQ96" i="11"/>
  <c r="CB75" i="11"/>
  <c r="CB104" i="11" s="1"/>
  <c r="BR87" i="11"/>
  <c r="BR92" i="11"/>
  <c r="BR142" i="11" s="1"/>
  <c r="I14" i="14"/>
  <c r="BR91" i="11"/>
  <c r="BR155" i="11" s="1"/>
  <c r="AM70" i="7"/>
  <c r="CB79" i="11"/>
  <c r="CB154" i="11" s="1"/>
  <c r="CB80" i="11"/>
  <c r="CB141" i="11" s="1"/>
  <c r="AO145" i="7" l="1"/>
  <c r="AP139" i="7"/>
  <c r="CU130" i="7"/>
  <c r="CU131" i="7"/>
  <c r="CU115" i="7"/>
  <c r="CU116" i="7"/>
  <c r="AP64" i="7"/>
  <c r="AO71" i="7"/>
  <c r="AO100" i="7"/>
  <c r="AP94" i="7"/>
  <c r="AP101" i="7" s="1"/>
  <c r="CT108" i="11"/>
  <c r="CO112" i="11"/>
  <c r="CO95" i="11"/>
  <c r="CU116" i="11"/>
  <c r="CU151" i="11"/>
  <c r="CV147" i="7"/>
  <c r="CV144" i="7"/>
  <c r="CV138" i="7"/>
  <c r="CW22" i="10"/>
  <c r="CW27" i="10"/>
  <c r="CW1" i="7"/>
  <c r="CW1" i="11"/>
  <c r="CV162" i="7"/>
  <c r="CV159" i="7"/>
  <c r="CV153" i="7"/>
  <c r="CV72" i="7"/>
  <c r="CV63" i="7"/>
  <c r="CV69" i="7"/>
  <c r="CV117" i="7"/>
  <c r="CV114" i="7"/>
  <c r="CV108" i="7"/>
  <c r="CV87" i="7"/>
  <c r="CV78" i="7"/>
  <c r="CV84" i="7"/>
  <c r="CV230" i="11"/>
  <c r="CV214" i="11"/>
  <c r="CU86" i="7"/>
  <c r="CU85" i="7"/>
  <c r="CU40" i="11"/>
  <c r="CU42" i="11" s="1"/>
  <c r="CU19" i="11"/>
  <c r="CV177" i="7"/>
  <c r="CV168" i="7"/>
  <c r="CV174" i="7"/>
  <c r="CV102" i="7"/>
  <c r="CV99" i="7"/>
  <c r="CV93" i="7"/>
  <c r="CV42" i="7"/>
  <c r="CV33" i="7"/>
  <c r="CV39" i="7"/>
  <c r="CV57" i="7"/>
  <c r="CV48" i="7"/>
  <c r="CV58" i="7" s="1"/>
  <c r="CV4" i="11"/>
  <c r="CV4" i="7"/>
  <c r="CV132" i="7"/>
  <c r="CV129" i="7"/>
  <c r="CV123" i="7"/>
  <c r="CU41" i="7"/>
  <c r="CU40" i="7"/>
  <c r="CU211" i="11"/>
  <c r="CU237" i="11"/>
  <c r="CV131" i="11"/>
  <c r="CV229" i="11"/>
  <c r="CU215" i="11"/>
  <c r="CU231" i="11"/>
  <c r="CV48" i="10"/>
  <c r="CU148" i="11"/>
  <c r="CU110" i="11"/>
  <c r="CU83" i="11"/>
  <c r="CU84" i="11" s="1"/>
  <c r="CU149" i="11"/>
  <c r="CU111" i="11"/>
  <c r="BR120" i="11"/>
  <c r="CB119" i="11"/>
  <c r="AN70" i="7"/>
  <c r="CB162" i="11"/>
  <c r="AP145" i="7" l="1"/>
  <c r="AQ139" i="7"/>
  <c r="AQ64" i="7"/>
  <c r="AP71" i="7"/>
  <c r="CV323" i="11"/>
  <c r="CV324" i="11"/>
  <c r="AP100" i="7"/>
  <c r="AQ94" i="7"/>
  <c r="AQ101" i="7" s="1"/>
  <c r="CV285" i="11"/>
  <c r="CV261" i="11"/>
  <c r="CV18" i="7" s="1"/>
  <c r="CW142" i="7"/>
  <c r="CW143" i="7" s="1"/>
  <c r="CW7" i="7"/>
  <c r="CW8" i="7"/>
  <c r="CW137" i="7"/>
  <c r="CW107" i="7"/>
  <c r="CW112" i="7"/>
  <c r="CW113" i="7" s="1"/>
  <c r="CW82" i="7"/>
  <c r="CW83" i="7" s="1"/>
  <c r="CW97" i="7"/>
  <c r="CW98" i="7" s="1"/>
  <c r="CW67" i="7"/>
  <c r="CW68" i="7" s="1"/>
  <c r="CW172" i="7"/>
  <c r="CW173" i="7" s="1"/>
  <c r="CW92" i="7"/>
  <c r="CW62" i="7"/>
  <c r="CW167" i="7"/>
  <c r="CW77" i="7"/>
  <c r="CW47" i="7"/>
  <c r="CW122" i="7"/>
  <c r="CW152" i="7"/>
  <c r="CW127" i="7"/>
  <c r="CW128" i="7" s="1"/>
  <c r="CW32" i="7"/>
  <c r="CW157" i="7"/>
  <c r="CW158" i="7" s="1"/>
  <c r="CW37" i="7"/>
  <c r="CW38" i="7" s="1"/>
  <c r="CV73" i="7"/>
  <c r="CW2" i="7"/>
  <c r="CW45" i="10"/>
  <c r="CW40" i="10"/>
  <c r="CW43" i="10"/>
  <c r="CW38" i="10"/>
  <c r="CW41" i="10"/>
  <c r="CW35" i="10"/>
  <c r="CW39" i="10"/>
  <c r="CW19" i="10"/>
  <c r="CW37" i="10"/>
  <c r="CW24" i="10"/>
  <c r="CW2" i="11"/>
  <c r="CW36" i="10"/>
  <c r="CX21" i="10"/>
  <c r="CW44" i="10"/>
  <c r="CW42" i="10"/>
  <c r="CW46" i="10"/>
  <c r="CW23" i="10"/>
  <c r="CV169" i="7"/>
  <c r="CV175" i="7" s="1"/>
  <c r="CV178" i="7"/>
  <c r="CV124" i="7"/>
  <c r="CV133" i="7"/>
  <c r="CV79" i="7"/>
  <c r="CV88" i="7"/>
  <c r="CV148" i="7"/>
  <c r="CV43" i="7"/>
  <c r="CV10" i="7"/>
  <c r="CV34" i="7"/>
  <c r="CV154" i="7"/>
  <c r="CV160" i="7" s="1"/>
  <c r="CV163" i="7"/>
  <c r="CU133" i="11"/>
  <c r="CU108" i="11"/>
  <c r="CU26" i="11"/>
  <c r="CU20" i="11" s="1"/>
  <c r="CV109" i="7"/>
  <c r="CV118" i="7"/>
  <c r="CV103" i="7"/>
  <c r="CV171" i="11"/>
  <c r="CV115" i="11"/>
  <c r="CV210" i="11"/>
  <c r="CV9" i="11"/>
  <c r="CV14" i="11" s="1"/>
  <c r="CV52" i="11" s="1"/>
  <c r="CV35" i="11"/>
  <c r="CV10" i="11"/>
  <c r="CV15" i="11" s="1"/>
  <c r="CV11" i="11"/>
  <c r="CV16" i="11" s="1"/>
  <c r="CV76" i="11" s="1"/>
  <c r="CV176" i="11"/>
  <c r="CV12" i="11"/>
  <c r="CV17" i="11" s="1"/>
  <c r="CV88" i="11" s="1"/>
  <c r="CV8" i="11"/>
  <c r="CV13" i="11" s="1"/>
  <c r="BR150" i="11"/>
  <c r="DN90" i="11"/>
  <c r="DN89" i="11" s="1"/>
  <c r="BR105" i="11"/>
  <c r="BR93" i="11"/>
  <c r="BR137" i="11" s="1"/>
  <c r="BR112" i="11"/>
  <c r="BR95" i="11"/>
  <c r="BR163" i="11"/>
  <c r="AO70" i="7"/>
  <c r="CB81" i="11"/>
  <c r="CB136" i="11" s="1"/>
  <c r="AQ145" i="7" l="1"/>
  <c r="AR139" i="7"/>
  <c r="CV130" i="7"/>
  <c r="CV131" i="7"/>
  <c r="CV115" i="7"/>
  <c r="CV116" i="7"/>
  <c r="AR64" i="7"/>
  <c r="AQ71" i="7"/>
  <c r="AQ100" i="7"/>
  <c r="AR94" i="7"/>
  <c r="AR101" i="7" s="1"/>
  <c r="DT78" i="11"/>
  <c r="DT77" i="11" s="1"/>
  <c r="CU47" i="11"/>
  <c r="CU146" i="11"/>
  <c r="CV83" i="11"/>
  <c r="CV84" i="11" s="1"/>
  <c r="CV111" i="11"/>
  <c r="CV149" i="11"/>
  <c r="CV64" i="11"/>
  <c r="CV231" i="11"/>
  <c r="CV215" i="11"/>
  <c r="CX22" i="10"/>
  <c r="CX1" i="7"/>
  <c r="CX27" i="10"/>
  <c r="CX1" i="11"/>
  <c r="CW87" i="7"/>
  <c r="CW84" i="7"/>
  <c r="CW78" i="7"/>
  <c r="CV116" i="11"/>
  <c r="CV151" i="11"/>
  <c r="CW177" i="7"/>
  <c r="CW174" i="7"/>
  <c r="CW168" i="7"/>
  <c r="CW117" i="7"/>
  <c r="CW108" i="7"/>
  <c r="CW114" i="7"/>
  <c r="CW72" i="7"/>
  <c r="CW63" i="7"/>
  <c r="CW69" i="7"/>
  <c r="CW147" i="7"/>
  <c r="CW144" i="7"/>
  <c r="CW138" i="7"/>
  <c r="CV40" i="11"/>
  <c r="CV42" i="11" s="1"/>
  <c r="CV19" i="11"/>
  <c r="CW42" i="7"/>
  <c r="CW39" i="7"/>
  <c r="CW33" i="7"/>
  <c r="CW102" i="7"/>
  <c r="CW99" i="7"/>
  <c r="CW93" i="7"/>
  <c r="CW214" i="11"/>
  <c r="CW230" i="11"/>
  <c r="CW4" i="11"/>
  <c r="CW4" i="7"/>
  <c r="CW229" i="11"/>
  <c r="CW131" i="11"/>
  <c r="CW162" i="7"/>
  <c r="CW153" i="7"/>
  <c r="CW159" i="7"/>
  <c r="CW132" i="7"/>
  <c r="CW129" i="7"/>
  <c r="CW123" i="7"/>
  <c r="CV211" i="11"/>
  <c r="CV237" i="11"/>
  <c r="CV41" i="7"/>
  <c r="CV40" i="7"/>
  <c r="CV86" i="7"/>
  <c r="CV85" i="7"/>
  <c r="CW48" i="10"/>
  <c r="CW57" i="7"/>
  <c r="CW48" i="7"/>
  <c r="CW58" i="7" s="1"/>
  <c r="BR96" i="11"/>
  <c r="CC75" i="11"/>
  <c r="CC104" i="11" s="1"/>
  <c r="BS87" i="11"/>
  <c r="BS91" i="11"/>
  <c r="BS155" i="11" s="1"/>
  <c r="BS92" i="11"/>
  <c r="BS142" i="11" s="1"/>
  <c r="AP70" i="7"/>
  <c r="CC80" i="11"/>
  <c r="CC141" i="11" s="1"/>
  <c r="CC79" i="11"/>
  <c r="CC154" i="11" s="1"/>
  <c r="AR145" i="7" l="1"/>
  <c r="AS139" i="7"/>
  <c r="AS64" i="7"/>
  <c r="AR71" i="7"/>
  <c r="CW323" i="11"/>
  <c r="CW324" i="11"/>
  <c r="AR100" i="7"/>
  <c r="AS94" i="7"/>
  <c r="AS101" i="7" s="1"/>
  <c r="CW43" i="7"/>
  <c r="CW10" i="7"/>
  <c r="CW34" i="7"/>
  <c r="CW124" i="7"/>
  <c r="CW133" i="7"/>
  <c r="CW73" i="7"/>
  <c r="CX142" i="7"/>
  <c r="CX143" i="7" s="1"/>
  <c r="CX97" i="7"/>
  <c r="CX98" i="7" s="1"/>
  <c r="CX8" i="7"/>
  <c r="CX137" i="7"/>
  <c r="CX7" i="7"/>
  <c r="CX82" i="7"/>
  <c r="CX83" i="7" s="1"/>
  <c r="CX127" i="7"/>
  <c r="CX128" i="7" s="1"/>
  <c r="CX67" i="7"/>
  <c r="CX68" i="7" s="1"/>
  <c r="CX122" i="7"/>
  <c r="CX62" i="7"/>
  <c r="CX172" i="7"/>
  <c r="CX173" i="7" s="1"/>
  <c r="CX112" i="7"/>
  <c r="CX113" i="7" s="1"/>
  <c r="CX167" i="7"/>
  <c r="CX107" i="7"/>
  <c r="CX47" i="7"/>
  <c r="CX157" i="7"/>
  <c r="CX158" i="7" s="1"/>
  <c r="CX92" i="7"/>
  <c r="CX37" i="7"/>
  <c r="CX38" i="7" s="1"/>
  <c r="CX152" i="7"/>
  <c r="CX77" i="7"/>
  <c r="CX32" i="7"/>
  <c r="CW176" i="11"/>
  <c r="CW9" i="11"/>
  <c r="CW14" i="11" s="1"/>
  <c r="CW52" i="11" s="1"/>
  <c r="CW10" i="11"/>
  <c r="CW15" i="11" s="1"/>
  <c r="CW64" i="11" s="1"/>
  <c r="CW11" i="11"/>
  <c r="CW16" i="11" s="1"/>
  <c r="CW76" i="11" s="1"/>
  <c r="DU78" i="11" s="1"/>
  <c r="DU77" i="11" s="1"/>
  <c r="CW171" i="11"/>
  <c r="CW8" i="11"/>
  <c r="CW13" i="11" s="1"/>
  <c r="CW210" i="11"/>
  <c r="CW115" i="11"/>
  <c r="CW12" i="11"/>
  <c r="CW17" i="11" s="1"/>
  <c r="CW88" i="11" s="1"/>
  <c r="CW35" i="11"/>
  <c r="CX36" i="10"/>
  <c r="CX23" i="10"/>
  <c r="CX46" i="10"/>
  <c r="CX40" i="10"/>
  <c r="CX45" i="10"/>
  <c r="CX38" i="10"/>
  <c r="CX42" i="10"/>
  <c r="CX44" i="10"/>
  <c r="CX43" i="10"/>
  <c r="CX35" i="10"/>
  <c r="CX41" i="10"/>
  <c r="CX24" i="10"/>
  <c r="CX2" i="7"/>
  <c r="CX39" i="10"/>
  <c r="CY21" i="10"/>
  <c r="CX2" i="11"/>
  <c r="CX37" i="10"/>
  <c r="CX19" i="10"/>
  <c r="CW285" i="11"/>
  <c r="CW261" i="11"/>
  <c r="CW18" i="7" s="1"/>
  <c r="CV133" i="11"/>
  <c r="CV47" i="11"/>
  <c r="CV26" i="11"/>
  <c r="CV20" i="11" s="1"/>
  <c r="CW109" i="7"/>
  <c r="CW118" i="7"/>
  <c r="CW79" i="7"/>
  <c r="CW88" i="7"/>
  <c r="CW154" i="7"/>
  <c r="CW160" i="7" s="1"/>
  <c r="CW163" i="7"/>
  <c r="CW103" i="7"/>
  <c r="CW148" i="7"/>
  <c r="CV148" i="11"/>
  <c r="CV110" i="11"/>
  <c r="CW169" i="7"/>
  <c r="CW175" i="7" s="1"/>
  <c r="CW178" i="7"/>
  <c r="CP112" i="11"/>
  <c r="CP150" i="11"/>
  <c r="CP95" i="11"/>
  <c r="BS120" i="11"/>
  <c r="CC119" i="11"/>
  <c r="AQ70" i="7"/>
  <c r="CC162" i="11"/>
  <c r="CC81" i="11"/>
  <c r="CC136" i="11" s="1"/>
  <c r="AS145" i="7" l="1"/>
  <c r="AT139" i="7"/>
  <c r="CW130" i="7"/>
  <c r="CW131" i="7"/>
  <c r="CW115" i="7"/>
  <c r="CW116" i="7"/>
  <c r="AT64" i="7"/>
  <c r="AS71" i="7"/>
  <c r="AS100" i="7"/>
  <c r="AT94" i="7"/>
  <c r="AT101" i="7" s="1"/>
  <c r="CV146" i="11"/>
  <c r="CV108" i="11"/>
  <c r="CW116" i="11"/>
  <c r="CW151" i="11"/>
  <c r="CX57" i="7"/>
  <c r="CX48" i="7"/>
  <c r="CX58" i="7" s="1"/>
  <c r="CX132" i="7"/>
  <c r="CX129" i="7"/>
  <c r="CX123" i="7"/>
  <c r="CX117" i="7"/>
  <c r="CX114" i="7"/>
  <c r="CX108" i="7"/>
  <c r="CW149" i="11"/>
  <c r="CW111" i="11"/>
  <c r="CW83" i="11"/>
  <c r="CW84" i="11" s="1"/>
  <c r="CW211" i="11"/>
  <c r="CW237" i="11"/>
  <c r="CX42" i="7"/>
  <c r="CX39" i="7"/>
  <c r="CX33" i="7"/>
  <c r="CX177" i="7"/>
  <c r="CX168" i="7"/>
  <c r="CX174" i="7"/>
  <c r="CW86" i="7"/>
  <c r="CW85" i="7"/>
  <c r="CW148" i="11"/>
  <c r="CW110" i="11"/>
  <c r="CX48" i="10"/>
  <c r="CX4" i="11"/>
  <c r="CX4" i="7"/>
  <c r="CX87" i="7"/>
  <c r="CX84" i="7"/>
  <c r="CX78" i="7"/>
  <c r="CX131" i="11"/>
  <c r="CX229" i="11"/>
  <c r="CX162" i="7"/>
  <c r="CX159" i="7"/>
  <c r="CX153" i="7"/>
  <c r="CX147" i="7"/>
  <c r="CX144" i="7"/>
  <c r="CX138" i="7"/>
  <c r="CW40" i="7"/>
  <c r="CW41" i="7"/>
  <c r="CW40" i="11"/>
  <c r="CW42" i="11" s="1"/>
  <c r="CW19" i="11"/>
  <c r="CX230" i="11"/>
  <c r="CX214" i="11"/>
  <c r="CW215" i="11"/>
  <c r="CW231" i="11"/>
  <c r="CY1" i="11"/>
  <c r="CY22" i="10"/>
  <c r="CY27" i="10"/>
  <c r="CY1" i="7"/>
  <c r="CX102" i="7"/>
  <c r="CX99" i="7"/>
  <c r="CX93" i="7"/>
  <c r="CX72" i="7"/>
  <c r="CX69" i="7"/>
  <c r="CX63" i="7"/>
  <c r="BS150" i="11"/>
  <c r="DO90" i="11"/>
  <c r="DO89" i="11" s="1"/>
  <c r="CD75" i="11"/>
  <c r="CD79" i="11"/>
  <c r="CD154" i="11" s="1"/>
  <c r="CD80" i="11"/>
  <c r="CD141" i="11" s="1"/>
  <c r="BS105" i="11"/>
  <c r="J13" i="14"/>
  <c r="BS93" i="11"/>
  <c r="BS137" i="11" s="1"/>
  <c r="BS95" i="11"/>
  <c r="BS112" i="11"/>
  <c r="BS163" i="11"/>
  <c r="AR70" i="7"/>
  <c r="K47" i="11"/>
  <c r="AT145" i="7" l="1"/>
  <c r="AU139" i="7"/>
  <c r="AU64" i="7"/>
  <c r="AT71" i="7"/>
  <c r="CX324" i="11"/>
  <c r="CX323" i="11"/>
  <c r="AT100" i="7"/>
  <c r="AU94" i="7"/>
  <c r="AU101" i="7" s="1"/>
  <c r="CY152" i="7"/>
  <c r="CY92" i="7"/>
  <c r="CY37" i="7"/>
  <c r="CY38" i="7" s="1"/>
  <c r="CY142" i="7"/>
  <c r="CY143" i="7" s="1"/>
  <c r="CY82" i="7"/>
  <c r="CY83" i="7" s="1"/>
  <c r="CY32" i="7"/>
  <c r="CY47" i="7"/>
  <c r="CY137" i="7"/>
  <c r="CY77" i="7"/>
  <c r="CY8" i="7"/>
  <c r="CY127" i="7"/>
  <c r="CY128" i="7" s="1"/>
  <c r="CY7" i="7"/>
  <c r="CY97" i="7"/>
  <c r="CY98" i="7" s="1"/>
  <c r="CY122" i="7"/>
  <c r="CY67" i="7"/>
  <c r="CY68" i="7" s="1"/>
  <c r="CY172" i="7"/>
  <c r="CY173" i="7" s="1"/>
  <c r="CY112" i="7"/>
  <c r="CY113" i="7" s="1"/>
  <c r="CY62" i="7"/>
  <c r="CY157" i="7"/>
  <c r="CY158" i="7" s="1"/>
  <c r="CY167" i="7"/>
  <c r="CY107" i="7"/>
  <c r="CX154" i="7"/>
  <c r="CX160" i="7" s="1"/>
  <c r="CX163" i="7"/>
  <c r="CX169" i="7"/>
  <c r="CX175" i="7" s="1"/>
  <c r="CX178" i="7"/>
  <c r="CX176" i="11"/>
  <c r="CX10" i="11"/>
  <c r="CX15" i="11" s="1"/>
  <c r="CX64" i="11" s="1"/>
  <c r="CX148" i="11" s="1"/>
  <c r="CX171" i="11"/>
  <c r="CX8" i="11"/>
  <c r="CX13" i="11" s="1"/>
  <c r="CX115" i="11"/>
  <c r="CX11" i="11"/>
  <c r="CX16" i="11" s="1"/>
  <c r="CX76" i="11" s="1"/>
  <c r="CX210" i="11"/>
  <c r="CX35" i="11"/>
  <c r="CX9" i="11"/>
  <c r="CX14" i="11" s="1"/>
  <c r="CX52" i="11" s="1"/>
  <c r="CY2" i="11"/>
  <c r="CY43" i="10"/>
  <c r="CY35" i="10"/>
  <c r="CY42" i="10"/>
  <c r="CZ21" i="10"/>
  <c r="CY19" i="10"/>
  <c r="CY39" i="10"/>
  <c r="CY41" i="10"/>
  <c r="CY23" i="10"/>
  <c r="CY36" i="10"/>
  <c r="CY40" i="10"/>
  <c r="CY24" i="10"/>
  <c r="CY46" i="10"/>
  <c r="CY38" i="10"/>
  <c r="CY2" i="7"/>
  <c r="CY44" i="10"/>
  <c r="CY45" i="10"/>
  <c r="CY37" i="10"/>
  <c r="CX43" i="7"/>
  <c r="CX10" i="7"/>
  <c r="CX34" i="7"/>
  <c r="CX73" i="7"/>
  <c r="CW47" i="11"/>
  <c r="CW108" i="11"/>
  <c r="CW26" i="11"/>
  <c r="CW20" i="11" s="1"/>
  <c r="CW133" i="11"/>
  <c r="CX109" i="7"/>
  <c r="CX118" i="7"/>
  <c r="CX103" i="7"/>
  <c r="CX148" i="7"/>
  <c r="CX79" i="7"/>
  <c r="CX88" i="7"/>
  <c r="CX285" i="11"/>
  <c r="CX261" i="11"/>
  <c r="CX18" i="7" s="1"/>
  <c r="CX133" i="7"/>
  <c r="CX124" i="7"/>
  <c r="CX12" i="11"/>
  <c r="CX17" i="11" s="1"/>
  <c r="CX88" i="11" s="1"/>
  <c r="BS96" i="11"/>
  <c r="CD162" i="11"/>
  <c r="CD104" i="11"/>
  <c r="CD119" i="11"/>
  <c r="CD81" i="11"/>
  <c r="CD136" i="11" s="1"/>
  <c r="BT87" i="11"/>
  <c r="BT91" i="11"/>
  <c r="BT155" i="11" s="1"/>
  <c r="BT92" i="11"/>
  <c r="BT142" i="11" s="1"/>
  <c r="AS70" i="7"/>
  <c r="L47" i="11"/>
  <c r="AU145" i="7" l="1"/>
  <c r="AV139" i="7"/>
  <c r="CX130" i="7"/>
  <c r="CX131" i="7"/>
  <c r="CX115" i="7"/>
  <c r="CX116" i="7"/>
  <c r="AV64" i="7"/>
  <c r="AU71" i="7"/>
  <c r="AU100" i="7"/>
  <c r="AV94" i="7"/>
  <c r="AV101" i="7" s="1"/>
  <c r="CX111" i="11"/>
  <c r="DV78" i="11"/>
  <c r="DV77" i="11" s="1"/>
  <c r="CW146" i="11"/>
  <c r="CX83" i="11"/>
  <c r="CX84" i="11" s="1"/>
  <c r="CX149" i="11"/>
  <c r="CX110" i="11"/>
  <c r="CY4" i="11"/>
  <c r="CY4" i="7"/>
  <c r="CY147" i="7"/>
  <c r="CY144" i="7"/>
  <c r="CY138" i="7"/>
  <c r="CY132" i="7"/>
  <c r="CY129" i="7"/>
  <c r="CY123" i="7"/>
  <c r="CY42" i="7"/>
  <c r="CY39" i="7"/>
  <c r="CY33" i="7"/>
  <c r="CX40" i="11"/>
  <c r="CX42" i="11" s="1"/>
  <c r="CX19" i="11"/>
  <c r="CX86" i="7"/>
  <c r="CX85" i="7"/>
  <c r="CX211" i="11"/>
  <c r="CX237" i="11"/>
  <c r="CY117" i="7"/>
  <c r="CY114" i="7"/>
  <c r="CY108" i="7"/>
  <c r="CY57" i="7"/>
  <c r="CY48" i="7"/>
  <c r="CY58" i="7" s="1"/>
  <c r="CX41" i="7"/>
  <c r="CX40" i="7"/>
  <c r="CZ1" i="11"/>
  <c r="CZ1" i="7"/>
  <c r="CZ22" i="10"/>
  <c r="CZ27" i="10"/>
  <c r="CY177" i="7"/>
  <c r="CY174" i="7"/>
  <c r="CY168" i="7"/>
  <c r="CY131" i="11"/>
  <c r="CY229" i="11"/>
  <c r="CX231" i="11"/>
  <c r="CX215" i="11"/>
  <c r="CY48" i="10"/>
  <c r="CX116" i="11"/>
  <c r="CX151" i="11"/>
  <c r="CY72" i="7"/>
  <c r="CY69" i="7"/>
  <c r="CY63" i="7"/>
  <c r="CY230" i="11"/>
  <c r="CY214" i="11"/>
  <c r="CY261" i="11" s="1"/>
  <c r="CY18" i="7" s="1"/>
  <c r="CY102" i="7"/>
  <c r="CY99" i="7"/>
  <c r="CY93" i="7"/>
  <c r="CY87" i="7"/>
  <c r="CY78" i="7"/>
  <c r="CY84" i="7"/>
  <c r="CY162" i="7"/>
  <c r="CY159" i="7"/>
  <c r="CY153" i="7"/>
  <c r="CQ150" i="11"/>
  <c r="CQ95" i="11"/>
  <c r="CQ112" i="11"/>
  <c r="CE80" i="11"/>
  <c r="CE141" i="11" s="1"/>
  <c r="CE79" i="11"/>
  <c r="CE154" i="11" s="1"/>
  <c r="CE75" i="11"/>
  <c r="BT120" i="11"/>
  <c r="AT70" i="7"/>
  <c r="M47" i="11"/>
  <c r="AV145" i="7" l="1"/>
  <c r="AW139" i="7"/>
  <c r="AW64" i="7"/>
  <c r="AV71" i="7"/>
  <c r="CY323" i="11"/>
  <c r="CY324" i="11"/>
  <c r="AV100" i="7"/>
  <c r="AW94" i="7"/>
  <c r="AW101" i="7" s="1"/>
  <c r="CY9" i="11"/>
  <c r="CY14" i="11" s="1"/>
  <c r="CY52" i="11" s="1"/>
  <c r="CZ45" i="10"/>
  <c r="CZ37" i="10"/>
  <c r="CZ46" i="10"/>
  <c r="CZ44" i="10"/>
  <c r="CZ35" i="10"/>
  <c r="CZ43" i="10"/>
  <c r="CZ36" i="10"/>
  <c r="CZ38" i="10"/>
  <c r="CZ2" i="7"/>
  <c r="CZ42" i="10"/>
  <c r="DA21" i="10"/>
  <c r="CZ41" i="10"/>
  <c r="CZ23" i="10"/>
  <c r="CZ40" i="10"/>
  <c r="CZ19" i="10"/>
  <c r="CZ2" i="11"/>
  <c r="CZ39" i="10"/>
  <c r="CZ24" i="10"/>
  <c r="CY109" i="7"/>
  <c r="CY118" i="7"/>
  <c r="CY148" i="7"/>
  <c r="CY73" i="7"/>
  <c r="CZ157" i="7"/>
  <c r="CZ158" i="7" s="1"/>
  <c r="CZ97" i="7"/>
  <c r="CZ98" i="7" s="1"/>
  <c r="CZ47" i="7"/>
  <c r="CZ167" i="7"/>
  <c r="CZ152" i="7"/>
  <c r="CZ92" i="7"/>
  <c r="CZ37" i="7"/>
  <c r="CZ38" i="7" s="1"/>
  <c r="CZ142" i="7"/>
  <c r="CZ143" i="7" s="1"/>
  <c r="CZ82" i="7"/>
  <c r="CZ83" i="7" s="1"/>
  <c r="CZ32" i="7"/>
  <c r="CZ112" i="7"/>
  <c r="CZ113" i="7" s="1"/>
  <c r="CZ137" i="7"/>
  <c r="CZ77" i="7"/>
  <c r="CZ8" i="7"/>
  <c r="CZ172" i="7"/>
  <c r="CZ173" i="7" s="1"/>
  <c r="CZ62" i="7"/>
  <c r="CZ107" i="7"/>
  <c r="CZ127" i="7"/>
  <c r="CZ128" i="7" s="1"/>
  <c r="CZ7" i="7"/>
  <c r="CZ122" i="7"/>
  <c r="CZ67" i="7"/>
  <c r="CZ68" i="7" s="1"/>
  <c r="CX133" i="11"/>
  <c r="CX146" i="11"/>
  <c r="CX26" i="11"/>
  <c r="CX20" i="11" s="1"/>
  <c r="CY79" i="7"/>
  <c r="CY88" i="7"/>
  <c r="CY43" i="7"/>
  <c r="CY34" i="7"/>
  <c r="CY10" i="7"/>
  <c r="CY103" i="7"/>
  <c r="CY178" i="7"/>
  <c r="CY169" i="7"/>
  <c r="CY175" i="7" s="1"/>
  <c r="CY171" i="11"/>
  <c r="CY210" i="11"/>
  <c r="CY11" i="11"/>
  <c r="CY16" i="11" s="1"/>
  <c r="CY76" i="11" s="1"/>
  <c r="CY176" i="11"/>
  <c r="CY12" i="11"/>
  <c r="CY17" i="11" s="1"/>
  <c r="CY88" i="11" s="1"/>
  <c r="CY35" i="11"/>
  <c r="CY8" i="11"/>
  <c r="CY13" i="11" s="1"/>
  <c r="CY40" i="11" s="1"/>
  <c r="CY42" i="11" s="1"/>
  <c r="CY10" i="11"/>
  <c r="CY15" i="11" s="1"/>
  <c r="CY64" i="11" s="1"/>
  <c r="CY115" i="11"/>
  <c r="CY124" i="7"/>
  <c r="CY133" i="7"/>
  <c r="CY285" i="11"/>
  <c r="CY154" i="7"/>
  <c r="CY160" i="7" s="1"/>
  <c r="CY163" i="7"/>
  <c r="BT150" i="11"/>
  <c r="DP90" i="11"/>
  <c r="DP89" i="11" s="1"/>
  <c r="CE104" i="11"/>
  <c r="CE162" i="11"/>
  <c r="CE119" i="11"/>
  <c r="CE81" i="11"/>
  <c r="CE136" i="11" s="1"/>
  <c r="BT93" i="11"/>
  <c r="BT137" i="11" s="1"/>
  <c r="BT95" i="11"/>
  <c r="BT112" i="11"/>
  <c r="BT163" i="11"/>
  <c r="BT105" i="11"/>
  <c r="AU70" i="7"/>
  <c r="N47" i="11"/>
  <c r="AW145" i="7" l="1"/>
  <c r="AX139" i="7"/>
  <c r="CY130" i="7"/>
  <c r="CY131" i="7"/>
  <c r="CY115" i="7"/>
  <c r="CY116" i="7"/>
  <c r="AX64" i="7"/>
  <c r="AW71" i="7"/>
  <c r="CY108" i="11"/>
  <c r="CY133" i="11"/>
  <c r="AW100" i="7"/>
  <c r="AX94" i="7"/>
  <c r="AX101" i="7" s="1"/>
  <c r="CY111" i="11"/>
  <c r="DW78" i="11"/>
  <c r="DW77" i="11" s="1"/>
  <c r="CX47" i="11"/>
  <c r="CX108" i="11"/>
  <c r="CY47" i="11"/>
  <c r="CY146" i="11"/>
  <c r="CY149" i="11"/>
  <c r="CY83" i="11"/>
  <c r="CY84" i="11" s="1"/>
  <c r="CY26" i="11"/>
  <c r="CY116" i="11"/>
  <c r="CY151" i="11"/>
  <c r="CY85" i="7"/>
  <c r="CY86" i="7"/>
  <c r="CZ214" i="11"/>
  <c r="CZ261" i="11" s="1"/>
  <c r="CZ18" i="7" s="1"/>
  <c r="CZ230" i="11"/>
  <c r="CZ102" i="7"/>
  <c r="CZ99" i="7"/>
  <c r="CZ93" i="7"/>
  <c r="CY148" i="11"/>
  <c r="CY110" i="11"/>
  <c r="CZ87" i="7"/>
  <c r="CZ78" i="7"/>
  <c r="CZ84" i="7"/>
  <c r="CZ162" i="7"/>
  <c r="CZ159" i="7"/>
  <c r="CZ153" i="7"/>
  <c r="CZ4" i="11"/>
  <c r="CZ4" i="7"/>
  <c r="CZ48" i="10"/>
  <c r="CY19" i="11"/>
  <c r="CZ132" i="7"/>
  <c r="CZ129" i="7"/>
  <c r="CZ123" i="7"/>
  <c r="CZ147" i="7"/>
  <c r="CZ144" i="7"/>
  <c r="CZ138" i="7"/>
  <c r="CZ177" i="7"/>
  <c r="CZ174" i="7"/>
  <c r="CZ168" i="7"/>
  <c r="CY211" i="11"/>
  <c r="CY237" i="11"/>
  <c r="CZ131" i="11"/>
  <c r="CZ229" i="11"/>
  <c r="CZ57" i="7"/>
  <c r="CZ48" i="7"/>
  <c r="CZ58" i="7" s="1"/>
  <c r="DA22" i="10"/>
  <c r="DA27" i="10"/>
  <c r="DA1" i="11"/>
  <c r="DA1" i="7"/>
  <c r="CY215" i="11"/>
  <c r="CY231" i="11"/>
  <c r="CZ42" i="7"/>
  <c r="CZ39" i="7"/>
  <c r="CZ33" i="7"/>
  <c r="CY41" i="7"/>
  <c r="CY40" i="7"/>
  <c r="CZ117" i="7"/>
  <c r="CZ114" i="7"/>
  <c r="CZ108" i="7"/>
  <c r="CZ72" i="7"/>
  <c r="CZ69" i="7"/>
  <c r="CZ63" i="7"/>
  <c r="BU87" i="11"/>
  <c r="BT96" i="11"/>
  <c r="CF80" i="11"/>
  <c r="CF141" i="11" s="1"/>
  <c r="CF79" i="11"/>
  <c r="CF154" i="11" s="1"/>
  <c r="CF75" i="11"/>
  <c r="BU92" i="11"/>
  <c r="BU142" i="11" s="1"/>
  <c r="BU91" i="11"/>
  <c r="BU155" i="11" s="1"/>
  <c r="AV70" i="7"/>
  <c r="O47" i="11"/>
  <c r="AX145" i="7" l="1"/>
  <c r="AY139" i="7"/>
  <c r="AY64" i="7"/>
  <c r="AX71" i="7"/>
  <c r="CZ323" i="11"/>
  <c r="CZ324" i="11"/>
  <c r="AX100" i="7"/>
  <c r="AY94" i="7"/>
  <c r="AY101" i="7" s="1"/>
  <c r="CZ285" i="11"/>
  <c r="CY20" i="11"/>
  <c r="CZ109" i="7"/>
  <c r="CZ118" i="7"/>
  <c r="CZ148" i="7"/>
  <c r="CZ115" i="11"/>
  <c r="CZ210" i="11"/>
  <c r="CZ9" i="11"/>
  <c r="CZ14" i="11" s="1"/>
  <c r="CZ52" i="11" s="1"/>
  <c r="CZ171" i="11"/>
  <c r="CZ176" i="11"/>
  <c r="CZ35" i="11"/>
  <c r="CZ11" i="11"/>
  <c r="CZ16" i="11" s="1"/>
  <c r="CZ76" i="11" s="1"/>
  <c r="CZ12" i="11"/>
  <c r="CZ17" i="11" s="1"/>
  <c r="CZ88" i="11" s="1"/>
  <c r="DA112" i="7"/>
  <c r="DA113" i="7" s="1"/>
  <c r="DA167" i="7"/>
  <c r="DA107" i="7"/>
  <c r="DA47" i="7"/>
  <c r="DA97" i="7"/>
  <c r="DA98" i="7" s="1"/>
  <c r="DA92" i="7"/>
  <c r="DA32" i="7"/>
  <c r="DA157" i="7"/>
  <c r="DA158" i="7" s="1"/>
  <c r="DA37" i="7"/>
  <c r="DA38" i="7" s="1"/>
  <c r="DA152" i="7"/>
  <c r="DA142" i="7"/>
  <c r="DA143" i="7" s="1"/>
  <c r="DA82" i="7"/>
  <c r="DA83" i="7" s="1"/>
  <c r="DA8" i="7"/>
  <c r="DA137" i="7"/>
  <c r="DA77" i="7"/>
  <c r="DA7" i="7"/>
  <c r="DA127" i="7"/>
  <c r="DA128" i="7" s="1"/>
  <c r="DA67" i="7"/>
  <c r="DA68" i="7" s="1"/>
  <c r="DA122" i="7"/>
  <c r="DA62" i="7"/>
  <c r="DA172" i="7"/>
  <c r="DA173" i="7" s="1"/>
  <c r="CZ163" i="7"/>
  <c r="CZ154" i="7"/>
  <c r="CZ160" i="7" s="1"/>
  <c r="CZ73" i="7"/>
  <c r="CZ124" i="7"/>
  <c r="CZ133" i="7"/>
  <c r="CZ103" i="7"/>
  <c r="CZ43" i="7"/>
  <c r="CZ10" i="7"/>
  <c r="CZ34" i="7"/>
  <c r="DA40" i="10"/>
  <c r="DA24" i="10"/>
  <c r="DA39" i="10"/>
  <c r="DB21" i="10"/>
  <c r="DA46" i="10"/>
  <c r="DA38" i="10"/>
  <c r="DA41" i="10"/>
  <c r="DA45" i="10"/>
  <c r="DA37" i="10"/>
  <c r="DA19" i="10"/>
  <c r="DA44" i="10"/>
  <c r="DA36" i="10"/>
  <c r="DA23" i="10"/>
  <c r="DA43" i="10"/>
  <c r="DA35" i="10"/>
  <c r="DA2" i="11"/>
  <c r="DA2" i="7"/>
  <c r="DA42" i="10"/>
  <c r="CZ169" i="7"/>
  <c r="CZ175" i="7" s="1"/>
  <c r="CZ178" i="7"/>
  <c r="CZ8" i="11"/>
  <c r="CZ13" i="11" s="1"/>
  <c r="CZ79" i="7"/>
  <c r="CZ88" i="7"/>
  <c r="CZ10" i="11"/>
  <c r="CZ15" i="11" s="1"/>
  <c r="CZ64" i="11" s="1"/>
  <c r="CZ110" i="11" s="1"/>
  <c r="CR150" i="11"/>
  <c r="BU150" i="11"/>
  <c r="CR95" i="11"/>
  <c r="CR112" i="11"/>
  <c r="DQ90" i="11"/>
  <c r="DQ89" i="11" s="1"/>
  <c r="CF119" i="11"/>
  <c r="CF162" i="11"/>
  <c r="CF81" i="11"/>
  <c r="CF136" i="11" s="1"/>
  <c r="CF104" i="11"/>
  <c r="BU120" i="11"/>
  <c r="BU112" i="11"/>
  <c r="BU95" i="11"/>
  <c r="BU163" i="11"/>
  <c r="BU105" i="11"/>
  <c r="BU93" i="11"/>
  <c r="BU137" i="11" s="1"/>
  <c r="AW70" i="7"/>
  <c r="P47" i="11"/>
  <c r="AY145" i="7" l="1"/>
  <c r="AZ139" i="7"/>
  <c r="CZ130" i="7"/>
  <c r="CZ131" i="7"/>
  <c r="CZ115" i="7"/>
  <c r="CZ116" i="7"/>
  <c r="AZ64" i="7"/>
  <c r="AY71" i="7"/>
  <c r="AY100" i="7"/>
  <c r="AZ94" i="7"/>
  <c r="AZ101" i="7" s="1"/>
  <c r="CZ149" i="11"/>
  <c r="DX78" i="11"/>
  <c r="DX77" i="11" s="1"/>
  <c r="CZ148" i="11"/>
  <c r="CZ83" i="11"/>
  <c r="CZ84" i="11" s="1"/>
  <c r="CZ111" i="11"/>
  <c r="DA42" i="7"/>
  <c r="DA39" i="7"/>
  <c r="DA33" i="7"/>
  <c r="DB1" i="11"/>
  <c r="DB22" i="10"/>
  <c r="DB27" i="10"/>
  <c r="DB1" i="7"/>
  <c r="DA147" i="7"/>
  <c r="DA144" i="7"/>
  <c r="DA138" i="7"/>
  <c r="DA102" i="7"/>
  <c r="DA99" i="7"/>
  <c r="DA93" i="7"/>
  <c r="CZ116" i="11"/>
  <c r="CZ151" i="11"/>
  <c r="DA87" i="7"/>
  <c r="DA78" i="7"/>
  <c r="DA84" i="7"/>
  <c r="DA230" i="11"/>
  <c r="DA214" i="11"/>
  <c r="DA72" i="7"/>
  <c r="DA69" i="7"/>
  <c r="DA63" i="7"/>
  <c r="DA57" i="7"/>
  <c r="DA48" i="7"/>
  <c r="DA58" i="7" s="1"/>
  <c r="DA4" i="7"/>
  <c r="DA4" i="11"/>
  <c r="DA132" i="7"/>
  <c r="DA129" i="7"/>
  <c r="DA123" i="7"/>
  <c r="DA117" i="7"/>
  <c r="DA114" i="7"/>
  <c r="DA108" i="7"/>
  <c r="CZ237" i="11"/>
  <c r="CZ211" i="11"/>
  <c r="CZ41" i="7"/>
  <c r="CZ40" i="7"/>
  <c r="DA162" i="7"/>
  <c r="DA153" i="7"/>
  <c r="DA159" i="7"/>
  <c r="DA177" i="7"/>
  <c r="DA168" i="7"/>
  <c r="DA174" i="7"/>
  <c r="CZ40" i="11"/>
  <c r="CZ42" i="11" s="1"/>
  <c r="CZ19" i="11"/>
  <c r="CZ85" i="7"/>
  <c r="CZ86" i="7"/>
  <c r="DA48" i="10"/>
  <c r="CZ231" i="11"/>
  <c r="CZ215" i="11"/>
  <c r="DA131" i="11"/>
  <c r="DA229" i="11"/>
  <c r="BU96" i="11"/>
  <c r="CG79" i="11"/>
  <c r="CG154" i="11" s="1"/>
  <c r="CG75" i="11"/>
  <c r="CG80" i="11"/>
  <c r="CG141" i="11" s="1"/>
  <c r="BV87" i="11"/>
  <c r="BV92" i="11"/>
  <c r="BV142" i="11" s="1"/>
  <c r="BV91" i="11"/>
  <c r="BV155" i="11" s="1"/>
  <c r="AX70" i="7"/>
  <c r="Q47" i="11"/>
  <c r="AZ145" i="7" l="1"/>
  <c r="BA139" i="7"/>
  <c r="BA64" i="7"/>
  <c r="AZ71" i="7"/>
  <c r="DA8" i="11"/>
  <c r="DA13" i="11" s="1"/>
  <c r="DA324" i="11"/>
  <c r="DA323" i="11"/>
  <c r="AZ100" i="7"/>
  <c r="BA94" i="7"/>
  <c r="BA101" i="7" s="1"/>
  <c r="DA73" i="7"/>
  <c r="DB167" i="7"/>
  <c r="DB107" i="7"/>
  <c r="DB47" i="7"/>
  <c r="DB157" i="7"/>
  <c r="DB158" i="7" s="1"/>
  <c r="DB97" i="7"/>
  <c r="DB98" i="7" s="1"/>
  <c r="DB37" i="7"/>
  <c r="DB38" i="7" s="1"/>
  <c r="DB152" i="7"/>
  <c r="DB92" i="7"/>
  <c r="DB32" i="7"/>
  <c r="DB172" i="7"/>
  <c r="DB173" i="7" s="1"/>
  <c r="DB142" i="7"/>
  <c r="DB143" i="7" s="1"/>
  <c r="DB82" i="7"/>
  <c r="DB83" i="7" s="1"/>
  <c r="DB8" i="7"/>
  <c r="DB137" i="7"/>
  <c r="DB77" i="7"/>
  <c r="DB7" i="7"/>
  <c r="DB127" i="7"/>
  <c r="DB128" i="7" s="1"/>
  <c r="DB67" i="7"/>
  <c r="DB68" i="7" s="1"/>
  <c r="DB112" i="7"/>
  <c r="DB113" i="7" s="1"/>
  <c r="DB122" i="7"/>
  <c r="DB62" i="7"/>
  <c r="CZ26" i="11"/>
  <c r="CZ20" i="11" s="1"/>
  <c r="CZ133" i="11"/>
  <c r="CZ108" i="11"/>
  <c r="DA103" i="7"/>
  <c r="DB2" i="7"/>
  <c r="DB44" i="10"/>
  <c r="DB36" i="10"/>
  <c r="DB42" i="10"/>
  <c r="DB23" i="10"/>
  <c r="DB41" i="10"/>
  <c r="DB19" i="10"/>
  <c r="DB39" i="10"/>
  <c r="DC21" i="10"/>
  <c r="DB45" i="10"/>
  <c r="DB37" i="10"/>
  <c r="DB43" i="10"/>
  <c r="DB40" i="10"/>
  <c r="DB24" i="10"/>
  <c r="DB2" i="11"/>
  <c r="DB35" i="10"/>
  <c r="DB46" i="10"/>
  <c r="DB38" i="10"/>
  <c r="DA154" i="7"/>
  <c r="DA160" i="7" s="1"/>
  <c r="DA163" i="7"/>
  <c r="DA12" i="11"/>
  <c r="DA17" i="11" s="1"/>
  <c r="DA88" i="11" s="1"/>
  <c r="DA9" i="11"/>
  <c r="DA14" i="11" s="1"/>
  <c r="DA52" i="11" s="1"/>
  <c r="DA210" i="11"/>
  <c r="DA11" i="11"/>
  <c r="DA16" i="11" s="1"/>
  <c r="DA76" i="11" s="1"/>
  <c r="DY78" i="11" s="1"/>
  <c r="DY77" i="11" s="1"/>
  <c r="DA176" i="11"/>
  <c r="DA35" i="11"/>
  <c r="DA171" i="11"/>
  <c r="DA115" i="11"/>
  <c r="DA10" i="11"/>
  <c r="DA15" i="11" s="1"/>
  <c r="DA64" i="11" s="1"/>
  <c r="DA110" i="11" s="1"/>
  <c r="DA261" i="11"/>
  <c r="DA18" i="7" s="1"/>
  <c r="DA285" i="11"/>
  <c r="DA124" i="7"/>
  <c r="DA133" i="7"/>
  <c r="DA178" i="7"/>
  <c r="DA169" i="7"/>
  <c r="DA175" i="7" s="1"/>
  <c r="DA43" i="7"/>
  <c r="DA34" i="7"/>
  <c r="DA10" i="7"/>
  <c r="DA148" i="7"/>
  <c r="DA109" i="7"/>
  <c r="DA118" i="7"/>
  <c r="DA79" i="7"/>
  <c r="DA88" i="7"/>
  <c r="CS150" i="11"/>
  <c r="CS112" i="11"/>
  <c r="CS95" i="11"/>
  <c r="CG119" i="11"/>
  <c r="CG162" i="11"/>
  <c r="CG81" i="11"/>
  <c r="CG136" i="11" s="1"/>
  <c r="CG104" i="11"/>
  <c r="BV120" i="11"/>
  <c r="AY70" i="7"/>
  <c r="R47" i="11"/>
  <c r="BA145" i="7" l="1"/>
  <c r="BB139" i="7"/>
  <c r="DA130" i="7"/>
  <c r="DA131" i="7"/>
  <c r="DA115" i="7"/>
  <c r="DA116" i="7"/>
  <c r="BB64" i="7"/>
  <c r="BA71" i="7"/>
  <c r="BA100" i="7"/>
  <c r="BB94" i="7"/>
  <c r="BB101" i="7" s="1"/>
  <c r="O194" i="2"/>
  <c r="CZ47" i="11"/>
  <c r="CZ146" i="11"/>
  <c r="DA148" i="11"/>
  <c r="DB72" i="7"/>
  <c r="DB63" i="7"/>
  <c r="DB69" i="7"/>
  <c r="DB147" i="7"/>
  <c r="DB144" i="7"/>
  <c r="DB138" i="7"/>
  <c r="DB132" i="7"/>
  <c r="DB123" i="7"/>
  <c r="DB129" i="7"/>
  <c r="DB230" i="11"/>
  <c r="DB214" i="11"/>
  <c r="DB48" i="10"/>
  <c r="DA231" i="11"/>
  <c r="DA215" i="11"/>
  <c r="DB4" i="7"/>
  <c r="DB4" i="11"/>
  <c r="DB57" i="7"/>
  <c r="DB48" i="7"/>
  <c r="DB58" i="7" s="1"/>
  <c r="DA41" i="7"/>
  <c r="DA40" i="7"/>
  <c r="DA40" i="11"/>
  <c r="DA42" i="11" s="1"/>
  <c r="DA19" i="11"/>
  <c r="DB117" i="7"/>
  <c r="DB108" i="7"/>
  <c r="DB114" i="7"/>
  <c r="DB42" i="7"/>
  <c r="DB39" i="7"/>
  <c r="DB33" i="7"/>
  <c r="DB177" i="7"/>
  <c r="DB174" i="7"/>
  <c r="DB168" i="7"/>
  <c r="DA86" i="7"/>
  <c r="DA85" i="7"/>
  <c r="DA149" i="11"/>
  <c r="DA83" i="11"/>
  <c r="DA84" i="11" s="1"/>
  <c r="DA111" i="11"/>
  <c r="DB229" i="11"/>
  <c r="DB131" i="11"/>
  <c r="DB102" i="7"/>
  <c r="DB93" i="7"/>
  <c r="DB99" i="7"/>
  <c r="DA151" i="11"/>
  <c r="DA116" i="11"/>
  <c r="DA211" i="11"/>
  <c r="DA237" i="11"/>
  <c r="DC1" i="7"/>
  <c r="DC27" i="10"/>
  <c r="DC22" i="10"/>
  <c r="DC1" i="11"/>
  <c r="DB87" i="7"/>
  <c r="DB84" i="7"/>
  <c r="DB78" i="7"/>
  <c r="DB162" i="7"/>
  <c r="DB159" i="7"/>
  <c r="DB153" i="7"/>
  <c r="BV150" i="11"/>
  <c r="CH75" i="11"/>
  <c r="CH104" i="11" s="1"/>
  <c r="DR90" i="11"/>
  <c r="DR89" i="11" s="1"/>
  <c r="CH80" i="11"/>
  <c r="CH141" i="11" s="1"/>
  <c r="CH79" i="11"/>
  <c r="CH154" i="11" s="1"/>
  <c r="BV105" i="11"/>
  <c r="BV93" i="11"/>
  <c r="BV137" i="11" s="1"/>
  <c r="BV112" i="11"/>
  <c r="BV95" i="11"/>
  <c r="BV163" i="11"/>
  <c r="AZ70" i="7"/>
  <c r="S47" i="11"/>
  <c r="BB145" i="7" l="1"/>
  <c r="BC139" i="7"/>
  <c r="BC64" i="7"/>
  <c r="BB71" i="7"/>
  <c r="DB323" i="11"/>
  <c r="DB324" i="11"/>
  <c r="BB100" i="7"/>
  <c r="BC94" i="7"/>
  <c r="BC101" i="7" s="1"/>
  <c r="DB43" i="7"/>
  <c r="DB34" i="7"/>
  <c r="DB10" i="7"/>
  <c r="DA133" i="11"/>
  <c r="DA108" i="11"/>
  <c r="DA26" i="11"/>
  <c r="DA20" i="11" s="1"/>
  <c r="DB148" i="7"/>
  <c r="DC46" i="10"/>
  <c r="DC2" i="7"/>
  <c r="DC45" i="10"/>
  <c r="DC37" i="10"/>
  <c r="DC2" i="11"/>
  <c r="DC44" i="10"/>
  <c r="DC35" i="10"/>
  <c r="DC43" i="10"/>
  <c r="DC36" i="10"/>
  <c r="DC23" i="10"/>
  <c r="DC39" i="10"/>
  <c r="DC42" i="10"/>
  <c r="DC41" i="10"/>
  <c r="DC24" i="10"/>
  <c r="DC40" i="10"/>
  <c r="DC19" i="10"/>
  <c r="DD21" i="10"/>
  <c r="DC38" i="10"/>
  <c r="DB103" i="7"/>
  <c r="DB154" i="7"/>
  <c r="DB160" i="7" s="1"/>
  <c r="DB163" i="7"/>
  <c r="DB285" i="11"/>
  <c r="DB261" i="11"/>
  <c r="DB18" i="7" s="1"/>
  <c r="DC127" i="7"/>
  <c r="DC128" i="7" s="1"/>
  <c r="DC172" i="7"/>
  <c r="DC173" i="7" s="1"/>
  <c r="DC32" i="7"/>
  <c r="DC122" i="7"/>
  <c r="DC167" i="7"/>
  <c r="DC8" i="7"/>
  <c r="DC112" i="7"/>
  <c r="DC113" i="7" s="1"/>
  <c r="DC7" i="7"/>
  <c r="DC62" i="7"/>
  <c r="DC137" i="7"/>
  <c r="DC77" i="7"/>
  <c r="DC107" i="7"/>
  <c r="DC67" i="7"/>
  <c r="DC68" i="7" s="1"/>
  <c r="DC97" i="7"/>
  <c r="DC98" i="7" s="1"/>
  <c r="DC157" i="7"/>
  <c r="DC158" i="7" s="1"/>
  <c r="DC152" i="7"/>
  <c r="DC92" i="7"/>
  <c r="DC142" i="7"/>
  <c r="DC143" i="7" s="1"/>
  <c r="DC82" i="7"/>
  <c r="DC83" i="7" s="1"/>
  <c r="DC47" i="7"/>
  <c r="DC37" i="7"/>
  <c r="DC38" i="7" s="1"/>
  <c r="DB73" i="7"/>
  <c r="DB169" i="7"/>
  <c r="DB175" i="7" s="1"/>
  <c r="DB178" i="7"/>
  <c r="DB109" i="7"/>
  <c r="DB118" i="7"/>
  <c r="DB79" i="7"/>
  <c r="DB88" i="7"/>
  <c r="DB35" i="11"/>
  <c r="DB115" i="11"/>
  <c r="DB12" i="11"/>
  <c r="DB17" i="11" s="1"/>
  <c r="DB88" i="11" s="1"/>
  <c r="DB112" i="11" s="1"/>
  <c r="DB11" i="11"/>
  <c r="DB16" i="11" s="1"/>
  <c r="DB76" i="11" s="1"/>
  <c r="DB111" i="11" s="1"/>
  <c r="DB8" i="11"/>
  <c r="DB13" i="11" s="1"/>
  <c r="DB210" i="11"/>
  <c r="DB10" i="11"/>
  <c r="DB15" i="11" s="1"/>
  <c r="DB64" i="11" s="1"/>
  <c r="DB148" i="11" s="1"/>
  <c r="DB176" i="11"/>
  <c r="DB171" i="11"/>
  <c r="DB133" i="7"/>
  <c r="DB124" i="7"/>
  <c r="DB9" i="11"/>
  <c r="DB14" i="11" s="1"/>
  <c r="DB52" i="11" s="1"/>
  <c r="BV96" i="11"/>
  <c r="CH81" i="11"/>
  <c r="CH136" i="11" s="1"/>
  <c r="CH119" i="11"/>
  <c r="CH162" i="11"/>
  <c r="BW87" i="11"/>
  <c r="BW91" i="11"/>
  <c r="BW155" i="11" s="1"/>
  <c r="BW92" i="11"/>
  <c r="BW142" i="11" s="1"/>
  <c r="BA70" i="7"/>
  <c r="T47" i="11"/>
  <c r="BC145" i="7" l="1"/>
  <c r="BD139" i="7"/>
  <c r="DB130" i="7"/>
  <c r="DB131" i="7"/>
  <c r="DB115" i="7"/>
  <c r="DB116" i="7"/>
  <c r="BD64" i="7"/>
  <c r="BC71" i="7"/>
  <c r="BC100" i="7"/>
  <c r="BD94" i="7"/>
  <c r="BD101" i="7" s="1"/>
  <c r="DA47" i="11"/>
  <c r="DA146" i="11"/>
  <c r="DB149" i="11"/>
  <c r="DB83" i="11"/>
  <c r="DB84" i="11" s="1"/>
  <c r="DB110" i="11"/>
  <c r="DB95" i="11"/>
  <c r="DC177" i="7"/>
  <c r="DC174" i="7"/>
  <c r="DC168" i="7"/>
  <c r="DB150" i="11"/>
  <c r="DC117" i="7"/>
  <c r="DC114" i="7"/>
  <c r="DC108" i="7"/>
  <c r="DC132" i="7"/>
  <c r="DC129" i="7"/>
  <c r="DC123" i="7"/>
  <c r="DB85" i="7"/>
  <c r="DB86" i="7"/>
  <c r="DB151" i="11"/>
  <c r="DB116" i="11"/>
  <c r="DC147" i="7"/>
  <c r="DC144" i="7"/>
  <c r="DC138" i="7"/>
  <c r="DC4" i="7"/>
  <c r="DC4" i="11"/>
  <c r="DC102" i="7"/>
  <c r="DC99" i="7"/>
  <c r="DC93" i="7"/>
  <c r="DC72" i="7"/>
  <c r="DC63" i="7"/>
  <c r="DC69" i="7"/>
  <c r="DD1" i="7"/>
  <c r="DD1" i="11"/>
  <c r="DD22" i="10"/>
  <c r="DD27" i="10"/>
  <c r="DB40" i="11"/>
  <c r="DB42" i="11" s="1"/>
  <c r="DB19" i="11"/>
  <c r="DC162" i="7"/>
  <c r="DC159" i="7"/>
  <c r="DC153" i="7"/>
  <c r="DC131" i="11"/>
  <c r="DC229" i="11"/>
  <c r="DB215" i="11"/>
  <c r="DB231" i="11"/>
  <c r="DB211" i="11"/>
  <c r="DB237" i="11"/>
  <c r="DC48" i="10"/>
  <c r="DB40" i="7"/>
  <c r="DB41" i="7"/>
  <c r="DC57" i="7"/>
  <c r="DC48" i="7"/>
  <c r="DC58" i="7" s="1"/>
  <c r="DC87" i="7"/>
  <c r="DC78" i="7"/>
  <c r="DC84" i="7"/>
  <c r="DC42" i="7"/>
  <c r="DC39" i="7"/>
  <c r="DC33" i="7"/>
  <c r="DC230" i="11"/>
  <c r="DC214" i="11"/>
  <c r="CT112" i="11"/>
  <c r="CT150" i="11"/>
  <c r="CT95" i="11"/>
  <c r="CI79" i="11"/>
  <c r="CI154" i="11" s="1"/>
  <c r="CI75" i="11"/>
  <c r="CI80" i="11"/>
  <c r="CI141" i="11" s="1"/>
  <c r="BW120" i="11"/>
  <c r="BB70" i="7"/>
  <c r="U47" i="11"/>
  <c r="BD145" i="7" l="1"/>
  <c r="BE139" i="7"/>
  <c r="BE64" i="7"/>
  <c r="BD71" i="7"/>
  <c r="DC323" i="11"/>
  <c r="DC324" i="11"/>
  <c r="BD100" i="7"/>
  <c r="BE94" i="7"/>
  <c r="BE101" i="7" s="1"/>
  <c r="DC109" i="7"/>
  <c r="DC118" i="7"/>
  <c r="DC43" i="7"/>
  <c r="DC10" i="7"/>
  <c r="DC34" i="7"/>
  <c r="DD45" i="10"/>
  <c r="DD37" i="10"/>
  <c r="DD44" i="10"/>
  <c r="DD36" i="10"/>
  <c r="DD43" i="10"/>
  <c r="DD35" i="10"/>
  <c r="DD40" i="10"/>
  <c r="DD24" i="10"/>
  <c r="DD42" i="10"/>
  <c r="DD2" i="11"/>
  <c r="DD46" i="10"/>
  <c r="DD23" i="10"/>
  <c r="DD38" i="10"/>
  <c r="DD2" i="7"/>
  <c r="DD41" i="10"/>
  <c r="DD19" i="10"/>
  <c r="DD39" i="10"/>
  <c r="DE21" i="10"/>
  <c r="DC163" i="7"/>
  <c r="DC154" i="7"/>
  <c r="DC160" i="7" s="1"/>
  <c r="DD77" i="7"/>
  <c r="DD122" i="7"/>
  <c r="DD37" i="7"/>
  <c r="DD38" i="7" s="1"/>
  <c r="DD97" i="7"/>
  <c r="DD98" i="7" s="1"/>
  <c r="DD62" i="7"/>
  <c r="DD172" i="7"/>
  <c r="DD173" i="7" s="1"/>
  <c r="DD112" i="7"/>
  <c r="DD113" i="7" s="1"/>
  <c r="DD32" i="7"/>
  <c r="DD167" i="7"/>
  <c r="DD107" i="7"/>
  <c r="DD8" i="7"/>
  <c r="DD142" i="7"/>
  <c r="DD143" i="7" s="1"/>
  <c r="DD47" i="7"/>
  <c r="DD157" i="7"/>
  <c r="DD158" i="7" s="1"/>
  <c r="DD7" i="7"/>
  <c r="DD82" i="7"/>
  <c r="DD83" i="7" s="1"/>
  <c r="DD152" i="7"/>
  <c r="DD67" i="7"/>
  <c r="DD68" i="7" s="1"/>
  <c r="DD127" i="7"/>
  <c r="DD128" i="7" s="1"/>
  <c r="DD92" i="7"/>
  <c r="DD137" i="7"/>
  <c r="DC176" i="11"/>
  <c r="DC8" i="11"/>
  <c r="DC13" i="11" s="1"/>
  <c r="DC115" i="11"/>
  <c r="DC10" i="11"/>
  <c r="DC15" i="11" s="1"/>
  <c r="DC64" i="11" s="1"/>
  <c r="DC148" i="11" s="1"/>
  <c r="DC9" i="11"/>
  <c r="DC14" i="11" s="1"/>
  <c r="DC52" i="11" s="1"/>
  <c r="DC171" i="11"/>
  <c r="DC210" i="11"/>
  <c r="DC12" i="11"/>
  <c r="DC17" i="11" s="1"/>
  <c r="DC88" i="11" s="1"/>
  <c r="DC35" i="11"/>
  <c r="DC169" i="7"/>
  <c r="DC175" i="7" s="1"/>
  <c r="DC178" i="7"/>
  <c r="DC79" i="7"/>
  <c r="DC88" i="7"/>
  <c r="DC73" i="7"/>
  <c r="DC148" i="7"/>
  <c r="DC124" i="7"/>
  <c r="DC133" i="7"/>
  <c r="DC285" i="11"/>
  <c r="DC261" i="11"/>
  <c r="DC18" i="7" s="1"/>
  <c r="DB26" i="11"/>
  <c r="DB20" i="11" s="1"/>
  <c r="DB133" i="11"/>
  <c r="DC103" i="7"/>
  <c r="DC11" i="11"/>
  <c r="DC16" i="11" s="1"/>
  <c r="DC76" i="11" s="1"/>
  <c r="BW150" i="11"/>
  <c r="CI119" i="11"/>
  <c r="CI104" i="11"/>
  <c r="DS90" i="11"/>
  <c r="DS89" i="11" s="1"/>
  <c r="CI162" i="11"/>
  <c r="CI81" i="11"/>
  <c r="CI136" i="11" s="1"/>
  <c r="BW105" i="11"/>
  <c r="BW93" i="11"/>
  <c r="BW137" i="11" s="1"/>
  <c r="BW112" i="11"/>
  <c r="BW95" i="11"/>
  <c r="BW163" i="11"/>
  <c r="BC70" i="7"/>
  <c r="V47" i="11"/>
  <c r="BE145" i="7" l="1"/>
  <c r="BF139" i="7"/>
  <c r="DC130" i="7"/>
  <c r="DC131" i="7"/>
  <c r="DC115" i="7"/>
  <c r="DC116" i="7"/>
  <c r="BE71" i="7"/>
  <c r="BF64" i="7"/>
  <c r="DC95" i="11"/>
  <c r="DC150" i="11"/>
  <c r="DC112" i="11"/>
  <c r="DC110" i="11"/>
  <c r="BE100" i="7"/>
  <c r="BF94" i="7"/>
  <c r="BF101" i="7" s="1"/>
  <c r="DC86" i="7"/>
  <c r="DC85" i="7"/>
  <c r="DD147" i="7"/>
  <c r="DD144" i="7"/>
  <c r="DD138" i="7"/>
  <c r="DD57" i="7"/>
  <c r="DD48" i="7"/>
  <c r="DD58" i="7" s="1"/>
  <c r="DD72" i="7"/>
  <c r="DD69" i="7"/>
  <c r="DD63" i="7"/>
  <c r="DD102" i="7"/>
  <c r="DD93" i="7"/>
  <c r="DD99" i="7"/>
  <c r="DC40" i="7"/>
  <c r="DC41" i="7"/>
  <c r="DD117" i="7"/>
  <c r="DD114" i="7"/>
  <c r="DD108" i="7"/>
  <c r="DD132" i="7"/>
  <c r="DD129" i="7"/>
  <c r="DD123" i="7"/>
  <c r="DD48" i="10"/>
  <c r="DD230" i="11"/>
  <c r="DD214" i="11"/>
  <c r="DC231" i="11"/>
  <c r="DC215" i="11"/>
  <c r="DC83" i="11"/>
  <c r="DC84" i="11" s="1"/>
  <c r="DC149" i="11"/>
  <c r="DC111" i="11"/>
  <c r="DD162" i="7"/>
  <c r="DD159" i="7"/>
  <c r="DD153" i="7"/>
  <c r="DD177" i="7"/>
  <c r="DD168" i="7"/>
  <c r="DD174" i="7"/>
  <c r="DD87" i="7"/>
  <c r="DD84" i="7"/>
  <c r="DD78" i="7"/>
  <c r="DC116" i="11"/>
  <c r="DC151" i="11"/>
  <c r="DC211" i="11"/>
  <c r="DC237" i="11"/>
  <c r="DD42" i="7"/>
  <c r="DD39" i="7"/>
  <c r="DD33" i="7"/>
  <c r="DD4" i="11"/>
  <c r="DD4" i="7"/>
  <c r="DD229" i="11"/>
  <c r="DD131" i="11"/>
  <c r="DC40" i="11"/>
  <c r="DC42" i="11" s="1"/>
  <c r="DC19" i="11"/>
  <c r="DE1" i="7"/>
  <c r="DE1" i="11"/>
  <c r="DE22" i="10"/>
  <c r="DE27" i="10"/>
  <c r="BW96" i="11"/>
  <c r="CJ75" i="11"/>
  <c r="CJ104" i="11" s="1"/>
  <c r="CJ79" i="11"/>
  <c r="CJ154" i="11" s="1"/>
  <c r="CJ80" i="11"/>
  <c r="CJ141" i="11" s="1"/>
  <c r="BX87" i="11"/>
  <c r="BX91" i="11"/>
  <c r="BX155" i="11" s="1"/>
  <c r="BX92" i="11"/>
  <c r="BX142" i="11" s="1"/>
  <c r="BD70" i="7"/>
  <c r="W47" i="11"/>
  <c r="BF145" i="7" l="1"/>
  <c r="BG139" i="7"/>
  <c r="BG64" i="7"/>
  <c r="BF71" i="7"/>
  <c r="DD323" i="11"/>
  <c r="DD324" i="11"/>
  <c r="BF100" i="7"/>
  <c r="BG94" i="7"/>
  <c r="BG101" i="7" s="1"/>
  <c r="DB47" i="11"/>
  <c r="DB108" i="11"/>
  <c r="DB146" i="11"/>
  <c r="DD133" i="7"/>
  <c r="DD124" i="7"/>
  <c r="DD103" i="7"/>
  <c r="DD148" i="7"/>
  <c r="DE39" i="10"/>
  <c r="DE38" i="10"/>
  <c r="DE44" i="10"/>
  <c r="DE46" i="10"/>
  <c r="DE35" i="10"/>
  <c r="DE23" i="10"/>
  <c r="DE45" i="10"/>
  <c r="DE24" i="10"/>
  <c r="DE36" i="10"/>
  <c r="DF21" i="10"/>
  <c r="DE2" i="7"/>
  <c r="DE43" i="10"/>
  <c r="DE42" i="10"/>
  <c r="DE37" i="10"/>
  <c r="DE2" i="11"/>
  <c r="DE41" i="10"/>
  <c r="DE40" i="10"/>
  <c r="DE19" i="10"/>
  <c r="DD176" i="11"/>
  <c r="DD10" i="11"/>
  <c r="DD15" i="11" s="1"/>
  <c r="DD64" i="11" s="1"/>
  <c r="DD110" i="11" s="1"/>
  <c r="DD171" i="11"/>
  <c r="DD8" i="11"/>
  <c r="DD13" i="11" s="1"/>
  <c r="DD115" i="11"/>
  <c r="DD210" i="11"/>
  <c r="DD35" i="11"/>
  <c r="DD12" i="11"/>
  <c r="DD17" i="11" s="1"/>
  <c r="DD88" i="11" s="1"/>
  <c r="DD95" i="11" s="1"/>
  <c r="DD11" i="11"/>
  <c r="DD16" i="11" s="1"/>
  <c r="DD76" i="11" s="1"/>
  <c r="DD149" i="11" s="1"/>
  <c r="DD9" i="11"/>
  <c r="DD14" i="11" s="1"/>
  <c r="DD52" i="11" s="1"/>
  <c r="DD169" i="7"/>
  <c r="DD175" i="7" s="1"/>
  <c r="DD178" i="7"/>
  <c r="DD118" i="7"/>
  <c r="DD109" i="7"/>
  <c r="DD73" i="7"/>
  <c r="DD43" i="7"/>
  <c r="DD10" i="7"/>
  <c r="DD34" i="7"/>
  <c r="DE92" i="7"/>
  <c r="DE62" i="7"/>
  <c r="DE172" i="7"/>
  <c r="DE173" i="7" s="1"/>
  <c r="DE82" i="7"/>
  <c r="DE83" i="7" s="1"/>
  <c r="DE167" i="7"/>
  <c r="DE77" i="7"/>
  <c r="DE47" i="7"/>
  <c r="DE7" i="7"/>
  <c r="DE157" i="7"/>
  <c r="DE158" i="7" s="1"/>
  <c r="DE127" i="7"/>
  <c r="DE128" i="7" s="1"/>
  <c r="DE37" i="7"/>
  <c r="DE38" i="7" s="1"/>
  <c r="DE8" i="7"/>
  <c r="DE152" i="7"/>
  <c r="DE107" i="7"/>
  <c r="DE32" i="7"/>
  <c r="DE137" i="7"/>
  <c r="DE112" i="7"/>
  <c r="DE113" i="7" s="1"/>
  <c r="DE122" i="7"/>
  <c r="DE142" i="7"/>
  <c r="DE143" i="7" s="1"/>
  <c r="DE97" i="7"/>
  <c r="DE98" i="7" s="1"/>
  <c r="DE67" i="7"/>
  <c r="DE68" i="7" s="1"/>
  <c r="DD154" i="7"/>
  <c r="DD160" i="7" s="1"/>
  <c r="DD163" i="7"/>
  <c r="DD261" i="11"/>
  <c r="DD18" i="7" s="1"/>
  <c r="DD285" i="11"/>
  <c r="DC26" i="11"/>
  <c r="DC20" i="11" s="1"/>
  <c r="DC133" i="11"/>
  <c r="DD79" i="7"/>
  <c r="DD88" i="7"/>
  <c r="CU150" i="11"/>
  <c r="CU112" i="11"/>
  <c r="CU95" i="11"/>
  <c r="CJ162" i="11"/>
  <c r="CJ81" i="11"/>
  <c r="CJ136" i="11" s="1"/>
  <c r="CJ119" i="11"/>
  <c r="BX120" i="11"/>
  <c r="BE70" i="7"/>
  <c r="X47" i="11"/>
  <c r="BG145" i="7" l="1"/>
  <c r="BH139" i="7"/>
  <c r="DD130" i="7"/>
  <c r="DD131" i="7"/>
  <c r="DD115" i="7"/>
  <c r="DD116" i="7"/>
  <c r="BH64" i="7"/>
  <c r="BG71" i="7"/>
  <c r="BG100" i="7"/>
  <c r="BH94" i="7"/>
  <c r="BH101" i="7" s="1"/>
  <c r="DD150" i="11"/>
  <c r="DD112" i="11"/>
  <c r="DD83" i="11"/>
  <c r="DD84" i="11" s="1"/>
  <c r="DD111" i="11"/>
  <c r="DD148" i="11"/>
  <c r="DE57" i="7"/>
  <c r="DE48" i="7"/>
  <c r="DE58" i="7" s="1"/>
  <c r="DD116" i="11"/>
  <c r="DD151" i="11"/>
  <c r="DF1" i="11"/>
  <c r="DF22" i="10"/>
  <c r="DF27" i="10"/>
  <c r="DF1" i="7"/>
  <c r="DE117" i="7"/>
  <c r="DE114" i="7"/>
  <c r="DE108" i="7"/>
  <c r="DE87" i="7"/>
  <c r="DE84" i="7"/>
  <c r="DE78" i="7"/>
  <c r="DD215" i="11"/>
  <c r="DD231" i="11"/>
  <c r="DE162" i="7"/>
  <c r="DE159" i="7"/>
  <c r="DE153" i="7"/>
  <c r="DE177" i="7"/>
  <c r="DE168" i="7"/>
  <c r="DE174" i="7"/>
  <c r="DE230" i="11"/>
  <c r="DE214" i="11"/>
  <c r="DD41" i="7"/>
  <c r="DD40" i="7"/>
  <c r="DE4" i="11"/>
  <c r="DE4" i="7"/>
  <c r="DE132" i="7"/>
  <c r="DE123" i="7"/>
  <c r="DE129" i="7"/>
  <c r="DE48" i="10"/>
  <c r="DE42" i="7"/>
  <c r="DE39" i="7"/>
  <c r="DE33" i="7"/>
  <c r="DD86" i="7"/>
  <c r="DD85" i="7"/>
  <c r="DE72" i="7"/>
  <c r="DE69" i="7"/>
  <c r="DE63" i="7"/>
  <c r="DD237" i="11"/>
  <c r="DD211" i="11"/>
  <c r="DE147" i="7"/>
  <c r="DE144" i="7"/>
  <c r="DE138" i="7"/>
  <c r="DE229" i="11"/>
  <c r="DE131" i="11"/>
  <c r="DE102" i="7"/>
  <c r="DE99" i="7"/>
  <c r="DE93" i="7"/>
  <c r="DD19" i="11"/>
  <c r="DD40" i="11"/>
  <c r="DD42" i="11" s="1"/>
  <c r="BX150" i="11"/>
  <c r="CK75" i="11"/>
  <c r="CK104" i="11" s="1"/>
  <c r="DT90" i="11"/>
  <c r="DT89" i="11" s="1"/>
  <c r="CK80" i="11"/>
  <c r="CK141" i="11" s="1"/>
  <c r="CK79" i="11"/>
  <c r="CK154" i="11" s="1"/>
  <c r="BX105" i="11"/>
  <c r="BX93" i="11"/>
  <c r="BX137" i="11" s="1"/>
  <c r="BX112" i="11"/>
  <c r="BX95" i="11"/>
  <c r="BX163" i="11"/>
  <c r="BF70" i="7"/>
  <c r="Y47" i="11"/>
  <c r="BH145" i="7" l="1"/>
  <c r="BI139" i="7"/>
  <c r="BI64" i="7"/>
  <c r="BH71" i="7"/>
  <c r="DE323" i="11"/>
  <c r="DE324" i="11"/>
  <c r="BH100" i="7"/>
  <c r="BI94" i="7"/>
  <c r="BI101" i="7" s="1"/>
  <c r="DC108" i="11"/>
  <c r="DC47" i="11"/>
  <c r="DC146" i="11"/>
  <c r="DE133" i="7"/>
  <c r="DE124" i="7"/>
  <c r="DE148" i="7"/>
  <c r="DE79" i="7"/>
  <c r="DE88" i="7"/>
  <c r="DF2" i="11"/>
  <c r="DF44" i="10"/>
  <c r="DF37" i="10"/>
  <c r="DF42" i="10"/>
  <c r="DF35" i="10"/>
  <c r="DF24" i="10"/>
  <c r="DF39" i="10"/>
  <c r="DF40" i="10"/>
  <c r="DF36" i="10"/>
  <c r="DF23" i="10"/>
  <c r="DF38" i="10"/>
  <c r="DG21" i="10"/>
  <c r="DF43" i="10"/>
  <c r="DF19" i="10"/>
  <c r="DF46" i="10"/>
  <c r="DF41" i="10"/>
  <c r="DF2" i="7"/>
  <c r="DF45" i="10"/>
  <c r="DE43" i="7"/>
  <c r="DE10" i="7"/>
  <c r="DE34" i="7"/>
  <c r="DE210" i="11"/>
  <c r="DE12" i="11"/>
  <c r="DE17" i="11" s="1"/>
  <c r="DE88" i="11" s="1"/>
  <c r="DE115" i="11"/>
  <c r="DE9" i="11"/>
  <c r="DE14" i="11" s="1"/>
  <c r="DE52" i="11" s="1"/>
  <c r="DE35" i="11"/>
  <c r="DE171" i="11"/>
  <c r="DE10" i="11"/>
  <c r="DE15" i="11" s="1"/>
  <c r="DE64" i="11" s="1"/>
  <c r="DE11" i="11"/>
  <c r="DE16" i="11" s="1"/>
  <c r="DE76" i="11" s="1"/>
  <c r="DE176" i="11"/>
  <c r="DE8" i="11"/>
  <c r="DE13" i="11" s="1"/>
  <c r="DE103" i="7"/>
  <c r="DE163" i="7"/>
  <c r="DE154" i="7"/>
  <c r="DE160" i="7" s="1"/>
  <c r="DE109" i="7"/>
  <c r="DE118" i="7"/>
  <c r="DD133" i="11"/>
  <c r="DD26" i="11"/>
  <c r="DD20" i="11" s="1"/>
  <c r="DE169" i="7"/>
  <c r="DE175" i="7" s="1"/>
  <c r="DE178" i="7"/>
  <c r="DE73" i="7"/>
  <c r="DE285" i="11"/>
  <c r="DE261" i="11"/>
  <c r="DE18" i="7" s="1"/>
  <c r="DF152" i="7"/>
  <c r="DF7" i="7"/>
  <c r="DF82" i="7"/>
  <c r="DF83" i="7" s="1"/>
  <c r="DF122" i="7"/>
  <c r="DF8" i="7"/>
  <c r="DF142" i="7"/>
  <c r="DF143" i="7" s="1"/>
  <c r="DF67" i="7"/>
  <c r="DF68" i="7" s="1"/>
  <c r="DF92" i="7"/>
  <c r="DF97" i="7"/>
  <c r="DF98" i="7" s="1"/>
  <c r="DF137" i="7"/>
  <c r="DF62" i="7"/>
  <c r="DF77" i="7"/>
  <c r="DF127" i="7"/>
  <c r="DF128" i="7" s="1"/>
  <c r="DF47" i="7"/>
  <c r="DF157" i="7"/>
  <c r="DF158" i="7" s="1"/>
  <c r="DF172" i="7"/>
  <c r="DF173" i="7" s="1"/>
  <c r="DF112" i="7"/>
  <c r="DF113" i="7" s="1"/>
  <c r="DF37" i="7"/>
  <c r="DF38" i="7" s="1"/>
  <c r="DF167" i="7"/>
  <c r="DF107" i="7"/>
  <c r="DF32" i="7"/>
  <c r="BX96" i="11"/>
  <c r="CK81" i="11"/>
  <c r="CK136" i="11" s="1"/>
  <c r="CK119" i="11"/>
  <c r="CK162" i="11"/>
  <c r="BY87" i="11"/>
  <c r="BY91" i="11"/>
  <c r="BY155" i="11" s="1"/>
  <c r="BY92" i="11"/>
  <c r="BY142" i="11" s="1"/>
  <c r="BG70" i="7"/>
  <c r="Z47" i="11"/>
  <c r="BI145" i="7" l="1"/>
  <c r="BJ139" i="7"/>
  <c r="DE130" i="7"/>
  <c r="DE131" i="7"/>
  <c r="DE115" i="7"/>
  <c r="DE116" i="7"/>
  <c r="BJ64" i="7"/>
  <c r="BI71" i="7"/>
  <c r="BI100" i="7"/>
  <c r="BJ94" i="7"/>
  <c r="BJ101" i="7" s="1"/>
  <c r="DF102" i="7"/>
  <c r="DF99" i="7"/>
  <c r="DF93" i="7"/>
  <c r="DE116" i="11"/>
  <c r="DE151" i="11"/>
  <c r="DF57" i="7"/>
  <c r="DF48" i="7"/>
  <c r="DF58" i="7" s="1"/>
  <c r="DE19" i="11"/>
  <c r="DE40" i="11"/>
  <c r="DE42" i="11" s="1"/>
  <c r="DE149" i="11"/>
  <c r="DE83" i="11"/>
  <c r="DE84" i="11" s="1"/>
  <c r="DE111" i="11"/>
  <c r="DE211" i="11"/>
  <c r="DE237" i="11"/>
  <c r="DE86" i="7"/>
  <c r="DE85" i="7"/>
  <c r="DF162" i="7"/>
  <c r="DF159" i="7"/>
  <c r="DF153" i="7"/>
  <c r="DF4" i="7"/>
  <c r="DF4" i="11"/>
  <c r="DF42" i="7"/>
  <c r="DF39" i="7"/>
  <c r="DF33" i="7"/>
  <c r="DF117" i="7"/>
  <c r="DF108" i="7"/>
  <c r="DF114" i="7"/>
  <c r="DF87" i="7"/>
  <c r="DF84" i="7"/>
  <c r="DF78" i="7"/>
  <c r="DF230" i="11"/>
  <c r="DF214" i="11"/>
  <c r="DE150" i="11"/>
  <c r="DE95" i="11"/>
  <c r="DE112" i="11"/>
  <c r="DE110" i="11"/>
  <c r="DE148" i="11"/>
  <c r="DF177" i="7"/>
  <c r="DF174" i="7"/>
  <c r="DF168" i="7"/>
  <c r="DF72" i="7"/>
  <c r="DF69" i="7"/>
  <c r="DF63" i="7"/>
  <c r="DF132" i="7"/>
  <c r="DF129" i="7"/>
  <c r="DF123" i="7"/>
  <c r="DE40" i="7"/>
  <c r="DE41" i="7"/>
  <c r="DF48" i="10"/>
  <c r="DF147" i="7"/>
  <c r="DF138" i="7"/>
  <c r="DF144" i="7"/>
  <c r="DE231" i="11"/>
  <c r="DE215" i="11"/>
  <c r="DG22" i="10"/>
  <c r="DG1" i="11"/>
  <c r="DG27" i="10"/>
  <c r="DG1" i="7"/>
  <c r="DF229" i="11"/>
  <c r="DF131" i="11"/>
  <c r="CV150" i="11"/>
  <c r="CV112" i="11"/>
  <c r="CV95" i="11"/>
  <c r="CL80" i="11"/>
  <c r="CL141" i="11" s="1"/>
  <c r="CL75" i="11"/>
  <c r="CL104" i="11" s="1"/>
  <c r="CL79" i="11"/>
  <c r="CL154" i="11" s="1"/>
  <c r="BY120" i="11"/>
  <c r="BH70" i="7"/>
  <c r="AA47" i="11"/>
  <c r="BJ145" i="7" l="1"/>
  <c r="BK139" i="7"/>
  <c r="BJ71" i="7"/>
  <c r="BK64" i="7"/>
  <c r="DF324" i="11"/>
  <c r="DF323" i="11"/>
  <c r="BJ100" i="7"/>
  <c r="BK94" i="7"/>
  <c r="BK101" i="7" s="1"/>
  <c r="DD47" i="11"/>
  <c r="DD146" i="11"/>
  <c r="DD108" i="11"/>
  <c r="DF118" i="7"/>
  <c r="DF109" i="7"/>
  <c r="DF103" i="7"/>
  <c r="DG44" i="10"/>
  <c r="DG36" i="10"/>
  <c r="DG43" i="10"/>
  <c r="DG35" i="10"/>
  <c r="DH21" i="10"/>
  <c r="DG39" i="10"/>
  <c r="DG2" i="7"/>
  <c r="DG42" i="10"/>
  <c r="DG23" i="10"/>
  <c r="DG40" i="10"/>
  <c r="DG24" i="10"/>
  <c r="DG2" i="11"/>
  <c r="DG41" i="10"/>
  <c r="DG19" i="10"/>
  <c r="DG45" i="10"/>
  <c r="DG37" i="10"/>
  <c r="DG46" i="10"/>
  <c r="DG38" i="10"/>
  <c r="DE26" i="11"/>
  <c r="DE20" i="11" s="1"/>
  <c r="DE133" i="11"/>
  <c r="DF154" i="7"/>
  <c r="DF160" i="7" s="1"/>
  <c r="DF163" i="7"/>
  <c r="DF169" i="7"/>
  <c r="DF175" i="7" s="1"/>
  <c r="DF178" i="7"/>
  <c r="DF285" i="11"/>
  <c r="DF261" i="11"/>
  <c r="DF18" i="7" s="1"/>
  <c r="DF43" i="7"/>
  <c r="DF34" i="7"/>
  <c r="DF10" i="7"/>
  <c r="DG157" i="7"/>
  <c r="DG158" i="7" s="1"/>
  <c r="DG97" i="7"/>
  <c r="DG98" i="7" s="1"/>
  <c r="DG47" i="7"/>
  <c r="DG152" i="7"/>
  <c r="DG92" i="7"/>
  <c r="DG37" i="7"/>
  <c r="DG38" i="7" s="1"/>
  <c r="DG142" i="7"/>
  <c r="DG143" i="7" s="1"/>
  <c r="DG82" i="7"/>
  <c r="DG83" i="7" s="1"/>
  <c r="DG32" i="7"/>
  <c r="DG137" i="7"/>
  <c r="DG77" i="7"/>
  <c r="DG8" i="7"/>
  <c r="DG127" i="7"/>
  <c r="DG128" i="7" s="1"/>
  <c r="DG7" i="7"/>
  <c r="DG167" i="7"/>
  <c r="DG107" i="7"/>
  <c r="DG122" i="7"/>
  <c r="DG67" i="7"/>
  <c r="DG68" i="7" s="1"/>
  <c r="DG172" i="7"/>
  <c r="DG173" i="7" s="1"/>
  <c r="DG112" i="7"/>
  <c r="DG113" i="7" s="1"/>
  <c r="DG62" i="7"/>
  <c r="DF73" i="7"/>
  <c r="DF124" i="7"/>
  <c r="DF133" i="7"/>
  <c r="DF79" i="7"/>
  <c r="DF88" i="7"/>
  <c r="DF148" i="7"/>
  <c r="DF176" i="11"/>
  <c r="DF171" i="11"/>
  <c r="DF115" i="11"/>
  <c r="DF10" i="11"/>
  <c r="DF15" i="11" s="1"/>
  <c r="DF64" i="11" s="1"/>
  <c r="DF148" i="11" s="1"/>
  <c r="DF8" i="11"/>
  <c r="DF13" i="11" s="1"/>
  <c r="DF210" i="11"/>
  <c r="DF12" i="11"/>
  <c r="DF17" i="11" s="1"/>
  <c r="DF88" i="11" s="1"/>
  <c r="DF150" i="11" s="1"/>
  <c r="DF35" i="11"/>
  <c r="DF9" i="11"/>
  <c r="DF14" i="11" s="1"/>
  <c r="DF52" i="11" s="1"/>
  <c r="DF11" i="11"/>
  <c r="DF16" i="11" s="1"/>
  <c r="BY150" i="11"/>
  <c r="CL119" i="11"/>
  <c r="CL81" i="11"/>
  <c r="CL136" i="11" s="1"/>
  <c r="CL162" i="11"/>
  <c r="DU90" i="11"/>
  <c r="DU89" i="11" s="1"/>
  <c r="BY93" i="11"/>
  <c r="BY137" i="11" s="1"/>
  <c r="BY95" i="11"/>
  <c r="BY112" i="11"/>
  <c r="BY163" i="11"/>
  <c r="BY105" i="11"/>
  <c r="BI70" i="7"/>
  <c r="AB47" i="11"/>
  <c r="BK145" i="7" l="1"/>
  <c r="BL139" i="7"/>
  <c r="DF130" i="7"/>
  <c r="DF131" i="7"/>
  <c r="DF115" i="7"/>
  <c r="DF116" i="7"/>
  <c r="BL64" i="7"/>
  <c r="BK71" i="7"/>
  <c r="BK70" i="7"/>
  <c r="BK100" i="7"/>
  <c r="BL94" i="7"/>
  <c r="BL101" i="7" s="1"/>
  <c r="DF110" i="11"/>
  <c r="DF95" i="11"/>
  <c r="DF112" i="11"/>
  <c r="DF76" i="11"/>
  <c r="DF86" i="7"/>
  <c r="DF85" i="7"/>
  <c r="DG87" i="7"/>
  <c r="DG84" i="7"/>
  <c r="DG78" i="7"/>
  <c r="DG57" i="7"/>
  <c r="DG48" i="7"/>
  <c r="DG58" i="7" s="1"/>
  <c r="DF40" i="11"/>
  <c r="DF42" i="11" s="1"/>
  <c r="DF19" i="11"/>
  <c r="DF151" i="11"/>
  <c r="DF116" i="11"/>
  <c r="DG132" i="7"/>
  <c r="DG129" i="7"/>
  <c r="DG123" i="7"/>
  <c r="DG147" i="7"/>
  <c r="DG144" i="7"/>
  <c r="DG138" i="7"/>
  <c r="DG42" i="7"/>
  <c r="DG39" i="7"/>
  <c r="DG33" i="7"/>
  <c r="DH22" i="10"/>
  <c r="DH1" i="7"/>
  <c r="DH27" i="10"/>
  <c r="DH1" i="11"/>
  <c r="DG230" i="11"/>
  <c r="DG214" i="11"/>
  <c r="DG261" i="11" s="1"/>
  <c r="DG18" i="7" s="1"/>
  <c r="DG162" i="7"/>
  <c r="DG159" i="7"/>
  <c r="DG153" i="7"/>
  <c r="DG117" i="7"/>
  <c r="DG114" i="7"/>
  <c r="DG108" i="7"/>
  <c r="DF215" i="11"/>
  <c r="DF231" i="11"/>
  <c r="DG48" i="10"/>
  <c r="DG177" i="7"/>
  <c r="DG168" i="7"/>
  <c r="DG174" i="7"/>
  <c r="DF41" i="7"/>
  <c r="DF40" i="7"/>
  <c r="DF211" i="11"/>
  <c r="DF237" i="11"/>
  <c r="DG72" i="7"/>
  <c r="DG69" i="7"/>
  <c r="DG63" i="7"/>
  <c r="DG229" i="11"/>
  <c r="DG131" i="11"/>
  <c r="DG102" i="7"/>
  <c r="DG99" i="7"/>
  <c r="DG93" i="7"/>
  <c r="DG4" i="7"/>
  <c r="DG4" i="11"/>
  <c r="BZ92" i="11"/>
  <c r="BZ142" i="11" s="1"/>
  <c r="BY96" i="11"/>
  <c r="CM75" i="11"/>
  <c r="CM80" i="11"/>
  <c r="CM141" i="11" s="1"/>
  <c r="CM79" i="11"/>
  <c r="CM154" i="11" s="1"/>
  <c r="BZ91" i="11"/>
  <c r="BZ155" i="11" s="1"/>
  <c r="BZ87" i="11"/>
  <c r="BJ70" i="7"/>
  <c r="AC47" i="11"/>
  <c r="BL145" i="7" l="1"/>
  <c r="BM139" i="7"/>
  <c r="BM64" i="7"/>
  <c r="BL71" i="7"/>
  <c r="BL70" i="7"/>
  <c r="DG323" i="11"/>
  <c r="DG324" i="11"/>
  <c r="BL100" i="7"/>
  <c r="BM94" i="7"/>
  <c r="BM101" i="7" s="1"/>
  <c r="DE108" i="11"/>
  <c r="DE47" i="11"/>
  <c r="DE146" i="11"/>
  <c r="DG109" i="7"/>
  <c r="DG118" i="7"/>
  <c r="DF133" i="11"/>
  <c r="DF26" i="11"/>
  <c r="DF20" i="11" s="1"/>
  <c r="DF149" i="11"/>
  <c r="DF83" i="11"/>
  <c r="DF84" i="11" s="1"/>
  <c r="DF111" i="11"/>
  <c r="DG176" i="11"/>
  <c r="DG35" i="11"/>
  <c r="DG8" i="11"/>
  <c r="DG13" i="11" s="1"/>
  <c r="DG115" i="11"/>
  <c r="DG171" i="11"/>
  <c r="DG210" i="11"/>
  <c r="DG73" i="7"/>
  <c r="DG178" i="7"/>
  <c r="DG169" i="7"/>
  <c r="DG175" i="7" s="1"/>
  <c r="DG154" i="7"/>
  <c r="DG160" i="7" s="1"/>
  <c r="DG163" i="7"/>
  <c r="DH39" i="10"/>
  <c r="DI21" i="10"/>
  <c r="DH46" i="10"/>
  <c r="DH38" i="10"/>
  <c r="DH45" i="10"/>
  <c r="DH37" i="10"/>
  <c r="DH44" i="10"/>
  <c r="DH2" i="7"/>
  <c r="DH23" i="10"/>
  <c r="DH2" i="11"/>
  <c r="DH40" i="10"/>
  <c r="DH19" i="10"/>
  <c r="DH36" i="10"/>
  <c r="DH43" i="10"/>
  <c r="DH35" i="10"/>
  <c r="DH42" i="10"/>
  <c r="DH24" i="10"/>
  <c r="DH41" i="10"/>
  <c r="DG12" i="11"/>
  <c r="DG17" i="11" s="1"/>
  <c r="DG88" i="11" s="1"/>
  <c r="DG112" i="11" s="1"/>
  <c r="DH167" i="7"/>
  <c r="DH107" i="7"/>
  <c r="DH52" i="7"/>
  <c r="DH53" i="7" s="1"/>
  <c r="DH157" i="7"/>
  <c r="DH158" i="7" s="1"/>
  <c r="DH97" i="7"/>
  <c r="DH98" i="7" s="1"/>
  <c r="DH47" i="7"/>
  <c r="DH152" i="7"/>
  <c r="DH92" i="7"/>
  <c r="DH37" i="7"/>
  <c r="DH38" i="7" s="1"/>
  <c r="DH122" i="7"/>
  <c r="DH172" i="7"/>
  <c r="DH173" i="7" s="1"/>
  <c r="DH112" i="7"/>
  <c r="DH113" i="7" s="1"/>
  <c r="DH62" i="7"/>
  <c r="DH142" i="7"/>
  <c r="DH143" i="7" s="1"/>
  <c r="DH82" i="7"/>
  <c r="DH83" i="7" s="1"/>
  <c r="DH32" i="7"/>
  <c r="DH67" i="7"/>
  <c r="DH68" i="7" s="1"/>
  <c r="DH137" i="7"/>
  <c r="DH77" i="7"/>
  <c r="DH8" i="7"/>
  <c r="DH127" i="7"/>
  <c r="DH128" i="7" s="1"/>
  <c r="DH7" i="7"/>
  <c r="DG124" i="7"/>
  <c r="DG133" i="7"/>
  <c r="DG43" i="7"/>
  <c r="DG10" i="7"/>
  <c r="DG34" i="7"/>
  <c r="DG79" i="7"/>
  <c r="DG88" i="7"/>
  <c r="DG10" i="11"/>
  <c r="DG15" i="11" s="1"/>
  <c r="DG64" i="11" s="1"/>
  <c r="DG103" i="7"/>
  <c r="DG9" i="11"/>
  <c r="DG14" i="11" s="1"/>
  <c r="DG52" i="11" s="1"/>
  <c r="DG285" i="11"/>
  <c r="DG148" i="7"/>
  <c r="DG11" i="11"/>
  <c r="DG16" i="11" s="1"/>
  <c r="DG76" i="11" s="1"/>
  <c r="DG149" i="11" s="1"/>
  <c r="BZ150" i="11"/>
  <c r="CW95" i="11"/>
  <c r="CW150" i="11"/>
  <c r="CW112" i="11"/>
  <c r="CM162" i="11"/>
  <c r="BZ120" i="11"/>
  <c r="CM81" i="11"/>
  <c r="CM136" i="11" s="1"/>
  <c r="CM119" i="11"/>
  <c r="CM104" i="11"/>
  <c r="DV90" i="11"/>
  <c r="DV89" i="11" s="1"/>
  <c r="BZ105" i="11"/>
  <c r="BZ93" i="11"/>
  <c r="BZ137" i="11" s="1"/>
  <c r="BZ95" i="11"/>
  <c r="BZ112" i="11"/>
  <c r="BZ163" i="11"/>
  <c r="AD47" i="11"/>
  <c r="BM145" i="7" l="1"/>
  <c r="BN139" i="7"/>
  <c r="DG130" i="7"/>
  <c r="DG131" i="7"/>
  <c r="DG115" i="7"/>
  <c r="DG116" i="7"/>
  <c r="BN64" i="7"/>
  <c r="BM71" i="7"/>
  <c r="BM70" i="7"/>
  <c r="DG111" i="11"/>
  <c r="DG83" i="11"/>
  <c r="DG84" i="11" s="1"/>
  <c r="BM100" i="7"/>
  <c r="BN94" i="7"/>
  <c r="BN101" i="7" s="1"/>
  <c r="DG95" i="11"/>
  <c r="DG150" i="11"/>
  <c r="DH131" i="11"/>
  <c r="DH229" i="11"/>
  <c r="DH72" i="7"/>
  <c r="DH69" i="7"/>
  <c r="DH63" i="7"/>
  <c r="DH4" i="11"/>
  <c r="DH4" i="7"/>
  <c r="DG85" i="7"/>
  <c r="DG86" i="7"/>
  <c r="DH230" i="11"/>
  <c r="DH214" i="11"/>
  <c r="DH48" i="10"/>
  <c r="DG151" i="11"/>
  <c r="DG116" i="11"/>
  <c r="DG41" i="7"/>
  <c r="DG40" i="7"/>
  <c r="DH87" i="7"/>
  <c r="DH84" i="7"/>
  <c r="DH78" i="7"/>
  <c r="DG231" i="11"/>
  <c r="DG215" i="11"/>
  <c r="DH147" i="7"/>
  <c r="DH144" i="7"/>
  <c r="DH138" i="7"/>
  <c r="DH132" i="7"/>
  <c r="DH129" i="7"/>
  <c r="DH123" i="7"/>
  <c r="DH117" i="7"/>
  <c r="DH114" i="7"/>
  <c r="DH108" i="7"/>
  <c r="DH11" i="7"/>
  <c r="DH177" i="7"/>
  <c r="DH174" i="7"/>
  <c r="DH168" i="7"/>
  <c r="DG148" i="11"/>
  <c r="DG110" i="11"/>
  <c r="DG40" i="11"/>
  <c r="DG42" i="11" s="1"/>
  <c r="DG19" i="11"/>
  <c r="DH42" i="7"/>
  <c r="DH39" i="7"/>
  <c r="DH33" i="7"/>
  <c r="DH102" i="7"/>
  <c r="DH93" i="7"/>
  <c r="DH99" i="7"/>
  <c r="DH57" i="7"/>
  <c r="DH48" i="7"/>
  <c r="DH58" i="7" s="1"/>
  <c r="DH162" i="7"/>
  <c r="DH159" i="7"/>
  <c r="DH153" i="7"/>
  <c r="DI27" i="10"/>
  <c r="DI1" i="7"/>
  <c r="DI1" i="11"/>
  <c r="DI22" i="10"/>
  <c r="DG211" i="11"/>
  <c r="DG237" i="11"/>
  <c r="CN75" i="11"/>
  <c r="CN104" i="11" s="1"/>
  <c r="CN80" i="11"/>
  <c r="CN141" i="11" s="1"/>
  <c r="BZ96" i="11"/>
  <c r="CN79" i="11"/>
  <c r="CN154" i="11" s="1"/>
  <c r="CA87" i="11"/>
  <c r="CA92" i="11"/>
  <c r="CA142" i="11" s="1"/>
  <c r="CA91" i="11"/>
  <c r="CA155" i="11" s="1"/>
  <c r="AE47" i="11"/>
  <c r="BN145" i="7" l="1"/>
  <c r="BO139" i="7"/>
  <c r="BO64" i="7"/>
  <c r="BN71" i="7"/>
  <c r="BN70" i="7"/>
  <c r="DH12" i="11"/>
  <c r="DH17" i="11" s="1"/>
  <c r="DH88" i="11" s="1"/>
  <c r="DH323" i="11"/>
  <c r="DH324" i="11"/>
  <c r="BN100" i="7"/>
  <c r="BO94" i="7"/>
  <c r="BO101" i="7" s="1"/>
  <c r="DF108" i="11"/>
  <c r="DF47" i="11"/>
  <c r="DF146" i="11"/>
  <c r="DH103" i="7"/>
  <c r="DH154" i="7"/>
  <c r="DH160" i="7" s="1"/>
  <c r="DH163" i="7"/>
  <c r="DH178" i="7"/>
  <c r="DH169" i="7"/>
  <c r="DH175" i="7" s="1"/>
  <c r="DH124" i="7"/>
  <c r="DH133" i="7"/>
  <c r="DH79" i="7"/>
  <c r="DH88" i="7"/>
  <c r="DH285" i="11"/>
  <c r="DH261" i="11"/>
  <c r="DH18" i="7" s="1"/>
  <c r="DH216" i="11"/>
  <c r="DH234" i="11"/>
  <c r="DH148" i="7"/>
  <c r="DH11" i="11"/>
  <c r="DH16" i="11" s="1"/>
  <c r="DH76" i="11" s="1"/>
  <c r="DH83" i="11" s="1"/>
  <c r="DH84" i="11" s="1"/>
  <c r="DI44" i="10"/>
  <c r="DI36" i="10"/>
  <c r="DI39" i="10"/>
  <c r="DI46" i="10"/>
  <c r="DI37" i="10"/>
  <c r="DI43" i="10"/>
  <c r="DI35" i="10"/>
  <c r="DI42" i="10"/>
  <c r="DI24" i="10"/>
  <c r="DI19" i="10"/>
  <c r="DI41" i="10"/>
  <c r="DI40" i="10"/>
  <c r="DI23" i="10"/>
  <c r="DI45" i="10"/>
  <c r="DI2" i="7"/>
  <c r="DJ21" i="10"/>
  <c r="DI38" i="10"/>
  <c r="DI2" i="11"/>
  <c r="DG133" i="11"/>
  <c r="DG26" i="11"/>
  <c r="DG20" i="11" s="1"/>
  <c r="DH118" i="7"/>
  <c r="DH109" i="7"/>
  <c r="DH171" i="11"/>
  <c r="DH210" i="11"/>
  <c r="DH176" i="11"/>
  <c r="DH8" i="11"/>
  <c r="DH13" i="11" s="1"/>
  <c r="DH35" i="11"/>
  <c r="DH9" i="11"/>
  <c r="DH14" i="11" s="1"/>
  <c r="DH52" i="11" s="1"/>
  <c r="DH115" i="11"/>
  <c r="DH43" i="7"/>
  <c r="DH10" i="7"/>
  <c r="DH34" i="7"/>
  <c r="DI142" i="7"/>
  <c r="DI143" i="7" s="1"/>
  <c r="DI82" i="7"/>
  <c r="DI83" i="7" s="1"/>
  <c r="DI8" i="7"/>
  <c r="DI37" i="7"/>
  <c r="DI38" i="7" s="1"/>
  <c r="DI152" i="7"/>
  <c r="DI137" i="7"/>
  <c r="DI77" i="7"/>
  <c r="DI7" i="7"/>
  <c r="DI97" i="7"/>
  <c r="DI98" i="7" s="1"/>
  <c r="DI127" i="7"/>
  <c r="DI128" i="7" s="1"/>
  <c r="DI67" i="7"/>
  <c r="DI68" i="7" s="1"/>
  <c r="DI92" i="7"/>
  <c r="DI122" i="7"/>
  <c r="DI62" i="7"/>
  <c r="DI172" i="7"/>
  <c r="DI173" i="7" s="1"/>
  <c r="DI112" i="7"/>
  <c r="DI113" i="7" s="1"/>
  <c r="DI52" i="7"/>
  <c r="DI53" i="7" s="1"/>
  <c r="DI167" i="7"/>
  <c r="DI107" i="7"/>
  <c r="DI47" i="7"/>
  <c r="DI157" i="7"/>
  <c r="DI158" i="7" s="1"/>
  <c r="DI32" i="7"/>
  <c r="DH73" i="7"/>
  <c r="DH10" i="11"/>
  <c r="DH15" i="11" s="1"/>
  <c r="DH64" i="11" s="1"/>
  <c r="DH110" i="11" s="1"/>
  <c r="CX150" i="11"/>
  <c r="CN119" i="11"/>
  <c r="CN162" i="11"/>
  <c r="CN81" i="11"/>
  <c r="CN136" i="11" s="1"/>
  <c r="CX95" i="11"/>
  <c r="CX112" i="11"/>
  <c r="CA120" i="11"/>
  <c r="AF47" i="11"/>
  <c r="BO145" i="7" l="1"/>
  <c r="BP139" i="7"/>
  <c r="DH130" i="7"/>
  <c r="DH131" i="7"/>
  <c r="DH115" i="7"/>
  <c r="DH116" i="7"/>
  <c r="BP64" i="7"/>
  <c r="BO71" i="7"/>
  <c r="BO70" i="7"/>
  <c r="BO100" i="7"/>
  <c r="BP94" i="7"/>
  <c r="BP101" i="7" s="1"/>
  <c r="DH111" i="11"/>
  <c r="DH149" i="11"/>
  <c r="DI4" i="11"/>
  <c r="DI4" i="7"/>
  <c r="DH148" i="11"/>
  <c r="DI132" i="7"/>
  <c r="DI129" i="7"/>
  <c r="DI123" i="7"/>
  <c r="DI162" i="7"/>
  <c r="DI159" i="7"/>
  <c r="DI153" i="7"/>
  <c r="DH40" i="11"/>
  <c r="DH42" i="11" s="1"/>
  <c r="DH19" i="11"/>
  <c r="DI48" i="10"/>
  <c r="DI57" i="7"/>
  <c r="DI48" i="7"/>
  <c r="DI58" i="7" s="1"/>
  <c r="DI102" i="7"/>
  <c r="DI99" i="7"/>
  <c r="DI93" i="7"/>
  <c r="DI11" i="7"/>
  <c r="DH150" i="11"/>
  <c r="DH95" i="11"/>
  <c r="DH112" i="11"/>
  <c r="DI177" i="7"/>
  <c r="DI168" i="7"/>
  <c r="DI174" i="7"/>
  <c r="DH116" i="11"/>
  <c r="DH151" i="11"/>
  <c r="DH211" i="11"/>
  <c r="DH237" i="11"/>
  <c r="DI131" i="11"/>
  <c r="DI229" i="11"/>
  <c r="DH41" i="7"/>
  <c r="DH40" i="7"/>
  <c r="DI87" i="7"/>
  <c r="DI78" i="7"/>
  <c r="DI84" i="7"/>
  <c r="DH215" i="11"/>
  <c r="DH231" i="11"/>
  <c r="DI117" i="7"/>
  <c r="DI114" i="7"/>
  <c r="DI108" i="7"/>
  <c r="DI230" i="11"/>
  <c r="DI214" i="11"/>
  <c r="DI42" i="7"/>
  <c r="DI39" i="7"/>
  <c r="DI33" i="7"/>
  <c r="DI72" i="7"/>
  <c r="DI69" i="7"/>
  <c r="DI63" i="7"/>
  <c r="DI147" i="7"/>
  <c r="DI144" i="7"/>
  <c r="DI138" i="7"/>
  <c r="DJ22" i="10"/>
  <c r="DJ27" i="10"/>
  <c r="DJ1" i="7"/>
  <c r="DJ1" i="11"/>
  <c r="DH86" i="7"/>
  <c r="DH85" i="7"/>
  <c r="CA150" i="11"/>
  <c r="CO80" i="11"/>
  <c r="CO141" i="11" s="1"/>
  <c r="CO75" i="11"/>
  <c r="CO104" i="11" s="1"/>
  <c r="CO79" i="11"/>
  <c r="CO154" i="11" s="1"/>
  <c r="DW90" i="11"/>
  <c r="DW89" i="11" s="1"/>
  <c r="CA105" i="11"/>
  <c r="CA112" i="11"/>
  <c r="CA95" i="11"/>
  <c r="CA163" i="11"/>
  <c r="CA93" i="11"/>
  <c r="CA137" i="11" s="1"/>
  <c r="AG47" i="11"/>
  <c r="BP145" i="7" l="1"/>
  <c r="BQ139" i="7"/>
  <c r="BQ64" i="7"/>
  <c r="BP71" i="7"/>
  <c r="BP70" i="7"/>
  <c r="DI10" i="11"/>
  <c r="DI15" i="11" s="1"/>
  <c r="DI64" i="11" s="1"/>
  <c r="DI110" i="11" s="1"/>
  <c r="DI324" i="11"/>
  <c r="DI323" i="11"/>
  <c r="BP100" i="7"/>
  <c r="BQ94" i="7"/>
  <c r="BQ101" i="7" s="1"/>
  <c r="DI9" i="11"/>
  <c r="DI14" i="11" s="1"/>
  <c r="DI52" i="11" s="1"/>
  <c r="DG108" i="11"/>
  <c r="DG146" i="11"/>
  <c r="DG47" i="11"/>
  <c r="DJ43" i="10"/>
  <c r="DJ23" i="10"/>
  <c r="DJ40" i="10"/>
  <c r="DK21" i="10"/>
  <c r="DJ2" i="11"/>
  <c r="DJ39" i="10"/>
  <c r="DJ46" i="10"/>
  <c r="DJ37" i="10"/>
  <c r="DJ41" i="10"/>
  <c r="DJ19" i="10"/>
  <c r="DJ2" i="7"/>
  <c r="DJ38" i="10"/>
  <c r="DJ45" i="10"/>
  <c r="DJ24" i="10"/>
  <c r="DJ44" i="10"/>
  <c r="DJ36" i="10"/>
  <c r="DJ35" i="10"/>
  <c r="DJ42" i="10"/>
  <c r="DI148" i="7"/>
  <c r="DI124" i="7"/>
  <c r="DI133" i="7"/>
  <c r="DI261" i="11"/>
  <c r="DI18" i="7" s="1"/>
  <c r="DI285" i="11"/>
  <c r="DI109" i="7"/>
  <c r="DI118" i="7"/>
  <c r="DI234" i="11"/>
  <c r="DI216" i="11"/>
  <c r="DI103" i="7"/>
  <c r="DJ127" i="7"/>
  <c r="DJ128" i="7" s="1"/>
  <c r="DJ62" i="7"/>
  <c r="DJ157" i="7"/>
  <c r="DJ158" i="7" s="1"/>
  <c r="DJ122" i="7"/>
  <c r="DJ52" i="7"/>
  <c r="DJ53" i="7" s="1"/>
  <c r="DJ172" i="7"/>
  <c r="DJ173" i="7" s="1"/>
  <c r="DJ112" i="7"/>
  <c r="DJ113" i="7" s="1"/>
  <c r="DJ47" i="7"/>
  <c r="DJ97" i="7"/>
  <c r="DJ98" i="7" s="1"/>
  <c r="DJ167" i="7"/>
  <c r="DJ107" i="7"/>
  <c r="DJ37" i="7"/>
  <c r="DJ38" i="7" s="1"/>
  <c r="DJ32" i="7"/>
  <c r="DJ152" i="7"/>
  <c r="DJ8" i="7"/>
  <c r="DJ92" i="7"/>
  <c r="DJ142" i="7"/>
  <c r="DJ143" i="7" s="1"/>
  <c r="DJ82" i="7"/>
  <c r="DJ83" i="7" s="1"/>
  <c r="DJ77" i="7"/>
  <c r="DJ137" i="7"/>
  <c r="DJ67" i="7"/>
  <c r="DJ68" i="7" s="1"/>
  <c r="DJ7" i="7"/>
  <c r="DI154" i="7"/>
  <c r="DI160" i="7" s="1"/>
  <c r="DI163" i="7"/>
  <c r="DI8" i="11"/>
  <c r="DI13" i="11" s="1"/>
  <c r="DI11" i="11"/>
  <c r="DI16" i="11" s="1"/>
  <c r="DI76" i="11" s="1"/>
  <c r="DI115" i="11"/>
  <c r="DI210" i="11"/>
  <c r="DI176" i="11"/>
  <c r="DI171" i="11"/>
  <c r="DI35" i="11"/>
  <c r="DI12" i="11"/>
  <c r="DI17" i="11" s="1"/>
  <c r="DI88" i="11" s="1"/>
  <c r="DI95" i="11" s="1"/>
  <c r="DI79" i="7"/>
  <c r="DI88" i="7"/>
  <c r="DI73" i="7"/>
  <c r="DH133" i="11"/>
  <c r="DH26" i="11"/>
  <c r="DH20" i="11" s="1"/>
  <c r="DI43" i="7"/>
  <c r="DI10" i="7"/>
  <c r="DI34" i="7"/>
  <c r="DI169" i="7"/>
  <c r="DI175" i="7" s="1"/>
  <c r="DI178" i="7"/>
  <c r="CO162" i="11"/>
  <c r="CO81" i="11"/>
  <c r="CO136" i="11" s="1"/>
  <c r="CO119" i="11"/>
  <c r="CA96" i="11"/>
  <c r="CB87" i="11"/>
  <c r="CB91" i="11"/>
  <c r="CB155" i="11" s="1"/>
  <c r="CB92" i="11"/>
  <c r="CB142" i="11" s="1"/>
  <c r="AH47" i="11"/>
  <c r="BQ145" i="7" l="1"/>
  <c r="BR139" i="7"/>
  <c r="DI130" i="7"/>
  <c r="DI131" i="7"/>
  <c r="DI115" i="7"/>
  <c r="DI116" i="7"/>
  <c r="BR64" i="7"/>
  <c r="BQ71" i="7"/>
  <c r="BQ70" i="7"/>
  <c r="BQ100" i="7"/>
  <c r="BR94" i="7"/>
  <c r="BR101" i="7" s="1"/>
  <c r="DI148" i="11"/>
  <c r="DI150" i="11"/>
  <c r="DI112" i="11"/>
  <c r="DI41" i="7"/>
  <c r="DI40" i="7"/>
  <c r="DJ177" i="7"/>
  <c r="DJ168" i="7"/>
  <c r="DJ174" i="7"/>
  <c r="DJ72" i="7"/>
  <c r="DJ69" i="7"/>
  <c r="DJ63" i="7"/>
  <c r="DI231" i="11"/>
  <c r="DI215" i="11"/>
  <c r="DI40" i="11"/>
  <c r="DI42" i="11" s="1"/>
  <c r="DI19" i="11"/>
  <c r="DI211" i="11"/>
  <c r="DI237" i="11"/>
  <c r="DJ230" i="11"/>
  <c r="DJ214" i="11"/>
  <c r="DJ102" i="7"/>
  <c r="DJ99" i="7"/>
  <c r="DJ93" i="7"/>
  <c r="DI116" i="11"/>
  <c r="DI151" i="11"/>
  <c r="DJ131" i="11"/>
  <c r="DJ229" i="11"/>
  <c r="DJ162" i="7"/>
  <c r="DJ153" i="7"/>
  <c r="DJ159" i="7"/>
  <c r="DK1" i="7"/>
  <c r="DK1" i="11"/>
  <c r="DK22" i="10"/>
  <c r="DK27" i="10"/>
  <c r="DI85" i="7"/>
  <c r="DI86" i="7"/>
  <c r="DJ42" i="7"/>
  <c r="DJ39" i="7"/>
  <c r="DJ33" i="7"/>
  <c r="DJ57" i="7"/>
  <c r="DJ48" i="7"/>
  <c r="DJ58" i="7" s="1"/>
  <c r="DJ147" i="7"/>
  <c r="DJ138" i="7"/>
  <c r="DJ144" i="7"/>
  <c r="DJ11" i="7"/>
  <c r="DJ132" i="7"/>
  <c r="DJ129" i="7"/>
  <c r="DJ123" i="7"/>
  <c r="DJ4" i="7"/>
  <c r="DJ4" i="11"/>
  <c r="DI111" i="11"/>
  <c r="DI83" i="11"/>
  <c r="DI84" i="11" s="1"/>
  <c r="DI149" i="11"/>
  <c r="DJ87" i="7"/>
  <c r="DJ78" i="7"/>
  <c r="DJ84" i="7"/>
  <c r="DJ117" i="7"/>
  <c r="DJ108" i="7"/>
  <c r="DJ114" i="7"/>
  <c r="DJ48" i="10"/>
  <c r="CY112" i="11"/>
  <c r="CY150" i="11"/>
  <c r="CP79" i="11"/>
  <c r="CP154" i="11" s="1"/>
  <c r="CP80" i="11"/>
  <c r="CP141" i="11" s="1"/>
  <c r="CP75" i="11"/>
  <c r="CP104" i="11" s="1"/>
  <c r="CY95" i="11"/>
  <c r="CB120" i="11"/>
  <c r="AI47" i="11"/>
  <c r="BR145" i="7" l="1"/>
  <c r="BS139" i="7"/>
  <c r="BS64" i="7"/>
  <c r="BR71" i="7"/>
  <c r="BR70" i="7"/>
  <c r="DJ323" i="11"/>
  <c r="DJ324" i="11"/>
  <c r="BR100" i="7"/>
  <c r="BS94" i="7"/>
  <c r="BS101" i="7" s="1"/>
  <c r="DH47" i="11"/>
  <c r="DH146" i="11"/>
  <c r="DH108" i="11"/>
  <c r="DJ88" i="7"/>
  <c r="DJ79" i="7"/>
  <c r="DJ285" i="11"/>
  <c r="DJ261" i="11"/>
  <c r="DJ18" i="7" s="1"/>
  <c r="DJ73" i="7"/>
  <c r="DJ234" i="11"/>
  <c r="DJ216" i="11"/>
  <c r="DJ148" i="7"/>
  <c r="DK157" i="7"/>
  <c r="DK158" i="7" s="1"/>
  <c r="DK97" i="7"/>
  <c r="DK98" i="7" s="1"/>
  <c r="DK62" i="7"/>
  <c r="DK67" i="7"/>
  <c r="DK68" i="7" s="1"/>
  <c r="DK152" i="7"/>
  <c r="DK92" i="7"/>
  <c r="DK52" i="7"/>
  <c r="DK53" i="7" s="1"/>
  <c r="DK107" i="7"/>
  <c r="DK142" i="7"/>
  <c r="DK143" i="7" s="1"/>
  <c r="DK82" i="7"/>
  <c r="DK83" i="7" s="1"/>
  <c r="DK47" i="7"/>
  <c r="DK122" i="7"/>
  <c r="DK167" i="7"/>
  <c r="DK8" i="7"/>
  <c r="DK137" i="7"/>
  <c r="DK77" i="7"/>
  <c r="DK37" i="7"/>
  <c r="DK38" i="7" s="1"/>
  <c r="DK127" i="7"/>
  <c r="DK128" i="7" s="1"/>
  <c r="DK172" i="7"/>
  <c r="DK173" i="7" s="1"/>
  <c r="DK32" i="7"/>
  <c r="DK112" i="7"/>
  <c r="DK113" i="7" s="1"/>
  <c r="DK7" i="7"/>
  <c r="DJ169" i="7"/>
  <c r="DJ175" i="7" s="1"/>
  <c r="DJ178" i="7"/>
  <c r="DK39" i="10"/>
  <c r="DK24" i="10"/>
  <c r="DK46" i="10"/>
  <c r="DK38" i="10"/>
  <c r="DK45" i="10"/>
  <c r="DK37" i="10"/>
  <c r="DK42" i="10"/>
  <c r="DK19" i="10"/>
  <c r="DK40" i="10"/>
  <c r="DK2" i="7"/>
  <c r="DK44" i="10"/>
  <c r="DK36" i="10"/>
  <c r="DK2" i="11"/>
  <c r="DK43" i="10"/>
  <c r="DK35" i="10"/>
  <c r="DK23" i="10"/>
  <c r="DK41" i="10"/>
  <c r="DL21" i="10"/>
  <c r="DJ109" i="7"/>
  <c r="DJ118" i="7"/>
  <c r="DJ115" i="11"/>
  <c r="DJ8" i="11"/>
  <c r="DJ13" i="11" s="1"/>
  <c r="DJ35" i="11"/>
  <c r="DJ210" i="11"/>
  <c r="DJ11" i="11"/>
  <c r="DJ16" i="11" s="1"/>
  <c r="DJ76" i="11" s="1"/>
  <c r="DJ111" i="11" s="1"/>
  <c r="DJ12" i="11"/>
  <c r="DJ17" i="11" s="1"/>
  <c r="DJ88" i="11" s="1"/>
  <c r="DJ112" i="11" s="1"/>
  <c r="DJ9" i="11"/>
  <c r="DJ14" i="11" s="1"/>
  <c r="DJ52" i="11" s="1"/>
  <c r="DJ10" i="11"/>
  <c r="DJ15" i="11" s="1"/>
  <c r="DJ64" i="11" s="1"/>
  <c r="DJ110" i="11" s="1"/>
  <c r="DJ176" i="11"/>
  <c r="DJ171" i="11"/>
  <c r="DJ103" i="7"/>
  <c r="DI133" i="11"/>
  <c r="DI26" i="11"/>
  <c r="DI20" i="11" s="1"/>
  <c r="DJ43" i="7"/>
  <c r="DJ10" i="7"/>
  <c r="DJ34" i="7"/>
  <c r="DJ154" i="7"/>
  <c r="DJ160" i="7" s="1"/>
  <c r="DJ163" i="7"/>
  <c r="DJ124" i="7"/>
  <c r="DJ133" i="7"/>
  <c r="CB150" i="11"/>
  <c r="CP119" i="11"/>
  <c r="CP81" i="11"/>
  <c r="CP136" i="11" s="1"/>
  <c r="CP162" i="11"/>
  <c r="DX90" i="11"/>
  <c r="DX89" i="11" s="1"/>
  <c r="CB105" i="11"/>
  <c r="CB93" i="11"/>
  <c r="CB137" i="11" s="1"/>
  <c r="CB112" i="11"/>
  <c r="CB95" i="11"/>
  <c r="CB163" i="11"/>
  <c r="AJ47" i="11"/>
  <c r="BS145" i="7" l="1"/>
  <c r="BT139" i="7"/>
  <c r="DJ130" i="7"/>
  <c r="DJ131" i="7"/>
  <c r="DJ115" i="7"/>
  <c r="DJ116" i="7"/>
  <c r="BT64" i="7"/>
  <c r="BS71" i="7"/>
  <c r="BS70" i="7"/>
  <c r="DJ150" i="11"/>
  <c r="DJ95" i="11"/>
  <c r="BS100" i="7"/>
  <c r="BT94" i="7"/>
  <c r="BT101" i="7" s="1"/>
  <c r="DJ148" i="11"/>
  <c r="DK57" i="7"/>
  <c r="DK48" i="7"/>
  <c r="DK58" i="7" s="1"/>
  <c r="DK72" i="7"/>
  <c r="DK69" i="7"/>
  <c r="DK63" i="7"/>
  <c r="DJ237" i="11"/>
  <c r="DJ211" i="11"/>
  <c r="DL27" i="10"/>
  <c r="DL1" i="7"/>
  <c r="DL22" i="10"/>
  <c r="DL1" i="11"/>
  <c r="DK4" i="11"/>
  <c r="DK4" i="7"/>
  <c r="DK87" i="7"/>
  <c r="DK84" i="7"/>
  <c r="DK78" i="7"/>
  <c r="DK117" i="7"/>
  <c r="DK114" i="7"/>
  <c r="DK108" i="7"/>
  <c r="DJ85" i="7"/>
  <c r="DJ86" i="7"/>
  <c r="DK11" i="7"/>
  <c r="DJ83" i="11"/>
  <c r="DJ84" i="11" s="1"/>
  <c r="DJ40" i="11"/>
  <c r="DJ42" i="11" s="1"/>
  <c r="DJ19" i="11"/>
  <c r="DK48" i="10"/>
  <c r="DK147" i="7"/>
  <c r="DK144" i="7"/>
  <c r="DK138" i="7"/>
  <c r="DJ149" i="11"/>
  <c r="DK131" i="11"/>
  <c r="DK229" i="11"/>
  <c r="DK230" i="11"/>
  <c r="DK214" i="11"/>
  <c r="DK261" i="11" s="1"/>
  <c r="DK18" i="7" s="1"/>
  <c r="DK102" i="7"/>
  <c r="DK99" i="7"/>
  <c r="DK93" i="7"/>
  <c r="DJ41" i="7"/>
  <c r="DJ40" i="7"/>
  <c r="DJ116" i="11"/>
  <c r="DJ151" i="11"/>
  <c r="DK177" i="7"/>
  <c r="DK174" i="7"/>
  <c r="DK168" i="7"/>
  <c r="DK162" i="7"/>
  <c r="DK159" i="7"/>
  <c r="DK153" i="7"/>
  <c r="DJ215" i="11"/>
  <c r="DJ231" i="11"/>
  <c r="DK42" i="7"/>
  <c r="DK39" i="7"/>
  <c r="DK33" i="7"/>
  <c r="DK132" i="7"/>
  <c r="DK129" i="7"/>
  <c r="DK123" i="7"/>
  <c r="CQ79" i="11"/>
  <c r="CQ154" i="11" s="1"/>
  <c r="CQ80" i="11"/>
  <c r="CQ141" i="11" s="1"/>
  <c r="CQ75" i="11"/>
  <c r="CQ104" i="11" s="1"/>
  <c r="CB96" i="11"/>
  <c r="CC87" i="11"/>
  <c r="CC92" i="11"/>
  <c r="CC142" i="11" s="1"/>
  <c r="CC91" i="11"/>
  <c r="CC155" i="11" s="1"/>
  <c r="AK47" i="11"/>
  <c r="BT145" i="7" l="1"/>
  <c r="BU139" i="7"/>
  <c r="BU64" i="7"/>
  <c r="BT71" i="7"/>
  <c r="BT70" i="7"/>
  <c r="DK323" i="11"/>
  <c r="DK324" i="11"/>
  <c r="BT100" i="7"/>
  <c r="BU94" i="7"/>
  <c r="BU101" i="7" s="1"/>
  <c r="DI146" i="11"/>
  <c r="DI108" i="11"/>
  <c r="DI47" i="11"/>
  <c r="DK73" i="7"/>
  <c r="DK216" i="11"/>
  <c r="DK234" i="11"/>
  <c r="DK103" i="7"/>
  <c r="DK148" i="7"/>
  <c r="DL92" i="7"/>
  <c r="DL137" i="7"/>
  <c r="DL52" i="7"/>
  <c r="DL53" i="7" s="1"/>
  <c r="DL82" i="7"/>
  <c r="DL83" i="7" s="1"/>
  <c r="DL127" i="7"/>
  <c r="DL128" i="7" s="1"/>
  <c r="DL47" i="7"/>
  <c r="DL7" i="7"/>
  <c r="DL97" i="7"/>
  <c r="DL98" i="7" s="1"/>
  <c r="DL142" i="7"/>
  <c r="DL143" i="7" s="1"/>
  <c r="DL77" i="7"/>
  <c r="DL122" i="7"/>
  <c r="DL37" i="7"/>
  <c r="DL38" i="7" s="1"/>
  <c r="DL157" i="7"/>
  <c r="DL158" i="7" s="1"/>
  <c r="DL62" i="7"/>
  <c r="DL172" i="7"/>
  <c r="DL173" i="7" s="1"/>
  <c r="DL112" i="7"/>
  <c r="DL113" i="7" s="1"/>
  <c r="DL32" i="7"/>
  <c r="DL167" i="7"/>
  <c r="DL107" i="7"/>
  <c r="DL8" i="7"/>
  <c r="DL152" i="7"/>
  <c r="DL67" i="7"/>
  <c r="DL68" i="7" s="1"/>
  <c r="DK154" i="7"/>
  <c r="DK160" i="7" s="1"/>
  <c r="DK163" i="7"/>
  <c r="DK43" i="7"/>
  <c r="DK10" i="7"/>
  <c r="DK34" i="7"/>
  <c r="DK169" i="7"/>
  <c r="DK175" i="7" s="1"/>
  <c r="DK178" i="7"/>
  <c r="DJ133" i="11"/>
  <c r="DJ26" i="11"/>
  <c r="DJ20" i="11" s="1"/>
  <c r="DK124" i="7"/>
  <c r="DK133" i="7"/>
  <c r="DK88" i="7"/>
  <c r="DK79" i="7"/>
  <c r="DK176" i="11"/>
  <c r="DK35" i="11"/>
  <c r="DK115" i="11"/>
  <c r="DK8" i="11"/>
  <c r="DK13" i="11" s="1"/>
  <c r="DK9" i="11"/>
  <c r="DK14" i="11" s="1"/>
  <c r="DK210" i="11"/>
  <c r="DK12" i="11"/>
  <c r="DK17" i="11" s="1"/>
  <c r="DK88" i="11" s="1"/>
  <c r="DK112" i="11" s="1"/>
  <c r="DK171" i="11"/>
  <c r="DK10" i="11"/>
  <c r="DK15" i="11" s="1"/>
  <c r="DK64" i="11" s="1"/>
  <c r="DK109" i="7"/>
  <c r="DK118" i="7"/>
  <c r="DK285" i="11"/>
  <c r="DL41" i="10"/>
  <c r="DL24" i="10"/>
  <c r="DL23" i="10"/>
  <c r="DL40" i="10"/>
  <c r="DL39" i="10"/>
  <c r="DL19" i="10"/>
  <c r="DL2" i="7"/>
  <c r="DL44" i="10"/>
  <c r="DL36" i="10"/>
  <c r="DL42" i="10"/>
  <c r="DL46" i="10"/>
  <c r="DL38" i="10"/>
  <c r="DL45" i="10"/>
  <c r="DL37" i="10"/>
  <c r="DL2" i="11"/>
  <c r="DL43" i="10"/>
  <c r="DL35" i="10"/>
  <c r="DM21" i="10"/>
  <c r="DK11" i="11"/>
  <c r="DK16" i="11" s="1"/>
  <c r="DK76" i="11" s="1"/>
  <c r="CZ150" i="11"/>
  <c r="CQ119" i="11"/>
  <c r="CQ162" i="11"/>
  <c r="CQ81" i="11"/>
  <c r="CQ136" i="11" s="1"/>
  <c r="CZ112" i="11"/>
  <c r="CZ95" i="11"/>
  <c r="CC120" i="11"/>
  <c r="AL47" i="11"/>
  <c r="BU145" i="7" l="1"/>
  <c r="BV139" i="7"/>
  <c r="DK130" i="7"/>
  <c r="DK131" i="7"/>
  <c r="DK115" i="7"/>
  <c r="DK116" i="7"/>
  <c r="BV64" i="7"/>
  <c r="BU71" i="7"/>
  <c r="BU70" i="7"/>
  <c r="BU100" i="7"/>
  <c r="BV94" i="7"/>
  <c r="BV101" i="7" s="1"/>
  <c r="DK150" i="11"/>
  <c r="DK95" i="11"/>
  <c r="DK116" i="11"/>
  <c r="DK151" i="11"/>
  <c r="DL72" i="7"/>
  <c r="DL63" i="7"/>
  <c r="DL69" i="7"/>
  <c r="DL57" i="7"/>
  <c r="DL48" i="7"/>
  <c r="DL58" i="7" s="1"/>
  <c r="DK110" i="11"/>
  <c r="DK148" i="11"/>
  <c r="DL162" i="7"/>
  <c r="DL159" i="7"/>
  <c r="DL153" i="7"/>
  <c r="DK40" i="11"/>
  <c r="DK42" i="11" s="1"/>
  <c r="DK19" i="11"/>
  <c r="DL214" i="11"/>
  <c r="DL261" i="11" s="1"/>
  <c r="DL18" i="7" s="1"/>
  <c r="DL230" i="11"/>
  <c r="DL11" i="7"/>
  <c r="DL229" i="11"/>
  <c r="DL131" i="11"/>
  <c r="DL4" i="7"/>
  <c r="DL4" i="11"/>
  <c r="DK41" i="7"/>
  <c r="DK40" i="7"/>
  <c r="DL117" i="7"/>
  <c r="DL114" i="7"/>
  <c r="DL108" i="7"/>
  <c r="DL132" i="7"/>
  <c r="DL129" i="7"/>
  <c r="DL123" i="7"/>
  <c r="DM1" i="7"/>
  <c r="DM1" i="11"/>
  <c r="DM22" i="10"/>
  <c r="DM27" i="10"/>
  <c r="DK52" i="11"/>
  <c r="DK231" i="11"/>
  <c r="DK215" i="11"/>
  <c r="DL177" i="7"/>
  <c r="DL174" i="7"/>
  <c r="DL168" i="7"/>
  <c r="DL87" i="7"/>
  <c r="DL84" i="7"/>
  <c r="DL78" i="7"/>
  <c r="DL147" i="7"/>
  <c r="DL144" i="7"/>
  <c r="DL138" i="7"/>
  <c r="DK85" i="7"/>
  <c r="DK86" i="7"/>
  <c r="DL48" i="10"/>
  <c r="DK211" i="11"/>
  <c r="DK237" i="11"/>
  <c r="DK149" i="11"/>
  <c r="DK111" i="11"/>
  <c r="DK83" i="11"/>
  <c r="DK84" i="11" s="1"/>
  <c r="DL42" i="7"/>
  <c r="DL33" i="7"/>
  <c r="DL39" i="7"/>
  <c r="DL102" i="7"/>
  <c r="DL93" i="7"/>
  <c r="DL99" i="7"/>
  <c r="CC150" i="11"/>
  <c r="CR75" i="11"/>
  <c r="CR104" i="11" s="1"/>
  <c r="CR79" i="11"/>
  <c r="CR154" i="11" s="1"/>
  <c r="CR80" i="11"/>
  <c r="CR141" i="11" s="1"/>
  <c r="DY90" i="11"/>
  <c r="DY89" i="11" s="1"/>
  <c r="CC93" i="11"/>
  <c r="CC137" i="11" s="1"/>
  <c r="CC105" i="11"/>
  <c r="CC112" i="11"/>
  <c r="CC95" i="11"/>
  <c r="CC163" i="11"/>
  <c r="AM47" i="11"/>
  <c r="BV145" i="7" l="1"/>
  <c r="BW139" i="7"/>
  <c r="BW64" i="7"/>
  <c r="BV71" i="7"/>
  <c r="BV70" i="7"/>
  <c r="DL12" i="11"/>
  <c r="DL17" i="11" s="1"/>
  <c r="DL88" i="11" s="1"/>
  <c r="DL150" i="11" s="1"/>
  <c r="DL323" i="11"/>
  <c r="DL324" i="11"/>
  <c r="DL9" i="11"/>
  <c r="DL14" i="11" s="1"/>
  <c r="DL52" i="11" s="1"/>
  <c r="BV100" i="7"/>
  <c r="BW94" i="7"/>
  <c r="BW101" i="7" s="1"/>
  <c r="DJ146" i="11"/>
  <c r="DJ47" i="11"/>
  <c r="DJ108" i="11"/>
  <c r="DL103" i="7"/>
  <c r="DL79" i="7"/>
  <c r="DL88" i="7"/>
  <c r="DK26" i="11"/>
  <c r="DK20" i="11" s="1"/>
  <c r="DK133" i="11"/>
  <c r="DL154" i="7"/>
  <c r="DL160" i="7" s="1"/>
  <c r="DL163" i="7"/>
  <c r="DL118" i="7"/>
  <c r="DL109" i="7"/>
  <c r="DM46" i="10"/>
  <c r="DM41" i="10"/>
  <c r="DM2" i="7"/>
  <c r="DM42" i="10"/>
  <c r="DM39" i="10"/>
  <c r="DM38" i="10"/>
  <c r="DN21" i="10"/>
  <c r="DM36" i="10"/>
  <c r="DM43" i="10"/>
  <c r="DM40" i="10"/>
  <c r="DM37" i="10"/>
  <c r="DM23" i="10"/>
  <c r="DM44" i="10"/>
  <c r="DM19" i="10"/>
  <c r="DM45" i="10"/>
  <c r="DM24" i="10"/>
  <c r="DM35" i="10"/>
  <c r="DM2" i="11"/>
  <c r="DL234" i="11"/>
  <c r="DL216" i="11"/>
  <c r="DL43" i="7"/>
  <c r="DL10" i="7"/>
  <c r="DL34" i="7"/>
  <c r="DL169" i="7"/>
  <c r="DL175" i="7" s="1"/>
  <c r="DL178" i="7"/>
  <c r="DL148" i="7"/>
  <c r="DL73" i="7"/>
  <c r="DM167" i="7"/>
  <c r="DM77" i="7"/>
  <c r="DM47" i="7"/>
  <c r="DM97" i="7"/>
  <c r="DM98" i="7" s="1"/>
  <c r="DM157" i="7"/>
  <c r="DM158" i="7" s="1"/>
  <c r="DM127" i="7"/>
  <c r="DM128" i="7" s="1"/>
  <c r="DM37" i="7"/>
  <c r="DM38" i="7" s="1"/>
  <c r="DM152" i="7"/>
  <c r="DM107" i="7"/>
  <c r="DM32" i="7"/>
  <c r="DM62" i="7"/>
  <c r="DM142" i="7"/>
  <c r="DM143" i="7" s="1"/>
  <c r="DM7" i="7"/>
  <c r="DM8" i="7"/>
  <c r="DM172" i="7"/>
  <c r="DM173" i="7" s="1"/>
  <c r="DM82" i="7"/>
  <c r="DM83" i="7" s="1"/>
  <c r="DM52" i="7"/>
  <c r="DM53" i="7" s="1"/>
  <c r="DM137" i="7"/>
  <c r="DM112" i="7"/>
  <c r="DM113" i="7" s="1"/>
  <c r="DM122" i="7"/>
  <c r="DM67" i="7"/>
  <c r="DM68" i="7" s="1"/>
  <c r="DM92" i="7"/>
  <c r="DL124" i="7"/>
  <c r="DL133" i="7"/>
  <c r="DL176" i="11"/>
  <c r="DL10" i="11"/>
  <c r="DL15" i="11" s="1"/>
  <c r="DL64" i="11" s="1"/>
  <c r="DL110" i="11" s="1"/>
  <c r="DL171" i="11"/>
  <c r="DL115" i="11"/>
  <c r="DL8" i="11"/>
  <c r="DL13" i="11" s="1"/>
  <c r="DL40" i="11" s="1"/>
  <c r="DL42" i="11" s="1"/>
  <c r="DL210" i="11"/>
  <c r="DL11" i="11"/>
  <c r="DL16" i="11" s="1"/>
  <c r="DL76" i="11" s="1"/>
  <c r="DL149" i="11" s="1"/>
  <c r="DL35" i="11"/>
  <c r="DL285" i="11"/>
  <c r="CR119" i="11"/>
  <c r="CR162" i="11"/>
  <c r="CR81" i="11"/>
  <c r="CR136" i="11" s="1"/>
  <c r="CC96" i="11"/>
  <c r="CD91" i="11"/>
  <c r="CD155" i="11" s="1"/>
  <c r="CD92" i="11"/>
  <c r="CD142" i="11" s="1"/>
  <c r="CD87" i="11"/>
  <c r="J14" i="14"/>
  <c r="AN47" i="11"/>
  <c r="BW145" i="7" l="1"/>
  <c r="BX139" i="7"/>
  <c r="DL130" i="7"/>
  <c r="DL131" i="7"/>
  <c r="DL115" i="7"/>
  <c r="DL116" i="7"/>
  <c r="BX64" i="7"/>
  <c r="BW71" i="7"/>
  <c r="BW70" i="7"/>
  <c r="BW100" i="7"/>
  <c r="BX94" i="7"/>
  <c r="BX101" i="7" s="1"/>
  <c r="DL133" i="11"/>
  <c r="DL148" i="11"/>
  <c r="DL83" i="11"/>
  <c r="DL84" i="11" s="1"/>
  <c r="DL116" i="11"/>
  <c r="DL151" i="11"/>
  <c r="DM132" i="7"/>
  <c r="DM129" i="7"/>
  <c r="DM123" i="7"/>
  <c r="DM72" i="7"/>
  <c r="DM63" i="7"/>
  <c r="DM69" i="7"/>
  <c r="DM57" i="7"/>
  <c r="DM48" i="7"/>
  <c r="DM58" i="7" s="1"/>
  <c r="DM48" i="10"/>
  <c r="DL26" i="11"/>
  <c r="DM147" i="7"/>
  <c r="DM138" i="7"/>
  <c r="DM144" i="7"/>
  <c r="DM42" i="7"/>
  <c r="DM39" i="7"/>
  <c r="DM33" i="7"/>
  <c r="DM87" i="7"/>
  <c r="DM84" i="7"/>
  <c r="DM78" i="7"/>
  <c r="DN1" i="7"/>
  <c r="DN1" i="11"/>
  <c r="DN22" i="10"/>
  <c r="DN27" i="10"/>
  <c r="DM117" i="7"/>
  <c r="DM114" i="7"/>
  <c r="DM108" i="7"/>
  <c r="DM177" i="7"/>
  <c r="DM174" i="7"/>
  <c r="DM168" i="7"/>
  <c r="DL41" i="7"/>
  <c r="DL40" i="7"/>
  <c r="DL95" i="11"/>
  <c r="DL237" i="11"/>
  <c r="DL211" i="11"/>
  <c r="DM162" i="7"/>
  <c r="DM153" i="7"/>
  <c r="DM159" i="7"/>
  <c r="DL19" i="11"/>
  <c r="DL231" i="11"/>
  <c r="DL215" i="11"/>
  <c r="DL86" i="7"/>
  <c r="DL85" i="7"/>
  <c r="DM229" i="11"/>
  <c r="DM131" i="11"/>
  <c r="DM11" i="7"/>
  <c r="DL112" i="11"/>
  <c r="DL111" i="11"/>
  <c r="DM102" i="7"/>
  <c r="DM99" i="7"/>
  <c r="DM93" i="7"/>
  <c r="DM214" i="11"/>
  <c r="DM261" i="11" s="1"/>
  <c r="DM18" i="7" s="1"/>
  <c r="DM230" i="11"/>
  <c r="DM4" i="7"/>
  <c r="DM4" i="11"/>
  <c r="DA150" i="11"/>
  <c r="CS79" i="11"/>
  <c r="CS154" i="11" s="1"/>
  <c r="CS75" i="11"/>
  <c r="CS80" i="11"/>
  <c r="CS141" i="11" s="1"/>
  <c r="DA112" i="11"/>
  <c r="DA95" i="11"/>
  <c r="CD96" i="11"/>
  <c r="CD163" i="11"/>
  <c r="CD105" i="11"/>
  <c r="CD120" i="11"/>
  <c r="CD93" i="11"/>
  <c r="CD137" i="11" s="1"/>
  <c r="AO47" i="11"/>
  <c r="BX145" i="7" l="1"/>
  <c r="BY139" i="7"/>
  <c r="BY64" i="7"/>
  <c r="BX71" i="7"/>
  <c r="BX70" i="7"/>
  <c r="DM323" i="11"/>
  <c r="DM324" i="11"/>
  <c r="BX100" i="7"/>
  <c r="BY94" i="7"/>
  <c r="BY101" i="7" s="1"/>
  <c r="DL20" i="11"/>
  <c r="DL108" i="11"/>
  <c r="DL47" i="11"/>
  <c r="DL146" i="11"/>
  <c r="DK108" i="11"/>
  <c r="DK146" i="11"/>
  <c r="DK47" i="11"/>
  <c r="DM43" i="7"/>
  <c r="DM10" i="7"/>
  <c r="DM34" i="7"/>
  <c r="DM124" i="7"/>
  <c r="DM133" i="7"/>
  <c r="DM176" i="11"/>
  <c r="DM171" i="11"/>
  <c r="DM9" i="11"/>
  <c r="DM14" i="11" s="1"/>
  <c r="DM52" i="11" s="1"/>
  <c r="DM210" i="11"/>
  <c r="DM12" i="11"/>
  <c r="DM17" i="11" s="1"/>
  <c r="DM88" i="11" s="1"/>
  <c r="DM95" i="11" s="1"/>
  <c r="DM115" i="11"/>
  <c r="DM35" i="11"/>
  <c r="DM10" i="11"/>
  <c r="DM15" i="11" s="1"/>
  <c r="DM64" i="11" s="1"/>
  <c r="DM8" i="11"/>
  <c r="DM13" i="11" s="1"/>
  <c r="DN45" i="10"/>
  <c r="DN43" i="10"/>
  <c r="DN44" i="10"/>
  <c r="DN41" i="10"/>
  <c r="DN40" i="10"/>
  <c r="DN42" i="10"/>
  <c r="DN37" i="10"/>
  <c r="DN19" i="10"/>
  <c r="DO21" i="10"/>
  <c r="DN38" i="10"/>
  <c r="DN24" i="10"/>
  <c r="DN2" i="7"/>
  <c r="DN2" i="11"/>
  <c r="DN35" i="10"/>
  <c r="DN46" i="10"/>
  <c r="DN36" i="10"/>
  <c r="DN23" i="10"/>
  <c r="DN39" i="10"/>
  <c r="DM216" i="11"/>
  <c r="DM234" i="11"/>
  <c r="DM169" i="7"/>
  <c r="DM175" i="7" s="1"/>
  <c r="DM178" i="7"/>
  <c r="DM163" i="7"/>
  <c r="DM154" i="7"/>
  <c r="DM160" i="7" s="1"/>
  <c r="DN137" i="7"/>
  <c r="DN67" i="7"/>
  <c r="DN68" i="7" s="1"/>
  <c r="DN92" i="7"/>
  <c r="DN62" i="7"/>
  <c r="DN8" i="7"/>
  <c r="DN127" i="7"/>
  <c r="DN128" i="7" s="1"/>
  <c r="DN122" i="7"/>
  <c r="DN52" i="7"/>
  <c r="DN53" i="7" s="1"/>
  <c r="DN112" i="7"/>
  <c r="DN113" i="7" s="1"/>
  <c r="DN47" i="7"/>
  <c r="DN152" i="7"/>
  <c r="DN142" i="7"/>
  <c r="DN143" i="7" s="1"/>
  <c r="DN172" i="7"/>
  <c r="DN173" i="7" s="1"/>
  <c r="DN167" i="7"/>
  <c r="DN107" i="7"/>
  <c r="DN37" i="7"/>
  <c r="DN38" i="7" s="1"/>
  <c r="DN157" i="7"/>
  <c r="DN158" i="7" s="1"/>
  <c r="DN97" i="7"/>
  <c r="DN98" i="7" s="1"/>
  <c r="DN7" i="7"/>
  <c r="DN82" i="7"/>
  <c r="DN83" i="7" s="1"/>
  <c r="DN32" i="7"/>
  <c r="DN77" i="7"/>
  <c r="DM148" i="7"/>
  <c r="DM73" i="7"/>
  <c r="DM79" i="7"/>
  <c r="DM88" i="7"/>
  <c r="DM11" i="11"/>
  <c r="DM16" i="11" s="1"/>
  <c r="DM76" i="11" s="1"/>
  <c r="DM103" i="7"/>
  <c r="DM109" i="7"/>
  <c r="DM118" i="7"/>
  <c r="DM285" i="11"/>
  <c r="P194" i="2" s="1"/>
  <c r="CS162" i="11"/>
  <c r="CS119" i="11"/>
  <c r="CS81" i="11"/>
  <c r="CS136" i="11" s="1"/>
  <c r="CS104" i="11"/>
  <c r="CE92" i="11"/>
  <c r="CE142" i="11" s="1"/>
  <c r="CE96" i="11"/>
  <c r="CE87" i="11"/>
  <c r="CE91" i="11"/>
  <c r="CE155" i="11" s="1"/>
  <c r="AP47" i="11"/>
  <c r="BY145" i="7" l="1"/>
  <c r="BZ139" i="7"/>
  <c r="DM130" i="7"/>
  <c r="DM131" i="7"/>
  <c r="DM115" i="7"/>
  <c r="DM116" i="7"/>
  <c r="BZ64" i="7"/>
  <c r="BY71" i="7"/>
  <c r="BY70" i="7"/>
  <c r="DM112" i="11"/>
  <c r="DM150" i="11"/>
  <c r="BY100" i="7"/>
  <c r="BZ94" i="7"/>
  <c r="BZ101" i="7" s="1"/>
  <c r="DM85" i="7"/>
  <c r="DM86" i="7"/>
  <c r="DN131" i="11"/>
  <c r="DN229" i="11"/>
  <c r="DN162" i="7"/>
  <c r="DN159" i="7"/>
  <c r="DN153" i="7"/>
  <c r="DN102" i="7"/>
  <c r="DN99" i="7"/>
  <c r="DN93" i="7"/>
  <c r="DN57" i="7"/>
  <c r="DN48" i="7"/>
  <c r="DN58" i="7" s="1"/>
  <c r="DM40" i="11"/>
  <c r="DM42" i="11" s="1"/>
  <c r="DM19" i="11"/>
  <c r="DN147" i="7"/>
  <c r="DN144" i="7"/>
  <c r="DN138" i="7"/>
  <c r="DN4" i="7"/>
  <c r="DN4" i="11"/>
  <c r="DO22" i="10"/>
  <c r="DO1" i="7"/>
  <c r="DO1" i="11"/>
  <c r="DO27" i="10"/>
  <c r="DM237" i="11"/>
  <c r="DM211" i="11"/>
  <c r="DM41" i="7"/>
  <c r="DM40" i="7"/>
  <c r="DN11" i="7"/>
  <c r="DM231" i="11"/>
  <c r="DM215" i="11"/>
  <c r="DN117" i="7"/>
  <c r="DN114" i="7"/>
  <c r="DN108" i="7"/>
  <c r="DN132" i="7"/>
  <c r="DN129" i="7"/>
  <c r="DN123" i="7"/>
  <c r="DN87" i="7"/>
  <c r="DN84" i="7"/>
  <c r="DN78" i="7"/>
  <c r="DN177" i="7"/>
  <c r="DN168" i="7"/>
  <c r="DN174" i="7"/>
  <c r="DN48" i="10"/>
  <c r="DM110" i="11"/>
  <c r="DM148" i="11"/>
  <c r="DM149" i="11"/>
  <c r="DM83" i="11"/>
  <c r="DM84" i="11" s="1"/>
  <c r="DM111" i="11"/>
  <c r="DN42" i="7"/>
  <c r="DN39" i="7"/>
  <c r="DN33" i="7"/>
  <c r="DN230" i="11"/>
  <c r="DN214" i="11"/>
  <c r="DN72" i="7"/>
  <c r="DN63" i="7"/>
  <c r="DN69" i="7"/>
  <c r="DM116" i="11"/>
  <c r="DM151" i="11"/>
  <c r="CT80" i="11"/>
  <c r="CT141" i="11" s="1"/>
  <c r="CT79" i="11"/>
  <c r="CT154" i="11" s="1"/>
  <c r="CT75" i="11"/>
  <c r="CT104" i="11" s="1"/>
  <c r="CF96" i="11"/>
  <c r="CE93" i="11"/>
  <c r="CE137" i="11" s="1"/>
  <c r="CE163" i="11"/>
  <c r="CE105" i="11"/>
  <c r="CE120" i="11"/>
  <c r="AQ47" i="11"/>
  <c r="BZ145" i="7" l="1"/>
  <c r="CA139" i="7"/>
  <c r="CA64" i="7"/>
  <c r="BZ71" i="7"/>
  <c r="BZ70" i="7"/>
  <c r="DN324" i="11"/>
  <c r="DN323" i="11"/>
  <c r="BZ100" i="7"/>
  <c r="CA94" i="7"/>
  <c r="CA101" i="7" s="1"/>
  <c r="DN73" i="7"/>
  <c r="DN79" i="7"/>
  <c r="DN88" i="7"/>
  <c r="DN154" i="7"/>
  <c r="DN160" i="7" s="1"/>
  <c r="DN163" i="7"/>
  <c r="DN133" i="7"/>
  <c r="DN124" i="7"/>
  <c r="DN234" i="11"/>
  <c r="DN216" i="11"/>
  <c r="DO2" i="7"/>
  <c r="DO2" i="11"/>
  <c r="DO45" i="10"/>
  <c r="DO37" i="10"/>
  <c r="DO41" i="10"/>
  <c r="DO46" i="10"/>
  <c r="DO44" i="10"/>
  <c r="DO36" i="10"/>
  <c r="DP21" i="10"/>
  <c r="DO38" i="10"/>
  <c r="DO43" i="10"/>
  <c r="DO35" i="10"/>
  <c r="DO42" i="10"/>
  <c r="DO24" i="10"/>
  <c r="DO40" i="10"/>
  <c r="DO23" i="10"/>
  <c r="DO39" i="10"/>
  <c r="DO19" i="10"/>
  <c r="DO137" i="7"/>
  <c r="DO77" i="7"/>
  <c r="DO8" i="7"/>
  <c r="DO127" i="7"/>
  <c r="DO128" i="7" s="1"/>
  <c r="DO7" i="7"/>
  <c r="DO122" i="7"/>
  <c r="DO67" i="7"/>
  <c r="DO68" i="7" s="1"/>
  <c r="DO172" i="7"/>
  <c r="DO173" i="7" s="1"/>
  <c r="DO112" i="7"/>
  <c r="DO113" i="7" s="1"/>
  <c r="DO62" i="7"/>
  <c r="DO167" i="7"/>
  <c r="DO107" i="7"/>
  <c r="DO52" i="7"/>
  <c r="DO53" i="7" s="1"/>
  <c r="DO157" i="7"/>
  <c r="DO158" i="7" s="1"/>
  <c r="DO97" i="7"/>
  <c r="DO98" i="7" s="1"/>
  <c r="DO47" i="7"/>
  <c r="DO152" i="7"/>
  <c r="DO92" i="7"/>
  <c r="DO37" i="7"/>
  <c r="DO38" i="7" s="1"/>
  <c r="DO142" i="7"/>
  <c r="DO143" i="7" s="1"/>
  <c r="DO82" i="7"/>
  <c r="DO83" i="7" s="1"/>
  <c r="DO32" i="7"/>
  <c r="DN43" i="7"/>
  <c r="DN10" i="7"/>
  <c r="DN34" i="7"/>
  <c r="DN10" i="11"/>
  <c r="DN15" i="11" s="1"/>
  <c r="DN64" i="11" s="1"/>
  <c r="DN148" i="11" s="1"/>
  <c r="DN9" i="11"/>
  <c r="DN14" i="11" s="1"/>
  <c r="DN52" i="11" s="1"/>
  <c r="DN176" i="11"/>
  <c r="DN8" i="11"/>
  <c r="DN13" i="11" s="1"/>
  <c r="DN171" i="11"/>
  <c r="DN11" i="11"/>
  <c r="DN16" i="11" s="1"/>
  <c r="DN76" i="11" s="1"/>
  <c r="DN149" i="11" s="1"/>
  <c r="DN115" i="11"/>
  <c r="DN210" i="11"/>
  <c r="DN12" i="11"/>
  <c r="DN17" i="11" s="1"/>
  <c r="DN88" i="11" s="1"/>
  <c r="DN112" i="11" s="1"/>
  <c r="DN35" i="11"/>
  <c r="DN285" i="11"/>
  <c r="DN261" i="11"/>
  <c r="DN18" i="7" s="1"/>
  <c r="DN169" i="7"/>
  <c r="DN175" i="7" s="1"/>
  <c r="DN178" i="7"/>
  <c r="DN109" i="7"/>
  <c r="DN118" i="7"/>
  <c r="DN148" i="7"/>
  <c r="DN103" i="7"/>
  <c r="DM26" i="11"/>
  <c r="DM20" i="11" s="1"/>
  <c r="DM133" i="11"/>
  <c r="CT162" i="11"/>
  <c r="CT81" i="11"/>
  <c r="CT136" i="11" s="1"/>
  <c r="CT119" i="11"/>
  <c r="CF92" i="11"/>
  <c r="CF142" i="11" s="1"/>
  <c r="CG96" i="11"/>
  <c r="CF91" i="11"/>
  <c r="CF155" i="11" s="1"/>
  <c r="CF87" i="11"/>
  <c r="AR47" i="11"/>
  <c r="CA145" i="7" l="1"/>
  <c r="CB139" i="7"/>
  <c r="DN130" i="7"/>
  <c r="DN131" i="7"/>
  <c r="DN115" i="7"/>
  <c r="DN116" i="7"/>
  <c r="CB64" i="7"/>
  <c r="CA71" i="7"/>
  <c r="CA70" i="7"/>
  <c r="DO48" i="10"/>
  <c r="CA100" i="7"/>
  <c r="CB94" i="7"/>
  <c r="CB101" i="7" s="1"/>
  <c r="DN83" i="11"/>
  <c r="DN84" i="11" s="1"/>
  <c r="DN111" i="11"/>
  <c r="DN95" i="11"/>
  <c r="DN150" i="11"/>
  <c r="DN110" i="11"/>
  <c r="DN40" i="11"/>
  <c r="DN42" i="11" s="1"/>
  <c r="DN19" i="11"/>
  <c r="DO117" i="7"/>
  <c r="DO114" i="7"/>
  <c r="DO108" i="7"/>
  <c r="DN116" i="11"/>
  <c r="DN151" i="11"/>
  <c r="DO11" i="7"/>
  <c r="DO177" i="7"/>
  <c r="DO174" i="7"/>
  <c r="DO168" i="7"/>
  <c r="DO230" i="11"/>
  <c r="DO214" i="11"/>
  <c r="DO102" i="7"/>
  <c r="DO99" i="7"/>
  <c r="DO93" i="7"/>
  <c r="DO72" i="7"/>
  <c r="DO69" i="7"/>
  <c r="DO63" i="7"/>
  <c r="DO87" i="7"/>
  <c r="DO84" i="7"/>
  <c r="DO78" i="7"/>
  <c r="DN41" i="7"/>
  <c r="DN40" i="7"/>
  <c r="DO162" i="7"/>
  <c r="DO153" i="7"/>
  <c r="DO159" i="7"/>
  <c r="DO147" i="7"/>
  <c r="DO144" i="7"/>
  <c r="DO138" i="7"/>
  <c r="DN215" i="11"/>
  <c r="DN231" i="11"/>
  <c r="DO57" i="7"/>
  <c r="DO48" i="7"/>
  <c r="DO58" i="7" s="1"/>
  <c r="DP27" i="10"/>
  <c r="DP1" i="7"/>
  <c r="DP1" i="11"/>
  <c r="DP22" i="10"/>
  <c r="DN86" i="7"/>
  <c r="DN85" i="7"/>
  <c r="DO42" i="7"/>
  <c r="DO33" i="7"/>
  <c r="DO39" i="7"/>
  <c r="DO132" i="7"/>
  <c r="DO129" i="7"/>
  <c r="DO123" i="7"/>
  <c r="DO4" i="7"/>
  <c r="DO4" i="11"/>
  <c r="DN211" i="11"/>
  <c r="DN237" i="11"/>
  <c r="DO131" i="11"/>
  <c r="DO229" i="11"/>
  <c r="CU79" i="11"/>
  <c r="CU154" i="11" s="1"/>
  <c r="CU75" i="11"/>
  <c r="CU104" i="11" s="1"/>
  <c r="CU80" i="11"/>
  <c r="CU141" i="11" s="1"/>
  <c r="CF120" i="11"/>
  <c r="CH96" i="11"/>
  <c r="CF105" i="11"/>
  <c r="CF163" i="11"/>
  <c r="CF93" i="11"/>
  <c r="CF137" i="11" s="1"/>
  <c r="AS47" i="11"/>
  <c r="CB145" i="7" l="1"/>
  <c r="CC139" i="7"/>
  <c r="CC64" i="7"/>
  <c r="CB71" i="7"/>
  <c r="CB70" i="7"/>
  <c r="DO323" i="11"/>
  <c r="DO324" i="11"/>
  <c r="CB100" i="7"/>
  <c r="CC94" i="7"/>
  <c r="CC101" i="7" s="1"/>
  <c r="DM108" i="11"/>
  <c r="DM146" i="11"/>
  <c r="DM47" i="11"/>
  <c r="DP2" i="7"/>
  <c r="DP2" i="11"/>
  <c r="DP46" i="10"/>
  <c r="DP38" i="10"/>
  <c r="DP45" i="10"/>
  <c r="DP36" i="10"/>
  <c r="DP37" i="10"/>
  <c r="DP43" i="10"/>
  <c r="DP42" i="10"/>
  <c r="DP23" i="10"/>
  <c r="DP40" i="10"/>
  <c r="DP19" i="10"/>
  <c r="DP44" i="10"/>
  <c r="DP39" i="10"/>
  <c r="DP35" i="10"/>
  <c r="DP24" i="10"/>
  <c r="DP41" i="10"/>
  <c r="DQ21" i="10"/>
  <c r="DO43" i="7"/>
  <c r="DO10" i="7"/>
  <c r="DO34" i="7"/>
  <c r="DO148" i="7"/>
  <c r="DO79" i="7"/>
  <c r="DO88" i="7"/>
  <c r="DO103" i="7"/>
  <c r="DP122" i="7"/>
  <c r="DP67" i="7"/>
  <c r="DP68" i="7" s="1"/>
  <c r="DP172" i="7"/>
  <c r="DP173" i="7" s="1"/>
  <c r="DP112" i="7"/>
  <c r="DP113" i="7" s="1"/>
  <c r="DP62" i="7"/>
  <c r="DP167" i="7"/>
  <c r="DP107" i="7"/>
  <c r="DP52" i="7"/>
  <c r="DP53" i="7" s="1"/>
  <c r="DP157" i="7"/>
  <c r="DP158" i="7" s="1"/>
  <c r="DP97" i="7"/>
  <c r="DP98" i="7" s="1"/>
  <c r="DP47" i="7"/>
  <c r="DP32" i="7"/>
  <c r="DP77" i="7"/>
  <c r="DP127" i="7"/>
  <c r="DP128" i="7" s="1"/>
  <c r="DP152" i="7"/>
  <c r="DP92" i="7"/>
  <c r="DP37" i="7"/>
  <c r="DP38" i="7" s="1"/>
  <c r="DP142" i="7"/>
  <c r="DP143" i="7" s="1"/>
  <c r="DP82" i="7"/>
  <c r="DP83" i="7" s="1"/>
  <c r="DP137" i="7"/>
  <c r="DP8" i="7"/>
  <c r="DP7" i="7"/>
  <c r="DO261" i="11"/>
  <c r="DO18" i="7" s="1"/>
  <c r="DO285" i="11"/>
  <c r="DO109" i="7"/>
  <c r="DO118" i="7"/>
  <c r="DO234" i="11"/>
  <c r="DO216" i="11"/>
  <c r="DO10" i="11"/>
  <c r="DO15" i="11" s="1"/>
  <c r="DO64" i="11" s="1"/>
  <c r="DO110" i="11" s="1"/>
  <c r="DO8" i="11"/>
  <c r="DO13" i="11" s="1"/>
  <c r="DO115" i="11"/>
  <c r="DO11" i="11"/>
  <c r="DO16" i="11" s="1"/>
  <c r="DO76" i="11" s="1"/>
  <c r="DO83" i="11" s="1"/>
  <c r="DO84" i="11" s="1"/>
  <c r="DO35" i="11"/>
  <c r="DO210" i="11"/>
  <c r="DO9" i="11"/>
  <c r="DO14" i="11" s="1"/>
  <c r="DO176" i="11"/>
  <c r="DO12" i="11"/>
  <c r="DO17" i="11" s="1"/>
  <c r="DO88" i="11" s="1"/>
  <c r="DO171" i="11"/>
  <c r="DO73" i="7"/>
  <c r="DO169" i="7"/>
  <c r="DO175" i="7" s="1"/>
  <c r="DO178" i="7"/>
  <c r="DO133" i="7"/>
  <c r="DO124" i="7"/>
  <c r="DO154" i="7"/>
  <c r="DO160" i="7" s="1"/>
  <c r="DO163" i="7"/>
  <c r="DN133" i="11"/>
  <c r="DN26" i="11"/>
  <c r="DN20" i="11" s="1"/>
  <c r="CU119" i="11"/>
  <c r="CU81" i="11"/>
  <c r="CU136" i="11" s="1"/>
  <c r="CU162" i="11"/>
  <c r="CI96" i="11"/>
  <c r="CG87" i="11"/>
  <c r="CG91" i="11"/>
  <c r="CG155" i="11" s="1"/>
  <c r="CG92" i="11"/>
  <c r="CG142" i="11" s="1"/>
  <c r="AT47" i="11"/>
  <c r="CC145" i="7" l="1"/>
  <c r="CD139" i="7"/>
  <c r="DO130" i="7"/>
  <c r="DO131" i="7"/>
  <c r="DO115" i="7"/>
  <c r="DO116" i="7"/>
  <c r="CD64" i="7"/>
  <c r="CC71" i="7"/>
  <c r="CC70" i="7"/>
  <c r="DP48" i="10"/>
  <c r="CC100" i="7"/>
  <c r="CD94" i="7"/>
  <c r="CD101" i="7" s="1"/>
  <c r="DO148" i="11"/>
  <c r="DO111" i="11"/>
  <c r="DO149" i="11"/>
  <c r="DO40" i="11"/>
  <c r="DO42" i="11" s="1"/>
  <c r="DO19" i="11"/>
  <c r="DO86" i="7"/>
  <c r="DO85" i="7"/>
  <c r="DO151" i="11"/>
  <c r="DO116" i="11"/>
  <c r="DP57" i="7"/>
  <c r="DP48" i="7"/>
  <c r="DP58" i="7" s="1"/>
  <c r="DO40" i="7"/>
  <c r="DO41" i="7"/>
  <c r="DP11" i="7"/>
  <c r="DP132" i="7"/>
  <c r="DP129" i="7"/>
  <c r="DP123" i="7"/>
  <c r="DO215" i="11"/>
  <c r="DO231" i="11"/>
  <c r="DP214" i="11"/>
  <c r="DP230" i="11"/>
  <c r="DP87" i="7"/>
  <c r="DP84" i="7"/>
  <c r="DP78" i="7"/>
  <c r="DP72" i="7"/>
  <c r="DP69" i="7"/>
  <c r="DP63" i="7"/>
  <c r="DP147" i="7"/>
  <c r="DP144" i="7"/>
  <c r="DP138" i="7"/>
  <c r="DP42" i="7"/>
  <c r="DP39" i="7"/>
  <c r="DP33" i="7"/>
  <c r="DO112" i="11"/>
  <c r="DO95" i="11"/>
  <c r="DO150" i="11"/>
  <c r="DP102" i="7"/>
  <c r="DP93" i="7"/>
  <c r="DP99" i="7"/>
  <c r="DO52" i="11"/>
  <c r="DP162" i="7"/>
  <c r="DP159" i="7"/>
  <c r="DP153" i="7"/>
  <c r="DP117" i="7"/>
  <c r="DP108" i="7"/>
  <c r="DP114" i="7"/>
  <c r="DQ22" i="10"/>
  <c r="DQ27" i="10"/>
  <c r="DQ1" i="7"/>
  <c r="DQ1" i="11"/>
  <c r="DP4" i="7"/>
  <c r="DP4" i="11"/>
  <c r="DO211" i="11"/>
  <c r="DO237" i="11"/>
  <c r="DP131" i="11"/>
  <c r="DP229" i="11"/>
  <c r="DP177" i="7"/>
  <c r="DP174" i="7"/>
  <c r="DP168" i="7"/>
  <c r="CV80" i="11"/>
  <c r="CV141" i="11" s="1"/>
  <c r="CV75" i="11"/>
  <c r="CV104" i="11" s="1"/>
  <c r="CV79" i="11"/>
  <c r="CV154" i="11" s="1"/>
  <c r="CJ96" i="11"/>
  <c r="CG120" i="11"/>
  <c r="CG163" i="11"/>
  <c r="CG93" i="11"/>
  <c r="CG137" i="11" s="1"/>
  <c r="CG105" i="11"/>
  <c r="AU47" i="11"/>
  <c r="CD145" i="7" l="1"/>
  <c r="CE139" i="7"/>
  <c r="CD71" i="7"/>
  <c r="CE64" i="7"/>
  <c r="CD70" i="7"/>
  <c r="DP323" i="11"/>
  <c r="DP324" i="11"/>
  <c r="CD100" i="7"/>
  <c r="CE94" i="7"/>
  <c r="CE101" i="7" s="1"/>
  <c r="DN47" i="11"/>
  <c r="DN146" i="11"/>
  <c r="DN108" i="11"/>
  <c r="DP88" i="7"/>
  <c r="DP79" i="7"/>
  <c r="DP118" i="7"/>
  <c r="DP109" i="7"/>
  <c r="DP35" i="11"/>
  <c r="DP8" i="11"/>
  <c r="DP13" i="11" s="1"/>
  <c r="DP40" i="11" s="1"/>
  <c r="DP42" i="11" s="1"/>
  <c r="DP9" i="11"/>
  <c r="DP14" i="11" s="1"/>
  <c r="DP52" i="11" s="1"/>
  <c r="DP115" i="11"/>
  <c r="DP10" i="11"/>
  <c r="DP15" i="11" s="1"/>
  <c r="DP171" i="11"/>
  <c r="DP176" i="11"/>
  <c r="DP11" i="11"/>
  <c r="DP16" i="11" s="1"/>
  <c r="DP210" i="11"/>
  <c r="DP103" i="7"/>
  <c r="DP178" i="7"/>
  <c r="DP169" i="7"/>
  <c r="DP175" i="7" s="1"/>
  <c r="DP154" i="7"/>
  <c r="DP160" i="7" s="1"/>
  <c r="DP163" i="7"/>
  <c r="DP285" i="11"/>
  <c r="DP261" i="11"/>
  <c r="DP18" i="7" s="1"/>
  <c r="DP148" i="7"/>
  <c r="DP234" i="11"/>
  <c r="DP216" i="11"/>
  <c r="DQ172" i="7"/>
  <c r="DQ173" i="7" s="1"/>
  <c r="DQ112" i="7"/>
  <c r="DQ113" i="7" s="1"/>
  <c r="DQ52" i="7"/>
  <c r="DQ53" i="7" s="1"/>
  <c r="DQ167" i="7"/>
  <c r="DQ107" i="7"/>
  <c r="DQ47" i="7"/>
  <c r="DQ97" i="7"/>
  <c r="DQ98" i="7" s="1"/>
  <c r="DQ142" i="7"/>
  <c r="DQ143" i="7" s="1"/>
  <c r="DQ82" i="7"/>
  <c r="DQ83" i="7" s="1"/>
  <c r="DQ8" i="7"/>
  <c r="DQ157" i="7"/>
  <c r="DQ158" i="7" s="1"/>
  <c r="DQ37" i="7"/>
  <c r="DQ38" i="7" s="1"/>
  <c r="DQ152" i="7"/>
  <c r="DQ92" i="7"/>
  <c r="DQ32" i="7"/>
  <c r="DQ67" i="7"/>
  <c r="DQ68" i="7" s="1"/>
  <c r="DQ122" i="7"/>
  <c r="DQ62" i="7"/>
  <c r="DQ137" i="7"/>
  <c r="DQ77" i="7"/>
  <c r="DQ7" i="7"/>
  <c r="DQ127" i="7"/>
  <c r="DQ128" i="7" s="1"/>
  <c r="DP73" i="7"/>
  <c r="DO26" i="11"/>
  <c r="DO20" i="11" s="1"/>
  <c r="DO133" i="11"/>
  <c r="DQ2" i="7"/>
  <c r="DR21" i="10"/>
  <c r="DQ39" i="10"/>
  <c r="DQ36" i="10"/>
  <c r="DQ24" i="10"/>
  <c r="DQ23" i="10"/>
  <c r="DQ2" i="11"/>
  <c r="DQ46" i="10"/>
  <c r="DQ38" i="10"/>
  <c r="DQ45" i="10"/>
  <c r="DQ37" i="10"/>
  <c r="DQ35" i="10"/>
  <c r="DQ40" i="10"/>
  <c r="DQ19" i="10"/>
  <c r="DQ44" i="10"/>
  <c r="DQ43" i="10"/>
  <c r="DQ41" i="10"/>
  <c r="DQ42" i="10"/>
  <c r="DP43" i="7"/>
  <c r="DP10" i="7"/>
  <c r="DP34" i="7"/>
  <c r="DP133" i="7"/>
  <c r="DP124" i="7"/>
  <c r="DP12" i="11"/>
  <c r="DP17" i="11" s="1"/>
  <c r="DP88" i="11" s="1"/>
  <c r="DP112" i="11" s="1"/>
  <c r="CV119" i="11"/>
  <c r="CV81" i="11"/>
  <c r="CV136" i="11" s="1"/>
  <c r="CV162" i="11"/>
  <c r="CK96" i="11"/>
  <c r="CH87" i="11"/>
  <c r="CH92" i="11"/>
  <c r="CH142" i="11" s="1"/>
  <c r="CH91" i="11"/>
  <c r="CH155" i="11" s="1"/>
  <c r="AV47" i="11"/>
  <c r="CE145" i="7" l="1"/>
  <c r="CF139" i="7"/>
  <c r="DP130" i="7"/>
  <c r="DP131" i="7"/>
  <c r="DP115" i="7"/>
  <c r="DP116" i="7"/>
  <c r="CE70" i="7"/>
  <c r="CE71" i="7"/>
  <c r="CF64" i="7"/>
  <c r="DP95" i="11"/>
  <c r="DP150" i="11"/>
  <c r="CE100" i="7"/>
  <c r="CF94" i="7"/>
  <c r="CF101" i="7" s="1"/>
  <c r="DP133" i="11"/>
  <c r="DP108" i="11"/>
  <c r="DP146" i="11"/>
  <c r="DP47" i="11"/>
  <c r="DQ132" i="7"/>
  <c r="DQ129" i="7"/>
  <c r="DQ123" i="7"/>
  <c r="DP237" i="11"/>
  <c r="DP211" i="11"/>
  <c r="DP64" i="11"/>
  <c r="DP40" i="7"/>
  <c r="DP41" i="7"/>
  <c r="DQ4" i="7"/>
  <c r="DQ4" i="11"/>
  <c r="DQ230" i="11"/>
  <c r="DQ214" i="11"/>
  <c r="DQ261" i="11" s="1"/>
  <c r="DQ18" i="7" s="1"/>
  <c r="DQ42" i="7"/>
  <c r="DQ33" i="7"/>
  <c r="DQ39" i="7"/>
  <c r="DP76" i="11"/>
  <c r="DQ72" i="7"/>
  <c r="DQ69" i="7"/>
  <c r="DQ63" i="7"/>
  <c r="DP215" i="11"/>
  <c r="DP231" i="11"/>
  <c r="DQ48" i="10"/>
  <c r="DQ102" i="7"/>
  <c r="DQ99" i="7"/>
  <c r="DQ93" i="7"/>
  <c r="DQ57" i="7"/>
  <c r="DQ48" i="7"/>
  <c r="DQ58" i="7" s="1"/>
  <c r="DQ131" i="11"/>
  <c r="DQ229" i="11"/>
  <c r="DQ162" i="7"/>
  <c r="DQ159" i="7"/>
  <c r="DQ153" i="7"/>
  <c r="DQ117" i="7"/>
  <c r="DQ108" i="7"/>
  <c r="DQ114" i="7"/>
  <c r="DP19" i="11"/>
  <c r="DR1" i="7"/>
  <c r="DR1" i="11"/>
  <c r="DR22" i="10"/>
  <c r="DR27" i="10"/>
  <c r="DQ87" i="7"/>
  <c r="DQ84" i="7"/>
  <c r="DQ78" i="7"/>
  <c r="DQ11" i="7"/>
  <c r="DQ177" i="7"/>
  <c r="DQ174" i="7"/>
  <c r="DQ168" i="7"/>
  <c r="DP86" i="7"/>
  <c r="DP85" i="7"/>
  <c r="DQ147" i="7"/>
  <c r="DQ144" i="7"/>
  <c r="DQ138" i="7"/>
  <c r="DP116" i="11"/>
  <c r="DP151" i="11"/>
  <c r="CW80" i="11"/>
  <c r="CW141" i="11" s="1"/>
  <c r="CW79" i="11"/>
  <c r="CW154" i="11" s="1"/>
  <c r="CW75" i="11"/>
  <c r="CW104" i="11" s="1"/>
  <c r="CL96" i="11"/>
  <c r="CH163" i="11"/>
  <c r="CH120" i="11"/>
  <c r="CH105" i="11"/>
  <c r="CH93" i="11"/>
  <c r="CH137" i="11" s="1"/>
  <c r="AW47" i="11"/>
  <c r="CG139" i="7" l="1"/>
  <c r="CF145" i="7"/>
  <c r="CF70" i="7"/>
  <c r="CF71" i="7"/>
  <c r="CG64" i="7"/>
  <c r="DQ8" i="11"/>
  <c r="DQ13" i="11" s="1"/>
  <c r="DQ323" i="11"/>
  <c r="DQ324" i="11"/>
  <c r="CF100" i="7"/>
  <c r="CG94" i="7"/>
  <c r="CG101" i="7" s="1"/>
  <c r="DQ9" i="11"/>
  <c r="DQ14" i="11" s="1"/>
  <c r="DQ52" i="11" s="1"/>
  <c r="DO47" i="11"/>
  <c r="DO146" i="11"/>
  <c r="DO108" i="11"/>
  <c r="DR122" i="7"/>
  <c r="DR52" i="7"/>
  <c r="DR53" i="7" s="1"/>
  <c r="DR172" i="7"/>
  <c r="DR173" i="7" s="1"/>
  <c r="DR112" i="7"/>
  <c r="DR113" i="7" s="1"/>
  <c r="DR47" i="7"/>
  <c r="DR127" i="7"/>
  <c r="DR128" i="7" s="1"/>
  <c r="DR167" i="7"/>
  <c r="DR107" i="7"/>
  <c r="DR37" i="7"/>
  <c r="DR38" i="7" s="1"/>
  <c r="DR62" i="7"/>
  <c r="DR157" i="7"/>
  <c r="DR158" i="7" s="1"/>
  <c r="DR97" i="7"/>
  <c r="DR98" i="7" s="1"/>
  <c r="DR32" i="7"/>
  <c r="DR152" i="7"/>
  <c r="DR8" i="7"/>
  <c r="DR137" i="7"/>
  <c r="DR67" i="7"/>
  <c r="DR68" i="7" s="1"/>
  <c r="DR92" i="7"/>
  <c r="DR142" i="7"/>
  <c r="DR143" i="7" s="1"/>
  <c r="DR82" i="7"/>
  <c r="DR83" i="7" s="1"/>
  <c r="DR77" i="7"/>
  <c r="DR7" i="7"/>
  <c r="DQ73" i="7"/>
  <c r="DQ148" i="7"/>
  <c r="DQ234" i="11"/>
  <c r="DQ216" i="11"/>
  <c r="DQ103" i="7"/>
  <c r="DQ176" i="11"/>
  <c r="DQ171" i="11"/>
  <c r="DQ210" i="11"/>
  <c r="DQ115" i="11"/>
  <c r="DQ10" i="11"/>
  <c r="DQ15" i="11" s="1"/>
  <c r="DQ64" i="11" s="1"/>
  <c r="DQ148" i="11" s="1"/>
  <c r="DQ35" i="11"/>
  <c r="DQ11" i="11"/>
  <c r="DQ16" i="11" s="1"/>
  <c r="DQ76" i="11" s="1"/>
  <c r="DQ149" i="11" s="1"/>
  <c r="DQ79" i="7"/>
  <c r="DQ88" i="7"/>
  <c r="DP149" i="11"/>
  <c r="DP83" i="11"/>
  <c r="DP84" i="11" s="1"/>
  <c r="DP111" i="11"/>
  <c r="DP26" i="11"/>
  <c r="DP20" i="11" s="1"/>
  <c r="DQ133" i="7"/>
  <c r="DQ124" i="7"/>
  <c r="DQ118" i="7"/>
  <c r="DQ109" i="7"/>
  <c r="DQ154" i="7"/>
  <c r="DQ160" i="7" s="1"/>
  <c r="DQ163" i="7"/>
  <c r="DQ43" i="7"/>
  <c r="DQ34" i="7"/>
  <c r="DQ10" i="7"/>
  <c r="DP148" i="11"/>
  <c r="DP110" i="11"/>
  <c r="DQ285" i="11"/>
  <c r="DQ169" i="7"/>
  <c r="DQ175" i="7" s="1"/>
  <c r="DQ178" i="7"/>
  <c r="DR44" i="10"/>
  <c r="DR36" i="10"/>
  <c r="DR46" i="10"/>
  <c r="DR45" i="10"/>
  <c r="DR2" i="7"/>
  <c r="DR43" i="10"/>
  <c r="DR35" i="10"/>
  <c r="DR41" i="10"/>
  <c r="DR38" i="10"/>
  <c r="DR2" i="11"/>
  <c r="DR42" i="10"/>
  <c r="DR19" i="10"/>
  <c r="DR23" i="10"/>
  <c r="DR40" i="10"/>
  <c r="DR24" i="10"/>
  <c r="DS21" i="10"/>
  <c r="DR39" i="10"/>
  <c r="DR37" i="10"/>
  <c r="DQ12" i="11"/>
  <c r="DQ17" i="11" s="1"/>
  <c r="DQ88" i="11" s="1"/>
  <c r="CW81" i="11"/>
  <c r="CW136" i="11" s="1"/>
  <c r="CW162" i="11"/>
  <c r="CW119" i="11"/>
  <c r="CM96" i="11"/>
  <c r="CI92" i="11"/>
  <c r="CI142" i="11" s="1"/>
  <c r="CI91" i="11"/>
  <c r="CI155" i="11" s="1"/>
  <c r="CI87" i="11"/>
  <c r="AX47" i="11"/>
  <c r="CG145" i="7" l="1"/>
  <c r="CH139" i="7"/>
  <c r="DQ130" i="7"/>
  <c r="DQ131" i="7"/>
  <c r="DQ115" i="7"/>
  <c r="DQ116" i="7"/>
  <c r="CG70" i="7"/>
  <c r="CG71" i="7"/>
  <c r="CH64" i="7"/>
  <c r="CG100" i="7"/>
  <c r="CH94" i="7"/>
  <c r="CH101" i="7" s="1"/>
  <c r="DQ110" i="11"/>
  <c r="DQ111" i="11"/>
  <c r="DQ83" i="11"/>
  <c r="DQ84" i="11" s="1"/>
  <c r="DQ231" i="11"/>
  <c r="DQ215" i="11"/>
  <c r="DR147" i="7"/>
  <c r="DR144" i="7"/>
  <c r="DR138" i="7"/>
  <c r="DR117" i="7"/>
  <c r="DR114" i="7"/>
  <c r="DR108" i="7"/>
  <c r="DQ40" i="7"/>
  <c r="DQ41" i="7"/>
  <c r="DQ40" i="11"/>
  <c r="DQ42" i="11" s="1"/>
  <c r="DQ19" i="11"/>
  <c r="DR214" i="11"/>
  <c r="DR230" i="11"/>
  <c r="DR177" i="7"/>
  <c r="DR174" i="7"/>
  <c r="DR168" i="7"/>
  <c r="DS22" i="10"/>
  <c r="DS27" i="10"/>
  <c r="DS1" i="7"/>
  <c r="DS1" i="11"/>
  <c r="DR131" i="11"/>
  <c r="DR229" i="11"/>
  <c r="DR48" i="10"/>
  <c r="DR87" i="7"/>
  <c r="DR84" i="7"/>
  <c r="DR78" i="7"/>
  <c r="DR42" i="7"/>
  <c r="DR39" i="7"/>
  <c r="DR33" i="7"/>
  <c r="DR57" i="7"/>
  <c r="DR48" i="7"/>
  <c r="DR58" i="7" s="1"/>
  <c r="DR4" i="7"/>
  <c r="DR4" i="11"/>
  <c r="DQ151" i="11"/>
  <c r="DQ116" i="11"/>
  <c r="DR162" i="7"/>
  <c r="DR159" i="7"/>
  <c r="DR153" i="7"/>
  <c r="DQ95" i="11"/>
  <c r="DQ112" i="11"/>
  <c r="DQ150" i="11"/>
  <c r="DR102" i="7"/>
  <c r="DR99" i="7"/>
  <c r="DR93" i="7"/>
  <c r="DR72" i="7"/>
  <c r="DR69" i="7"/>
  <c r="DR63" i="7"/>
  <c r="DQ86" i="7"/>
  <c r="DQ85" i="7"/>
  <c r="DQ211" i="11"/>
  <c r="DQ237" i="11"/>
  <c r="DR11" i="7"/>
  <c r="DR132" i="7"/>
  <c r="DR123" i="7"/>
  <c r="DR129" i="7"/>
  <c r="CX75" i="11"/>
  <c r="CX104" i="11" s="1"/>
  <c r="CX79" i="11"/>
  <c r="CX154" i="11" s="1"/>
  <c r="CX80" i="11"/>
  <c r="CX141" i="11" s="1"/>
  <c r="CN96" i="11"/>
  <c r="CI120" i="11"/>
  <c r="CI93" i="11"/>
  <c r="CI137" i="11" s="1"/>
  <c r="CI105" i="11"/>
  <c r="CI163" i="11"/>
  <c r="AY47" i="11"/>
  <c r="CH145" i="7" l="1"/>
  <c r="CI139" i="7"/>
  <c r="CH70" i="7"/>
  <c r="CH71" i="7"/>
  <c r="CI64" i="7"/>
  <c r="DR323" i="11"/>
  <c r="DR324" i="11"/>
  <c r="CH100" i="7"/>
  <c r="CI94" i="7"/>
  <c r="CI101" i="7" s="1"/>
  <c r="DR234" i="11"/>
  <c r="DR216" i="11"/>
  <c r="DR103" i="7"/>
  <c r="DR43" i="7"/>
  <c r="DR34" i="7"/>
  <c r="DR10" i="7"/>
  <c r="DR148" i="7"/>
  <c r="DS107" i="7"/>
  <c r="DS67" i="7"/>
  <c r="DS68" i="7" s="1"/>
  <c r="DS97" i="7"/>
  <c r="DS98" i="7" s="1"/>
  <c r="DS152" i="7"/>
  <c r="DS52" i="7"/>
  <c r="DS53" i="7" s="1"/>
  <c r="DS157" i="7"/>
  <c r="DS158" i="7" s="1"/>
  <c r="DS62" i="7"/>
  <c r="DS92" i="7"/>
  <c r="DS142" i="7"/>
  <c r="DS143" i="7" s="1"/>
  <c r="DS82" i="7"/>
  <c r="DS83" i="7" s="1"/>
  <c r="DS47" i="7"/>
  <c r="DS137" i="7"/>
  <c r="DS77" i="7"/>
  <c r="DS37" i="7"/>
  <c r="DS38" i="7" s="1"/>
  <c r="DS127" i="7"/>
  <c r="DS128" i="7" s="1"/>
  <c r="DS172" i="7"/>
  <c r="DS173" i="7" s="1"/>
  <c r="DS32" i="7"/>
  <c r="DS7" i="7"/>
  <c r="DS122" i="7"/>
  <c r="DS167" i="7"/>
  <c r="DS8" i="7"/>
  <c r="DS112" i="7"/>
  <c r="DS113" i="7" s="1"/>
  <c r="DR11" i="11"/>
  <c r="DR16" i="11" s="1"/>
  <c r="DR76" i="11" s="1"/>
  <c r="DR149" i="11" s="1"/>
  <c r="DR176" i="11"/>
  <c r="DR9" i="11"/>
  <c r="DR14" i="11" s="1"/>
  <c r="DR52" i="11" s="1"/>
  <c r="DR171" i="11"/>
  <c r="DR115" i="11"/>
  <c r="DR8" i="11"/>
  <c r="DR13" i="11" s="1"/>
  <c r="DR10" i="11"/>
  <c r="DR15" i="11" s="1"/>
  <c r="DR64" i="11" s="1"/>
  <c r="DR148" i="11" s="1"/>
  <c r="DR35" i="11"/>
  <c r="DR210" i="11"/>
  <c r="DR79" i="7"/>
  <c r="DR88" i="7"/>
  <c r="DQ26" i="11"/>
  <c r="DQ20" i="11" s="1"/>
  <c r="DQ133" i="11"/>
  <c r="DR261" i="11"/>
  <c r="DR18" i="7" s="1"/>
  <c r="DR285" i="11"/>
  <c r="DS45" i="10"/>
  <c r="DS37" i="10"/>
  <c r="DS43" i="10"/>
  <c r="DS35" i="10"/>
  <c r="DS2" i="7"/>
  <c r="DS44" i="10"/>
  <c r="DS36" i="10"/>
  <c r="DS2" i="11"/>
  <c r="DS41" i="10"/>
  <c r="DS38" i="10"/>
  <c r="DS42" i="10"/>
  <c r="DS23" i="10"/>
  <c r="DS24" i="10"/>
  <c r="DS40" i="10"/>
  <c r="DS19" i="10"/>
  <c r="DT21" i="10"/>
  <c r="DS46" i="10"/>
  <c r="DS39" i="10"/>
  <c r="DR73" i="7"/>
  <c r="DR178" i="7"/>
  <c r="DR169" i="7"/>
  <c r="DR175" i="7" s="1"/>
  <c r="DR133" i="7"/>
  <c r="DR124" i="7"/>
  <c r="DR154" i="7"/>
  <c r="DR160" i="7" s="1"/>
  <c r="DR163" i="7"/>
  <c r="DR109" i="7"/>
  <c r="DR118" i="7"/>
  <c r="DR12" i="11"/>
  <c r="DR17" i="11" s="1"/>
  <c r="DR88" i="11" s="1"/>
  <c r="DR150" i="11" s="1"/>
  <c r="CX162" i="11"/>
  <c r="CX119" i="11"/>
  <c r="CX81" i="11"/>
  <c r="CX136" i="11" s="1"/>
  <c r="CO96" i="11"/>
  <c r="CJ87" i="11"/>
  <c r="CJ91" i="11"/>
  <c r="CJ155" i="11" s="1"/>
  <c r="CJ92" i="11"/>
  <c r="CJ142" i="11" s="1"/>
  <c r="AZ47" i="11"/>
  <c r="CI145" i="7" l="1"/>
  <c r="CJ139" i="7"/>
  <c r="DR130" i="7"/>
  <c r="DR131" i="7"/>
  <c r="DR115" i="7"/>
  <c r="DR116" i="7"/>
  <c r="CI71" i="7"/>
  <c r="CJ64" i="7"/>
  <c r="CI70" i="7"/>
  <c r="CI100" i="7"/>
  <c r="CJ94" i="7"/>
  <c r="CJ101" i="7" s="1"/>
  <c r="DR110" i="11"/>
  <c r="DR95" i="11"/>
  <c r="DR112" i="11"/>
  <c r="DS11" i="7"/>
  <c r="DR215" i="11"/>
  <c r="DR231" i="11"/>
  <c r="DS72" i="7"/>
  <c r="DS69" i="7"/>
  <c r="DS63" i="7"/>
  <c r="DR86" i="7"/>
  <c r="DR85" i="7"/>
  <c r="DS230" i="11"/>
  <c r="DS214" i="11"/>
  <c r="DS261" i="11" s="1"/>
  <c r="DS18" i="7" s="1"/>
  <c r="DS87" i="7"/>
  <c r="DS84" i="7"/>
  <c r="DS78" i="7"/>
  <c r="DR41" i="7"/>
  <c r="DR40" i="7"/>
  <c r="DR83" i="11"/>
  <c r="DR84" i="11" s="1"/>
  <c r="DS177" i="7"/>
  <c r="DS168" i="7"/>
  <c r="DS174" i="7"/>
  <c r="DS147" i="7"/>
  <c r="DS138" i="7"/>
  <c r="DS144" i="7"/>
  <c r="DS162" i="7"/>
  <c r="DS159" i="7"/>
  <c r="DS153" i="7"/>
  <c r="DR111" i="11"/>
  <c r="DS4" i="11"/>
  <c r="DS4" i="7"/>
  <c r="DS48" i="10"/>
  <c r="DR116" i="11"/>
  <c r="DR151" i="11"/>
  <c r="DS132" i="7"/>
  <c r="DS129" i="7"/>
  <c r="DS123" i="7"/>
  <c r="DS57" i="7"/>
  <c r="DS48" i="7"/>
  <c r="DS58" i="7" s="1"/>
  <c r="DR211" i="11"/>
  <c r="DR237" i="11"/>
  <c r="DS229" i="11"/>
  <c r="DS131" i="11"/>
  <c r="DR40" i="11"/>
  <c r="DR42" i="11" s="1"/>
  <c r="DR19" i="11"/>
  <c r="DS42" i="7"/>
  <c r="DS39" i="7"/>
  <c r="DS33" i="7"/>
  <c r="DS117" i="7"/>
  <c r="DS114" i="7"/>
  <c r="DS108" i="7"/>
  <c r="DT1" i="7"/>
  <c r="DT1" i="11"/>
  <c r="DT27" i="10"/>
  <c r="DT22" i="10"/>
  <c r="DS102" i="7"/>
  <c r="DS93" i="7"/>
  <c r="DS99" i="7"/>
  <c r="CY79" i="11"/>
  <c r="CY154" i="11" s="1"/>
  <c r="CY75" i="11"/>
  <c r="CY104" i="11" s="1"/>
  <c r="CY80" i="11"/>
  <c r="CY141" i="11" s="1"/>
  <c r="CP96" i="11"/>
  <c r="CJ120" i="11"/>
  <c r="CJ163" i="11"/>
  <c r="CJ105" i="11"/>
  <c r="CJ93" i="11"/>
  <c r="CJ137" i="11" s="1"/>
  <c r="BA47" i="11"/>
  <c r="CJ145" i="7" l="1"/>
  <c r="CK139" i="7"/>
  <c r="CJ71" i="7"/>
  <c r="CJ70" i="7"/>
  <c r="CK64" i="7"/>
  <c r="DS11" i="11"/>
  <c r="DS16" i="11" s="1"/>
  <c r="DS323" i="11"/>
  <c r="DS324" i="11"/>
  <c r="CJ100" i="7"/>
  <c r="CK94" i="7"/>
  <c r="CK101" i="7" s="1"/>
  <c r="DS285" i="11"/>
  <c r="DQ47" i="11"/>
  <c r="DQ146" i="11"/>
  <c r="DQ108" i="11"/>
  <c r="DS176" i="11"/>
  <c r="DS210" i="11"/>
  <c r="DS9" i="11"/>
  <c r="DS14" i="11" s="1"/>
  <c r="DS52" i="11" s="1"/>
  <c r="DS35" i="11"/>
  <c r="DS10" i="11"/>
  <c r="DS15" i="11" s="1"/>
  <c r="DS64" i="11" s="1"/>
  <c r="DS12" i="11"/>
  <c r="DS17" i="11" s="1"/>
  <c r="DS88" i="11" s="1"/>
  <c r="DS115" i="11"/>
  <c r="DS171" i="11"/>
  <c r="DS8" i="11"/>
  <c r="DS13" i="11" s="1"/>
  <c r="DS73" i="7"/>
  <c r="DT82" i="7"/>
  <c r="DT83" i="7" s="1"/>
  <c r="DT127" i="7"/>
  <c r="DT128" i="7" s="1"/>
  <c r="DT47" i="7"/>
  <c r="DT92" i="7"/>
  <c r="DT52" i="7"/>
  <c r="DT53" i="7" s="1"/>
  <c r="DT77" i="7"/>
  <c r="DT122" i="7"/>
  <c r="DT37" i="7"/>
  <c r="DT38" i="7" s="1"/>
  <c r="DT137" i="7"/>
  <c r="DT172" i="7"/>
  <c r="DT173" i="7" s="1"/>
  <c r="DT112" i="7"/>
  <c r="DT113" i="7" s="1"/>
  <c r="DT32" i="7"/>
  <c r="DT167" i="7"/>
  <c r="DT107" i="7"/>
  <c r="DT8" i="7"/>
  <c r="DT67" i="7"/>
  <c r="DT68" i="7" s="1"/>
  <c r="DT157" i="7"/>
  <c r="DT158" i="7" s="1"/>
  <c r="DT7" i="7"/>
  <c r="DT152" i="7"/>
  <c r="DT97" i="7"/>
  <c r="DT98" i="7" s="1"/>
  <c r="DT142" i="7"/>
  <c r="DT143" i="7" s="1"/>
  <c r="DT62" i="7"/>
  <c r="DR26" i="11"/>
  <c r="DR20" i="11" s="1"/>
  <c r="DR133" i="11"/>
  <c r="DS124" i="7"/>
  <c r="DS133" i="7"/>
  <c r="DS169" i="7"/>
  <c r="DS175" i="7" s="1"/>
  <c r="DS178" i="7"/>
  <c r="DS79" i="7"/>
  <c r="DS88" i="7"/>
  <c r="DS118" i="7"/>
  <c r="DS109" i="7"/>
  <c r="DS103" i="7"/>
  <c r="DS154" i="7"/>
  <c r="DS160" i="7" s="1"/>
  <c r="DS163" i="7"/>
  <c r="DS43" i="7"/>
  <c r="DS10" i="7"/>
  <c r="DS34" i="7"/>
  <c r="DS234" i="11"/>
  <c r="DS216" i="11"/>
  <c r="DT41" i="10"/>
  <c r="DT19" i="10"/>
  <c r="DT42" i="10"/>
  <c r="DT40" i="10"/>
  <c r="DT23" i="10"/>
  <c r="DT39" i="10"/>
  <c r="DT24" i="10"/>
  <c r="DU21" i="10"/>
  <c r="DT46" i="10"/>
  <c r="DT38" i="10"/>
  <c r="DT2" i="11"/>
  <c r="DT2" i="7"/>
  <c r="DT45" i="10"/>
  <c r="DT37" i="10"/>
  <c r="DT36" i="10"/>
  <c r="DT35" i="10"/>
  <c r="DT44" i="10"/>
  <c r="DT43" i="10"/>
  <c r="DS148" i="7"/>
  <c r="CY162" i="11"/>
  <c r="CY81" i="11"/>
  <c r="CY136" i="11" s="1"/>
  <c r="CY119" i="11"/>
  <c r="CQ96" i="11"/>
  <c r="CK91" i="11"/>
  <c r="CK155" i="11" s="1"/>
  <c r="CK87" i="11"/>
  <c r="CK92" i="11"/>
  <c r="CK142" i="11" s="1"/>
  <c r="BB47" i="11"/>
  <c r="CK145" i="7" l="1"/>
  <c r="CL139" i="7"/>
  <c r="DS130" i="7"/>
  <c r="DS131" i="7"/>
  <c r="DS115" i="7"/>
  <c r="DS116" i="7"/>
  <c r="CK71" i="7"/>
  <c r="CK70" i="7"/>
  <c r="CL64" i="7"/>
  <c r="CK100" i="7"/>
  <c r="CL94" i="7"/>
  <c r="CL101" i="7" s="1"/>
  <c r="DT48" i="10"/>
  <c r="DT117" i="7"/>
  <c r="DT114" i="7"/>
  <c r="DT108" i="7"/>
  <c r="DT11" i="7"/>
  <c r="DT87" i="7"/>
  <c r="DT84" i="7"/>
  <c r="DT78" i="7"/>
  <c r="DT230" i="11"/>
  <c r="DT214" i="11"/>
  <c r="DT132" i="7"/>
  <c r="DT123" i="7"/>
  <c r="DT129" i="7"/>
  <c r="DS150" i="11"/>
  <c r="DS95" i="11"/>
  <c r="DS112" i="11"/>
  <c r="DT177" i="7"/>
  <c r="DT174" i="7"/>
  <c r="DT168" i="7"/>
  <c r="DS41" i="7"/>
  <c r="DS40" i="7"/>
  <c r="DT42" i="7"/>
  <c r="DT33" i="7"/>
  <c r="DT39" i="7"/>
  <c r="DT102" i="7"/>
  <c r="DT99" i="7"/>
  <c r="DT93" i="7"/>
  <c r="DS110" i="11"/>
  <c r="DS148" i="11"/>
  <c r="DU1" i="7"/>
  <c r="DU1" i="11"/>
  <c r="DU22" i="10"/>
  <c r="DU27" i="10"/>
  <c r="DT72" i="7"/>
  <c r="DT63" i="7"/>
  <c r="DT69" i="7"/>
  <c r="DT4" i="11"/>
  <c r="DT4" i="7"/>
  <c r="DS231" i="11"/>
  <c r="DS215" i="11"/>
  <c r="DT162" i="7"/>
  <c r="DT153" i="7"/>
  <c r="DT159" i="7"/>
  <c r="DT57" i="7"/>
  <c r="DT48" i="7"/>
  <c r="DT58" i="7" s="1"/>
  <c r="DS76" i="11"/>
  <c r="DS40" i="11"/>
  <c r="DS42" i="11" s="1"/>
  <c r="DS19" i="11"/>
  <c r="DS86" i="7"/>
  <c r="DS85" i="7"/>
  <c r="DT229" i="11"/>
  <c r="DT131" i="11"/>
  <c r="DS151" i="11"/>
  <c r="DS116" i="11"/>
  <c r="DS211" i="11"/>
  <c r="DS237" i="11"/>
  <c r="DT147" i="7"/>
  <c r="DT144" i="7"/>
  <c r="DT138" i="7"/>
  <c r="CZ75" i="11"/>
  <c r="CZ79" i="11"/>
  <c r="CZ154" i="11" s="1"/>
  <c r="CZ80" i="11"/>
  <c r="CZ141" i="11" s="1"/>
  <c r="CR96" i="11"/>
  <c r="CK120" i="11"/>
  <c r="CK105" i="11"/>
  <c r="CK93" i="11"/>
  <c r="CK137" i="11" s="1"/>
  <c r="CK163" i="11"/>
  <c r="BC47" i="11"/>
  <c r="CL145" i="7" l="1"/>
  <c r="CM139" i="7"/>
  <c r="CL70" i="7"/>
  <c r="CL71" i="7"/>
  <c r="CM64" i="7"/>
  <c r="DT323" i="11"/>
  <c r="DT324" i="11"/>
  <c r="CL100" i="7"/>
  <c r="CM94" i="7"/>
  <c r="CM101" i="7" s="1"/>
  <c r="DR146" i="11"/>
  <c r="DR108" i="11"/>
  <c r="DR47" i="11"/>
  <c r="DT73" i="7"/>
  <c r="DT103" i="7"/>
  <c r="DS133" i="11"/>
  <c r="DS26" i="11"/>
  <c r="DS20" i="11" s="1"/>
  <c r="DT124" i="7"/>
  <c r="DT133" i="7"/>
  <c r="DS149" i="11"/>
  <c r="DS83" i="11"/>
  <c r="DS84" i="11" s="1"/>
  <c r="DS111" i="11"/>
  <c r="DU2" i="11"/>
  <c r="DU41" i="10"/>
  <c r="DU24" i="10"/>
  <c r="DV21" i="10"/>
  <c r="DU42" i="10"/>
  <c r="DU39" i="10"/>
  <c r="DU40" i="10"/>
  <c r="DU38" i="10"/>
  <c r="DU35" i="10"/>
  <c r="DU36" i="10"/>
  <c r="DU45" i="10"/>
  <c r="DU44" i="10"/>
  <c r="DU19" i="10"/>
  <c r="DU43" i="10"/>
  <c r="DU46" i="10"/>
  <c r="DU2" i="7"/>
  <c r="DU23" i="10"/>
  <c r="DU37" i="10"/>
  <c r="DT109" i="7"/>
  <c r="DT118" i="7"/>
  <c r="DT154" i="7"/>
  <c r="DT160" i="7" s="1"/>
  <c r="DT163" i="7"/>
  <c r="DT169" i="7"/>
  <c r="DT175" i="7" s="1"/>
  <c r="DT178" i="7"/>
  <c r="DT34" i="7"/>
  <c r="DT43" i="7"/>
  <c r="DT10" i="7"/>
  <c r="DT285" i="11"/>
  <c r="DT261" i="11"/>
  <c r="DT18" i="7" s="1"/>
  <c r="DT234" i="11"/>
  <c r="DT216" i="11"/>
  <c r="DU152" i="7"/>
  <c r="DU107" i="7"/>
  <c r="DU37" i="7"/>
  <c r="DU38" i="7" s="1"/>
  <c r="DU92" i="7"/>
  <c r="DU142" i="7"/>
  <c r="DU143" i="7" s="1"/>
  <c r="DU112" i="7"/>
  <c r="DU113" i="7" s="1"/>
  <c r="DU32" i="7"/>
  <c r="DU62" i="7"/>
  <c r="DU137" i="7"/>
  <c r="DU7" i="7"/>
  <c r="DU8" i="7"/>
  <c r="DU172" i="7"/>
  <c r="DU173" i="7" s="1"/>
  <c r="DU127" i="7"/>
  <c r="DU128" i="7" s="1"/>
  <c r="DU122" i="7"/>
  <c r="DU97" i="7"/>
  <c r="DU98" i="7" s="1"/>
  <c r="DU67" i="7"/>
  <c r="DU68" i="7" s="1"/>
  <c r="DU167" i="7"/>
  <c r="DU82" i="7"/>
  <c r="DU83" i="7" s="1"/>
  <c r="DU52" i="7"/>
  <c r="DU53" i="7" s="1"/>
  <c r="DU157" i="7"/>
  <c r="DU158" i="7" s="1"/>
  <c r="DU77" i="7"/>
  <c r="DU47" i="7"/>
  <c r="DT148" i="7"/>
  <c r="DT35" i="11"/>
  <c r="DT171" i="11"/>
  <c r="DT10" i="11"/>
  <c r="DT15" i="11" s="1"/>
  <c r="DT64" i="11" s="1"/>
  <c r="DT148" i="11" s="1"/>
  <c r="DT12" i="11"/>
  <c r="DT17" i="11" s="1"/>
  <c r="DT88" i="11" s="1"/>
  <c r="DT95" i="11" s="1"/>
  <c r="DT9" i="11"/>
  <c r="DT14" i="11" s="1"/>
  <c r="DT52" i="11" s="1"/>
  <c r="DT176" i="11"/>
  <c r="DT11" i="11"/>
  <c r="DT16" i="11" s="1"/>
  <c r="DT76" i="11" s="1"/>
  <c r="DT83" i="11" s="1"/>
  <c r="DT115" i="11"/>
  <c r="DT210" i="11"/>
  <c r="DT88" i="7"/>
  <c r="DT79" i="7"/>
  <c r="DT8" i="11"/>
  <c r="DT13" i="11" s="1"/>
  <c r="CZ119" i="11"/>
  <c r="CZ81" i="11"/>
  <c r="CZ136" i="11" s="1"/>
  <c r="CZ104" i="11"/>
  <c r="CZ162" i="11"/>
  <c r="CS96" i="11"/>
  <c r="CL92" i="11"/>
  <c r="CL142" i="11" s="1"/>
  <c r="CL91" i="11"/>
  <c r="CL155" i="11" s="1"/>
  <c r="CL87" i="11"/>
  <c r="BD47" i="11"/>
  <c r="CM145" i="7" l="1"/>
  <c r="CN139" i="7"/>
  <c r="DT130" i="7"/>
  <c r="DT131" i="7"/>
  <c r="DT115" i="7"/>
  <c r="DT116" i="7"/>
  <c r="CM70" i="7"/>
  <c r="CM71" i="7"/>
  <c r="CN64" i="7"/>
  <c r="DT84" i="11"/>
  <c r="DT111" i="11"/>
  <c r="DT149" i="11"/>
  <c r="CM100" i="7"/>
  <c r="CN94" i="7"/>
  <c r="CN101" i="7" s="1"/>
  <c r="DT110" i="11"/>
  <c r="DT150" i="11"/>
  <c r="DT211" i="11"/>
  <c r="DT237" i="11"/>
  <c r="DU87" i="7"/>
  <c r="DU84" i="7"/>
  <c r="DU78" i="7"/>
  <c r="DT151" i="11"/>
  <c r="DT116" i="11"/>
  <c r="DU102" i="7"/>
  <c r="DU99" i="7"/>
  <c r="DU93" i="7"/>
  <c r="DT215" i="11"/>
  <c r="DT231" i="11"/>
  <c r="DV22" i="10"/>
  <c r="DV27" i="10"/>
  <c r="DV1" i="7"/>
  <c r="DV1" i="11"/>
  <c r="DT85" i="7"/>
  <c r="DT86" i="7"/>
  <c r="DU57" i="7"/>
  <c r="DU48" i="7"/>
  <c r="DU58" i="7" s="1"/>
  <c r="DU214" i="11"/>
  <c r="DU261" i="11" s="1"/>
  <c r="DU18" i="7" s="1"/>
  <c r="DU230" i="11"/>
  <c r="DU11" i="7"/>
  <c r="DT112" i="11"/>
  <c r="DT40" i="11"/>
  <c r="DT42" i="11" s="1"/>
  <c r="DT19" i="11"/>
  <c r="DU229" i="11"/>
  <c r="DU131" i="11"/>
  <c r="DU117" i="7"/>
  <c r="DU114" i="7"/>
  <c r="DU108" i="7"/>
  <c r="DT41" i="7"/>
  <c r="DT40" i="7"/>
  <c r="DU48" i="10"/>
  <c r="DU132" i="7"/>
  <c r="DU129" i="7"/>
  <c r="DU123" i="7"/>
  <c r="DU177" i="7"/>
  <c r="DU174" i="7"/>
  <c r="DU168" i="7"/>
  <c r="DU147" i="7"/>
  <c r="DU144" i="7"/>
  <c r="DU138" i="7"/>
  <c r="DU162" i="7"/>
  <c r="DU159" i="7"/>
  <c r="DU153" i="7"/>
  <c r="DU4" i="11"/>
  <c r="DU4" i="7"/>
  <c r="DU72" i="7"/>
  <c r="DU69" i="7"/>
  <c r="DU63" i="7"/>
  <c r="DU42" i="7"/>
  <c r="DU39" i="7"/>
  <c r="DU33" i="7"/>
  <c r="DA79" i="11"/>
  <c r="DA154" i="11" s="1"/>
  <c r="DA75" i="11"/>
  <c r="DA104" i="11" s="1"/>
  <c r="DA80" i="11"/>
  <c r="DA141" i="11" s="1"/>
  <c r="CT96" i="11"/>
  <c r="CL93" i="11"/>
  <c r="CL137" i="11" s="1"/>
  <c r="CL105" i="11"/>
  <c r="CL163" i="11"/>
  <c r="CL120" i="11"/>
  <c r="BE47" i="11"/>
  <c r="CN145" i="7" l="1"/>
  <c r="CO139" i="7"/>
  <c r="CN70" i="7"/>
  <c r="CN71" i="7"/>
  <c r="CO64" i="7"/>
  <c r="DU323" i="11"/>
  <c r="DU324" i="11"/>
  <c r="CN100" i="7"/>
  <c r="CO94" i="7"/>
  <c r="CO101" i="7" s="1"/>
  <c r="DU285" i="11"/>
  <c r="DS47" i="11"/>
  <c r="DS108" i="11"/>
  <c r="DS146" i="11"/>
  <c r="DU73" i="7"/>
  <c r="DU148" i="7"/>
  <c r="DU79" i="7"/>
  <c r="DU88" i="7"/>
  <c r="DT133" i="11"/>
  <c r="DT26" i="11"/>
  <c r="DT20" i="11" s="1"/>
  <c r="DU103" i="7"/>
  <c r="DU178" i="7"/>
  <c r="DU169" i="7"/>
  <c r="DU175" i="7" s="1"/>
  <c r="DV43" i="10"/>
  <c r="DV36" i="10"/>
  <c r="DV41" i="10"/>
  <c r="DV24" i="10"/>
  <c r="DV45" i="10"/>
  <c r="DV39" i="10"/>
  <c r="DV19" i="10"/>
  <c r="DV37" i="10"/>
  <c r="DV44" i="10"/>
  <c r="DV2" i="7"/>
  <c r="DV23" i="10"/>
  <c r="DV35" i="10"/>
  <c r="DV2" i="11"/>
  <c r="DW21" i="10"/>
  <c r="DV40" i="10"/>
  <c r="DV38" i="10"/>
  <c r="DV46" i="10"/>
  <c r="DV42" i="10"/>
  <c r="DU9" i="11"/>
  <c r="DU14" i="11" s="1"/>
  <c r="DU52" i="11" s="1"/>
  <c r="DU115" i="11"/>
  <c r="DU10" i="11"/>
  <c r="DU15" i="11" s="1"/>
  <c r="DU64" i="11" s="1"/>
  <c r="DU35" i="11"/>
  <c r="DU171" i="11"/>
  <c r="DU11" i="11"/>
  <c r="DU16" i="11" s="1"/>
  <c r="DU76" i="11" s="1"/>
  <c r="DU149" i="11" s="1"/>
  <c r="DU12" i="11"/>
  <c r="DU17" i="11" s="1"/>
  <c r="DU88" i="11" s="1"/>
  <c r="DU150" i="11" s="1"/>
  <c r="DU210" i="11"/>
  <c r="DU176" i="11"/>
  <c r="DU8" i="11"/>
  <c r="DU13" i="11" s="1"/>
  <c r="DU109" i="7"/>
  <c r="DU118" i="7"/>
  <c r="DU216" i="11"/>
  <c r="DU234" i="11"/>
  <c r="DU43" i="7"/>
  <c r="DU10" i="7"/>
  <c r="DU34" i="7"/>
  <c r="DU154" i="7"/>
  <c r="DU160" i="7" s="1"/>
  <c r="DU163" i="7"/>
  <c r="DV172" i="7"/>
  <c r="DV173" i="7" s="1"/>
  <c r="DV112" i="7"/>
  <c r="DV113" i="7" s="1"/>
  <c r="DV47" i="7"/>
  <c r="DV167" i="7"/>
  <c r="DV107" i="7"/>
  <c r="DV37" i="7"/>
  <c r="DV38" i="7" s="1"/>
  <c r="DV127" i="7"/>
  <c r="DV128" i="7" s="1"/>
  <c r="DV62" i="7"/>
  <c r="DV157" i="7"/>
  <c r="DV158" i="7" s="1"/>
  <c r="DV7" i="7"/>
  <c r="DV32" i="7"/>
  <c r="DV142" i="7"/>
  <c r="DV143" i="7" s="1"/>
  <c r="DV92" i="7"/>
  <c r="DV122" i="7"/>
  <c r="DV152" i="7"/>
  <c r="DV82" i="7"/>
  <c r="DV83" i="7" s="1"/>
  <c r="DV8" i="7"/>
  <c r="DV77" i="7"/>
  <c r="DV52" i="7"/>
  <c r="DV53" i="7" s="1"/>
  <c r="DV137" i="7"/>
  <c r="DV67" i="7"/>
  <c r="DV68" i="7" s="1"/>
  <c r="DV97" i="7"/>
  <c r="DV98" i="7" s="1"/>
  <c r="DU124" i="7"/>
  <c r="DU133" i="7"/>
  <c r="DA119" i="11"/>
  <c r="DA162" i="11"/>
  <c r="DA81" i="11"/>
  <c r="DA136" i="11" s="1"/>
  <c r="CU96" i="11"/>
  <c r="CM91" i="11"/>
  <c r="CM155" i="11" s="1"/>
  <c r="CM92" i="11"/>
  <c r="CM142" i="11" s="1"/>
  <c r="CM87" i="11"/>
  <c r="BF47" i="11"/>
  <c r="CO145" i="7" l="1"/>
  <c r="CP139" i="7"/>
  <c r="DU130" i="7"/>
  <c r="DU131" i="7"/>
  <c r="DU115" i="7"/>
  <c r="DU116" i="7"/>
  <c r="CO70" i="7"/>
  <c r="CO71" i="7"/>
  <c r="CP64" i="7"/>
  <c r="DU95" i="11"/>
  <c r="DU112" i="11"/>
  <c r="CO100" i="7"/>
  <c r="CP94" i="7"/>
  <c r="CP101" i="7" s="1"/>
  <c r="DV11" i="7"/>
  <c r="DV234" i="11" s="1"/>
  <c r="DU41" i="7"/>
  <c r="DU40" i="7"/>
  <c r="DW1" i="11"/>
  <c r="DW22" i="10"/>
  <c r="DW27" i="10"/>
  <c r="DW1" i="7"/>
  <c r="DU111" i="11"/>
  <c r="DV147" i="7"/>
  <c r="DV144" i="7"/>
  <c r="DV138" i="7"/>
  <c r="DV177" i="7"/>
  <c r="DV174" i="7"/>
  <c r="DV168" i="7"/>
  <c r="DU211" i="11"/>
  <c r="DU237" i="11"/>
  <c r="DU83" i="11"/>
  <c r="DU84" i="11" s="1"/>
  <c r="DV42" i="7"/>
  <c r="DV39" i="7"/>
  <c r="DV33" i="7"/>
  <c r="DV57" i="7"/>
  <c r="DV48" i="7"/>
  <c r="DV58" i="7" s="1"/>
  <c r="DU116" i="11"/>
  <c r="DU151" i="11"/>
  <c r="DV48" i="10"/>
  <c r="DU86" i="7"/>
  <c r="DU85" i="7"/>
  <c r="DU215" i="11"/>
  <c r="DU231" i="11"/>
  <c r="DV87" i="7"/>
  <c r="DV84" i="7"/>
  <c r="DV78" i="7"/>
  <c r="DV131" i="11"/>
  <c r="DV229" i="11"/>
  <c r="DV4" i="11"/>
  <c r="DV4" i="7"/>
  <c r="DV102" i="7"/>
  <c r="DV99" i="7"/>
  <c r="DV93" i="7"/>
  <c r="DV230" i="11"/>
  <c r="DV214" i="11"/>
  <c r="DV132" i="7"/>
  <c r="DV129" i="7"/>
  <c r="DV123" i="7"/>
  <c r="DV72" i="7"/>
  <c r="DV69" i="7"/>
  <c r="DV63" i="7"/>
  <c r="DU40" i="11"/>
  <c r="DU42" i="11" s="1"/>
  <c r="DU19" i="11"/>
  <c r="DV117" i="7"/>
  <c r="DV108" i="7"/>
  <c r="DV114" i="7"/>
  <c r="DV162" i="7"/>
  <c r="DV159" i="7"/>
  <c r="DV153" i="7"/>
  <c r="DU110" i="11"/>
  <c r="DU148" i="11"/>
  <c r="DB75" i="11"/>
  <c r="DB80" i="11"/>
  <c r="DB141" i="11" s="1"/>
  <c r="DB79" i="11"/>
  <c r="DB154" i="11" s="1"/>
  <c r="CV96" i="11"/>
  <c r="CM105" i="11"/>
  <c r="CM93" i="11"/>
  <c r="CM137" i="11" s="1"/>
  <c r="CM120" i="11"/>
  <c r="CM163" i="11"/>
  <c r="BG47" i="11"/>
  <c r="CP145" i="7" l="1"/>
  <c r="CQ139" i="7"/>
  <c r="CP70" i="7"/>
  <c r="CP71" i="7"/>
  <c r="CQ64" i="7"/>
  <c r="DV324" i="11"/>
  <c r="DV323" i="11"/>
  <c r="CP100" i="7"/>
  <c r="CQ94" i="7"/>
  <c r="CQ101" i="7" s="1"/>
  <c r="DV216" i="11"/>
  <c r="DT47" i="11"/>
  <c r="DT146" i="11"/>
  <c r="DT108" i="11"/>
  <c r="DV103" i="7"/>
  <c r="DW137" i="7"/>
  <c r="DW77" i="7"/>
  <c r="DW8" i="7"/>
  <c r="DW92" i="7"/>
  <c r="DW32" i="7"/>
  <c r="DW127" i="7"/>
  <c r="DW128" i="7" s="1"/>
  <c r="DW7" i="7"/>
  <c r="DW122" i="7"/>
  <c r="DW67" i="7"/>
  <c r="DW68" i="7" s="1"/>
  <c r="DW152" i="7"/>
  <c r="DW142" i="7"/>
  <c r="DW143" i="7" s="1"/>
  <c r="DW82" i="7"/>
  <c r="DW83" i="7" s="1"/>
  <c r="DW172" i="7"/>
  <c r="DW173" i="7" s="1"/>
  <c r="DW112" i="7"/>
  <c r="DW113" i="7" s="1"/>
  <c r="DW62" i="7"/>
  <c r="DW167" i="7"/>
  <c r="DW107" i="7"/>
  <c r="DW52" i="7"/>
  <c r="DW53" i="7" s="1"/>
  <c r="DW157" i="7"/>
  <c r="DW158" i="7" s="1"/>
  <c r="DW97" i="7"/>
  <c r="DW98" i="7" s="1"/>
  <c r="DW47" i="7"/>
  <c r="DW37" i="7"/>
  <c r="DW38" i="7" s="1"/>
  <c r="DV73" i="7"/>
  <c r="DV133" i="7"/>
  <c r="DV124" i="7"/>
  <c r="DV169" i="7"/>
  <c r="DV175" i="7" s="1"/>
  <c r="DV178" i="7"/>
  <c r="DV118" i="7"/>
  <c r="DV109" i="7"/>
  <c r="DV210" i="11"/>
  <c r="DV35" i="11"/>
  <c r="DV9" i="11"/>
  <c r="DV14" i="11" s="1"/>
  <c r="DV52" i="11" s="1"/>
  <c r="DV115" i="11"/>
  <c r="DV10" i="11"/>
  <c r="DV15" i="11" s="1"/>
  <c r="DV64" i="11" s="1"/>
  <c r="DV110" i="11" s="1"/>
  <c r="DV171" i="11"/>
  <c r="DV11" i="11"/>
  <c r="DV16" i="11" s="1"/>
  <c r="DV76" i="11" s="1"/>
  <c r="DV149" i="11" s="1"/>
  <c r="DV8" i="11"/>
  <c r="DV13" i="11" s="1"/>
  <c r="DV12" i="11"/>
  <c r="DV17" i="11" s="1"/>
  <c r="DV88" i="11" s="1"/>
  <c r="DV176" i="11"/>
  <c r="DW2" i="7"/>
  <c r="DW45" i="10"/>
  <c r="DW37" i="10"/>
  <c r="DW35" i="10"/>
  <c r="DW39" i="10"/>
  <c r="DW46" i="10"/>
  <c r="DW2" i="11"/>
  <c r="DW44" i="10"/>
  <c r="DW36" i="10"/>
  <c r="DW43" i="10"/>
  <c r="DW38" i="10"/>
  <c r="DW42" i="10"/>
  <c r="DW19" i="10"/>
  <c r="DW41" i="10"/>
  <c r="DX21" i="10"/>
  <c r="DW40" i="10"/>
  <c r="DW24" i="10"/>
  <c r="DW23" i="10"/>
  <c r="DV43" i="7"/>
  <c r="DV34" i="7"/>
  <c r="DV10" i="7"/>
  <c r="DV285" i="11"/>
  <c r="DV261" i="11"/>
  <c r="DV148" i="7"/>
  <c r="DV154" i="7"/>
  <c r="DV160" i="7" s="1"/>
  <c r="DV163" i="7"/>
  <c r="DU133" i="11"/>
  <c r="DU26" i="11"/>
  <c r="DU20" i="11" s="1"/>
  <c r="DV79" i="7"/>
  <c r="DV88" i="7"/>
  <c r="DB119" i="11"/>
  <c r="DB162" i="11"/>
  <c r="DB104" i="11"/>
  <c r="DB81" i="11"/>
  <c r="DB136" i="11" s="1"/>
  <c r="CW96" i="11"/>
  <c r="CN92" i="11"/>
  <c r="CN142" i="11" s="1"/>
  <c r="CN91" i="11"/>
  <c r="CN155" i="11" s="1"/>
  <c r="CN87" i="11"/>
  <c r="BH47" i="11"/>
  <c r="CQ145" i="7" l="1"/>
  <c r="CR139" i="7"/>
  <c r="DV130" i="7"/>
  <c r="DV131" i="7"/>
  <c r="DV115" i="7"/>
  <c r="DV116" i="7"/>
  <c r="CQ70" i="7"/>
  <c r="CQ71" i="7"/>
  <c r="CR64" i="7"/>
  <c r="DV111" i="11"/>
  <c r="DV83" i="11"/>
  <c r="DV84" i="11" s="1"/>
  <c r="CQ100" i="7"/>
  <c r="CR94" i="7"/>
  <c r="CR101" i="7" s="1"/>
  <c r="DW11" i="7"/>
  <c r="DW234" i="11" s="1"/>
  <c r="DV148" i="11"/>
  <c r="DW57" i="7"/>
  <c r="DW48" i="7"/>
  <c r="DW58" i="7" s="1"/>
  <c r="DW42" i="7"/>
  <c r="DW39" i="7"/>
  <c r="DW33" i="7"/>
  <c r="DV116" i="11"/>
  <c r="DV151" i="11"/>
  <c r="DW102" i="7"/>
  <c r="DW99" i="7"/>
  <c r="DW93" i="7"/>
  <c r="DV18" i="7"/>
  <c r="DX22" i="10"/>
  <c r="DX27" i="10"/>
  <c r="DX1" i="7"/>
  <c r="DX1" i="11"/>
  <c r="DW230" i="11"/>
  <c r="DW214" i="11"/>
  <c r="DW285" i="11" s="1"/>
  <c r="DW162" i="7"/>
  <c r="DW153" i="7"/>
  <c r="DW159" i="7"/>
  <c r="DW87" i="7"/>
  <c r="DW78" i="7"/>
  <c r="DW84" i="7"/>
  <c r="DV215" i="11"/>
  <c r="DV231" i="11"/>
  <c r="DW117" i="7"/>
  <c r="DW114" i="7"/>
  <c r="DW108" i="7"/>
  <c r="DW147" i="7"/>
  <c r="DW138" i="7"/>
  <c r="DW144" i="7"/>
  <c r="DV40" i="7"/>
  <c r="DV41" i="7"/>
  <c r="DW48" i="10"/>
  <c r="DV40" i="11"/>
  <c r="DV42" i="11" s="1"/>
  <c r="DV19" i="11"/>
  <c r="DW177" i="7"/>
  <c r="DW168" i="7"/>
  <c r="DW174" i="7"/>
  <c r="DW132" i="7"/>
  <c r="DW129" i="7"/>
  <c r="DW123" i="7"/>
  <c r="DW4" i="7"/>
  <c r="DW4" i="11"/>
  <c r="DV86" i="7"/>
  <c r="DV85" i="7"/>
  <c r="DV150" i="11"/>
  <c r="DV112" i="11"/>
  <c r="DV95" i="11"/>
  <c r="DV211" i="11"/>
  <c r="DV237" i="11"/>
  <c r="DW72" i="7"/>
  <c r="DW63" i="7"/>
  <c r="DW69" i="7"/>
  <c r="DW131" i="11"/>
  <c r="DW229" i="11"/>
  <c r="DC79" i="11"/>
  <c r="DC154" i="11" s="1"/>
  <c r="DC80" i="11"/>
  <c r="DC141" i="11" s="1"/>
  <c r="DC75" i="11"/>
  <c r="CX96" i="11"/>
  <c r="CN93" i="11"/>
  <c r="CN137" i="11" s="1"/>
  <c r="CN105" i="11"/>
  <c r="CN163" i="11"/>
  <c r="CN120" i="11"/>
  <c r="BI47" i="11"/>
  <c r="CR145" i="7" l="1"/>
  <c r="CS139" i="7"/>
  <c r="CR70" i="7"/>
  <c r="CR71" i="7"/>
  <c r="CS64" i="7"/>
  <c r="DW323" i="11"/>
  <c r="DW324" i="11"/>
  <c r="CR100" i="7"/>
  <c r="CS94" i="7"/>
  <c r="CS101" i="7" s="1"/>
  <c r="DW216" i="11"/>
  <c r="DW261" i="11"/>
  <c r="DW18" i="7" s="1"/>
  <c r="DU47" i="11"/>
  <c r="DU108" i="11"/>
  <c r="DU146" i="11"/>
  <c r="DW12" i="11"/>
  <c r="DW17" i="11" s="1"/>
  <c r="DW88" i="11" s="1"/>
  <c r="DW112" i="11" s="1"/>
  <c r="DW8" i="11"/>
  <c r="DW13" i="11" s="1"/>
  <c r="DW35" i="11"/>
  <c r="DW115" i="11"/>
  <c r="DW11" i="11"/>
  <c r="DW16" i="11" s="1"/>
  <c r="DW76" i="11" s="1"/>
  <c r="DW111" i="11" s="1"/>
  <c r="DW210" i="11"/>
  <c r="DW171" i="11"/>
  <c r="DW10" i="11"/>
  <c r="DW15" i="11" s="1"/>
  <c r="DW64" i="11" s="1"/>
  <c r="DW9" i="11"/>
  <c r="DW14" i="11" s="1"/>
  <c r="DW52" i="11" s="1"/>
  <c r="DW176" i="11"/>
  <c r="DW109" i="7"/>
  <c r="DW118" i="7"/>
  <c r="DV133" i="11"/>
  <c r="DV26" i="11"/>
  <c r="DV20" i="11" s="1"/>
  <c r="DX2" i="7"/>
  <c r="DX39" i="10"/>
  <c r="DY21" i="10"/>
  <c r="DX2" i="11"/>
  <c r="DX46" i="10"/>
  <c r="DX38" i="10"/>
  <c r="DX45" i="10"/>
  <c r="DX37" i="10"/>
  <c r="DX19" i="10"/>
  <c r="DX42" i="10"/>
  <c r="DX23" i="10"/>
  <c r="DX44" i="10"/>
  <c r="DX36" i="10"/>
  <c r="DX43" i="10"/>
  <c r="DX24" i="10"/>
  <c r="DX35" i="10"/>
  <c r="DX41" i="10"/>
  <c r="DX40" i="10"/>
  <c r="DW43" i="7"/>
  <c r="DW10" i="7"/>
  <c r="DW34" i="7"/>
  <c r="DW124" i="7"/>
  <c r="DW133" i="7"/>
  <c r="DW163" i="7"/>
  <c r="DW154" i="7"/>
  <c r="DW160" i="7" s="1"/>
  <c r="DW73" i="7"/>
  <c r="DW79" i="7"/>
  <c r="DW88" i="7"/>
  <c r="DW103" i="7"/>
  <c r="DX152" i="7"/>
  <c r="DX92" i="7"/>
  <c r="DX37" i="7"/>
  <c r="DX38" i="7" s="1"/>
  <c r="DX142" i="7"/>
  <c r="DX143" i="7" s="1"/>
  <c r="DX82" i="7"/>
  <c r="DX83" i="7" s="1"/>
  <c r="DX32" i="7"/>
  <c r="DX172" i="7"/>
  <c r="DX173" i="7" s="1"/>
  <c r="DX62" i="7"/>
  <c r="DX157" i="7"/>
  <c r="DX158" i="7" s="1"/>
  <c r="DX137" i="7"/>
  <c r="DX77" i="7"/>
  <c r="DX8" i="7"/>
  <c r="DX97" i="7"/>
  <c r="DX98" i="7" s="1"/>
  <c r="DX127" i="7"/>
  <c r="DX128" i="7" s="1"/>
  <c r="DX7" i="7"/>
  <c r="DX122" i="7"/>
  <c r="DX67" i="7"/>
  <c r="DX68" i="7" s="1"/>
  <c r="DX112" i="7"/>
  <c r="DX113" i="7" s="1"/>
  <c r="DX47" i="7"/>
  <c r="DX167" i="7"/>
  <c r="DX107" i="7"/>
  <c r="DX52" i="7"/>
  <c r="DX53" i="7" s="1"/>
  <c r="DW169" i="7"/>
  <c r="DW175" i="7" s="1"/>
  <c r="DW178" i="7"/>
  <c r="DW148" i="7"/>
  <c r="I24" i="28"/>
  <c r="J24" i="28"/>
  <c r="J194" i="28" s="1"/>
  <c r="K24" i="28"/>
  <c r="K194" i="28" s="1"/>
  <c r="L24" i="28"/>
  <c r="L194" i="28" s="1"/>
  <c r="M24" i="28"/>
  <c r="M194" i="28" s="1"/>
  <c r="N24" i="28"/>
  <c r="N194" i="28" s="1"/>
  <c r="O24" i="28"/>
  <c r="O194" i="28" s="1"/>
  <c r="P24" i="28"/>
  <c r="P194" i="28" s="1"/>
  <c r="DC119" i="11"/>
  <c r="DC104" i="11"/>
  <c r="DC81" i="11"/>
  <c r="DC136" i="11" s="1"/>
  <c r="DC162" i="11"/>
  <c r="CY96" i="11"/>
  <c r="CO87" i="11"/>
  <c r="CO92" i="11"/>
  <c r="CO142" i="11" s="1"/>
  <c r="CO91" i="11"/>
  <c r="CO155" i="11" s="1"/>
  <c r="BJ47" i="11"/>
  <c r="CS145" i="7" l="1"/>
  <c r="CT139" i="7"/>
  <c r="DW130" i="7"/>
  <c r="DW131" i="7"/>
  <c r="DW115" i="7"/>
  <c r="DW116" i="7"/>
  <c r="CS70" i="7"/>
  <c r="CS71" i="7"/>
  <c r="CT64" i="7"/>
  <c r="I194" i="28"/>
  <c r="CS100" i="7"/>
  <c r="CT94" i="7"/>
  <c r="CT101" i="7" s="1"/>
  <c r="DX48" i="10"/>
  <c r="DW95" i="11"/>
  <c r="DW150" i="11"/>
  <c r="DW83" i="11"/>
  <c r="DW84" i="11" s="1"/>
  <c r="DW149" i="11"/>
  <c r="DX132" i="7"/>
  <c r="DX123" i="7"/>
  <c r="DX129" i="7"/>
  <c r="DX72" i="7"/>
  <c r="DX63" i="7"/>
  <c r="DX69" i="7"/>
  <c r="DW40" i="11"/>
  <c r="DW42" i="11" s="1"/>
  <c r="DW19" i="11"/>
  <c r="DW116" i="11"/>
  <c r="DW151" i="11"/>
  <c r="DX131" i="11"/>
  <c r="DX229" i="11"/>
  <c r="DX42" i="7"/>
  <c r="DX39" i="7"/>
  <c r="DX33" i="7"/>
  <c r="DW40" i="7"/>
  <c r="DW41" i="7"/>
  <c r="DX117" i="7"/>
  <c r="DX114" i="7"/>
  <c r="DX108" i="7"/>
  <c r="DW85" i="7"/>
  <c r="DW86" i="7"/>
  <c r="DW215" i="11"/>
  <c r="DW231" i="11"/>
  <c r="DX177" i="7"/>
  <c r="DX174" i="7"/>
  <c r="DX168" i="7"/>
  <c r="DX214" i="11"/>
  <c r="DX230" i="11"/>
  <c r="DX4" i="7"/>
  <c r="DX4" i="11"/>
  <c r="DY27" i="10"/>
  <c r="DY1" i="7"/>
  <c r="DY22" i="10"/>
  <c r="H24" i="28" s="1"/>
  <c r="G24" i="28" s="1"/>
  <c r="DY1" i="11"/>
  <c r="DX57" i="7"/>
  <c r="DX48" i="7"/>
  <c r="DX58" i="7" s="1"/>
  <c r="DX87" i="7"/>
  <c r="DX84" i="7"/>
  <c r="DX78" i="7"/>
  <c r="DX11" i="7"/>
  <c r="DW211" i="11"/>
  <c r="DW237" i="11"/>
  <c r="DW148" i="11"/>
  <c r="DW110" i="11"/>
  <c r="DX162" i="7"/>
  <c r="DX153" i="7"/>
  <c r="DX159" i="7"/>
  <c r="DX147" i="7"/>
  <c r="DX144" i="7"/>
  <c r="DX138" i="7"/>
  <c r="DX102" i="7"/>
  <c r="DX99" i="7"/>
  <c r="DX93" i="7"/>
  <c r="DD75" i="11"/>
  <c r="DD80" i="11"/>
  <c r="DD141" i="11" s="1"/>
  <c r="DD79" i="11"/>
  <c r="DD154" i="11" s="1"/>
  <c r="CZ96" i="11"/>
  <c r="CO120" i="11"/>
  <c r="CO163" i="11"/>
  <c r="CO105" i="11"/>
  <c r="CO93" i="11"/>
  <c r="CO137" i="11" s="1"/>
  <c r="BK47" i="11"/>
  <c r="CT145" i="7" l="1"/>
  <c r="CU139" i="7"/>
  <c r="CT70" i="7"/>
  <c r="CT71" i="7"/>
  <c r="CU64" i="7"/>
  <c r="H194" i="28"/>
  <c r="G195" i="28"/>
  <c r="G183" i="28"/>
  <c r="G194" i="28"/>
  <c r="G182" i="28"/>
  <c r="G190" i="28"/>
  <c r="G191" i="28" s="1"/>
  <c r="G186" i="28"/>
  <c r="G184" i="28"/>
  <c r="DX11" i="11"/>
  <c r="DX16" i="11" s="1"/>
  <c r="DX76" i="11" s="1"/>
  <c r="DX323" i="11"/>
  <c r="DX324" i="11"/>
  <c r="DX12" i="11"/>
  <c r="DX17" i="11" s="1"/>
  <c r="DX88" i="11" s="1"/>
  <c r="CT100" i="7"/>
  <c r="CU94" i="7"/>
  <c r="CU101" i="7" s="1"/>
  <c r="DV146" i="11"/>
  <c r="DV47" i="11"/>
  <c r="DV108" i="11"/>
  <c r="DX261" i="11"/>
  <c r="DX285" i="11"/>
  <c r="DX109" i="7"/>
  <c r="DX118" i="7"/>
  <c r="DW133" i="11"/>
  <c r="DW26" i="11"/>
  <c r="DW20" i="11" s="1"/>
  <c r="DX216" i="11"/>
  <c r="DX234" i="11"/>
  <c r="DX169" i="7"/>
  <c r="DX175" i="7" s="1"/>
  <c r="DX178" i="7"/>
  <c r="DY152" i="7"/>
  <c r="DY92" i="7"/>
  <c r="DY32" i="7"/>
  <c r="DY142" i="7"/>
  <c r="DY143" i="7" s="1"/>
  <c r="DY82" i="7"/>
  <c r="DY83" i="7" s="1"/>
  <c r="DY8" i="7"/>
  <c r="DY62" i="7"/>
  <c r="DY122" i="7"/>
  <c r="DY157" i="7"/>
  <c r="DY158" i="7" s="1"/>
  <c r="DY97" i="7"/>
  <c r="DY98" i="7" s="1"/>
  <c r="DY137" i="7"/>
  <c r="DY77" i="7"/>
  <c r="DY7" i="7"/>
  <c r="DY127" i="7"/>
  <c r="DY128" i="7" s="1"/>
  <c r="DY172" i="7"/>
  <c r="DY173" i="7" s="1"/>
  <c r="DY67" i="7"/>
  <c r="DY68" i="7" s="1"/>
  <c r="DY52" i="7"/>
  <c r="DY53" i="7" s="1"/>
  <c r="DY37" i="7"/>
  <c r="DY38" i="7" s="1"/>
  <c r="DY112" i="7"/>
  <c r="DY113" i="7" s="1"/>
  <c r="DY167" i="7"/>
  <c r="DY107" i="7"/>
  <c r="DY47" i="7"/>
  <c r="DX103" i="7"/>
  <c r="DX163" i="7"/>
  <c r="DX154" i="7"/>
  <c r="DX160" i="7" s="1"/>
  <c r="DX210" i="11"/>
  <c r="DX171" i="11"/>
  <c r="DX35" i="11"/>
  <c r="DX115" i="11"/>
  <c r="DX9" i="11"/>
  <c r="DX14" i="11" s="1"/>
  <c r="DX52" i="11" s="1"/>
  <c r="DX176" i="11"/>
  <c r="DX10" i="11"/>
  <c r="DX15" i="11" s="1"/>
  <c r="DX64" i="11" s="1"/>
  <c r="DX110" i="11" s="1"/>
  <c r="DX8" i="11"/>
  <c r="DX13" i="11" s="1"/>
  <c r="DX43" i="7"/>
  <c r="DX10" i="7"/>
  <c r="DX34" i="7"/>
  <c r="DX124" i="7"/>
  <c r="DX133" i="7"/>
  <c r="DX79" i="7"/>
  <c r="DX88" i="7"/>
  <c r="DY43" i="10"/>
  <c r="DY35" i="10"/>
  <c r="DY40" i="10"/>
  <c r="DY36" i="10"/>
  <c r="DY2" i="7"/>
  <c r="DY42" i="10"/>
  <c r="DY19" i="10"/>
  <c r="DY24" i="10"/>
  <c r="DY2" i="11"/>
  <c r="DY41" i="10"/>
  <c r="DY23" i="10"/>
  <c r="DY46" i="10"/>
  <c r="DY38" i="10"/>
  <c r="DY44" i="10"/>
  <c r="Q24" i="28"/>
  <c r="DY39" i="10"/>
  <c r="DY45" i="10"/>
  <c r="DY37" i="10"/>
  <c r="DX73" i="7"/>
  <c r="DX148" i="7"/>
  <c r="DD119" i="11"/>
  <c r="DD162" i="11"/>
  <c r="DD104" i="11"/>
  <c r="DD81" i="11"/>
  <c r="DD136" i="11" s="1"/>
  <c r="DA96" i="11"/>
  <c r="CP92" i="11"/>
  <c r="CP142" i="11" s="1"/>
  <c r="CP87" i="11"/>
  <c r="CP91" i="11"/>
  <c r="CP155" i="11" s="1"/>
  <c r="BL47" i="11"/>
  <c r="CU145" i="7" l="1"/>
  <c r="CV139" i="7"/>
  <c r="DX130" i="7"/>
  <c r="DX131" i="7"/>
  <c r="DX115" i="7"/>
  <c r="DX116" i="7"/>
  <c r="CU70" i="7"/>
  <c r="CU71" i="7"/>
  <c r="CV64" i="7"/>
  <c r="G196" i="28"/>
  <c r="G197" i="28" s="1"/>
  <c r="G185" i="28"/>
  <c r="CU100" i="7"/>
  <c r="CV94" i="7"/>
  <c r="CV101" i="7" s="1"/>
  <c r="DX148" i="11"/>
  <c r="DY4" i="7"/>
  <c r="DY4" i="11"/>
  <c r="DX231" i="11"/>
  <c r="DX215" i="11"/>
  <c r="DX116" i="11"/>
  <c r="DX151" i="11"/>
  <c r="DY162" i="7"/>
  <c r="DY159" i="7"/>
  <c r="DY153" i="7"/>
  <c r="DY48" i="10"/>
  <c r="DY132" i="7"/>
  <c r="DY123" i="7"/>
  <c r="DY129" i="7"/>
  <c r="DY72" i="7"/>
  <c r="DY63" i="7"/>
  <c r="DY69" i="7"/>
  <c r="DX83" i="11"/>
  <c r="DX84" i="11" s="1"/>
  <c r="DX111" i="11"/>
  <c r="DX149" i="11"/>
  <c r="DX40" i="11"/>
  <c r="DX42" i="11" s="1"/>
  <c r="DX19" i="11"/>
  <c r="DY57" i="7"/>
  <c r="DY48" i="7"/>
  <c r="DY58" i="7" s="1"/>
  <c r="DY230" i="11"/>
  <c r="DY214" i="11"/>
  <c r="DY285" i="11" s="1"/>
  <c r="DX86" i="7"/>
  <c r="DX85" i="7"/>
  <c r="DY117" i="7"/>
  <c r="DY114" i="7"/>
  <c r="DY108" i="7"/>
  <c r="DY229" i="11"/>
  <c r="DY131" i="11"/>
  <c r="DY177" i="7"/>
  <c r="DY168" i="7"/>
  <c r="DY174" i="7"/>
  <c r="DY87" i="7"/>
  <c r="DY78" i="7"/>
  <c r="DY84" i="7"/>
  <c r="DX211" i="11"/>
  <c r="DX237" i="11"/>
  <c r="DY147" i="7"/>
  <c r="DY144" i="7"/>
  <c r="DY138" i="7"/>
  <c r="DY42" i="7"/>
  <c r="DY39" i="7"/>
  <c r="DY33" i="7"/>
  <c r="DX40" i="7"/>
  <c r="DX41" i="7"/>
  <c r="DX95" i="11"/>
  <c r="DX150" i="11"/>
  <c r="DX112" i="11"/>
  <c r="DY11" i="7"/>
  <c r="DY102" i="7"/>
  <c r="DY99" i="7"/>
  <c r="DY93" i="7"/>
  <c r="DX18" i="7"/>
  <c r="DE75" i="11"/>
  <c r="DE80" i="11"/>
  <c r="DE141" i="11" s="1"/>
  <c r="DE79" i="11"/>
  <c r="DE154" i="11" s="1"/>
  <c r="DB96" i="11"/>
  <c r="CP120" i="11"/>
  <c r="CP163" i="11"/>
  <c r="CP105" i="11"/>
  <c r="CP93" i="11"/>
  <c r="CP137" i="11" s="1"/>
  <c r="BM47" i="11"/>
  <c r="CV145" i="7" l="1"/>
  <c r="CW139" i="7"/>
  <c r="CV70" i="7"/>
  <c r="CV71" i="7"/>
  <c r="CW64" i="7"/>
  <c r="G187" i="28"/>
  <c r="DY324" i="11"/>
  <c r="DY323" i="11"/>
  <c r="CV100" i="7"/>
  <c r="CW94" i="7"/>
  <c r="CW101" i="7" s="1"/>
  <c r="DY261" i="11"/>
  <c r="DY18" i="7" s="1"/>
  <c r="DW47" i="11"/>
  <c r="DW108" i="11"/>
  <c r="DW146" i="11"/>
  <c r="DY148" i="7"/>
  <c r="DY88" i="7"/>
  <c r="DY79" i="7"/>
  <c r="DY109" i="7"/>
  <c r="DY118" i="7"/>
  <c r="DY169" i="7"/>
  <c r="DY175" i="7" s="1"/>
  <c r="DY178" i="7"/>
  <c r="DX133" i="11"/>
  <c r="DX26" i="11"/>
  <c r="DX20" i="11" s="1"/>
  <c r="DY124" i="7"/>
  <c r="DY133" i="7"/>
  <c r="DY73" i="7"/>
  <c r="DY216" i="11"/>
  <c r="Q141" i="2" s="1"/>
  <c r="Q141" i="28" s="1"/>
  <c r="DY234" i="11"/>
  <c r="DY43" i="7"/>
  <c r="DY34" i="7"/>
  <c r="DY10" i="7"/>
  <c r="DY35" i="11"/>
  <c r="O157" i="2"/>
  <c r="O157" i="28" s="1"/>
  <c r="J38" i="2"/>
  <c r="J38" i="28" s="1"/>
  <c r="K139" i="2"/>
  <c r="K139" i="28" s="1"/>
  <c r="N175" i="2"/>
  <c r="N175" i="28" s="1"/>
  <c r="Q56" i="2"/>
  <c r="Q56" i="28" s="1"/>
  <c r="K67" i="2"/>
  <c r="K67" i="28" s="1"/>
  <c r="I139" i="2"/>
  <c r="I139" i="28" s="1"/>
  <c r="H31" i="2"/>
  <c r="H31" i="28" s="1"/>
  <c r="J156" i="2"/>
  <c r="J156" i="28" s="1"/>
  <c r="M139" i="2"/>
  <c r="M139" i="28" s="1"/>
  <c r="K68" i="2"/>
  <c r="K68" i="28" s="1"/>
  <c r="L31" i="2"/>
  <c r="L31" i="28" s="1"/>
  <c r="I13" i="2"/>
  <c r="J31" i="2"/>
  <c r="J31" i="28" s="1"/>
  <c r="O95" i="2"/>
  <c r="O95" i="28" s="1"/>
  <c r="N135" i="2"/>
  <c r="M156" i="2"/>
  <c r="M156" i="28" s="1"/>
  <c r="J90" i="2"/>
  <c r="J90" i="28" s="1"/>
  <c r="I90" i="2"/>
  <c r="I90" i="28" s="1"/>
  <c r="P156" i="2"/>
  <c r="P156" i="28" s="1"/>
  <c r="I49" i="2"/>
  <c r="I49" i="28" s="1"/>
  <c r="I156" i="2"/>
  <c r="I156" i="28" s="1"/>
  <c r="K90" i="2"/>
  <c r="K90" i="28" s="1"/>
  <c r="H52" i="2"/>
  <c r="H52" i="28" s="1"/>
  <c r="N139" i="2"/>
  <c r="N139" i="28" s="1"/>
  <c r="H157" i="2"/>
  <c r="H157" i="28" s="1"/>
  <c r="K175" i="2"/>
  <c r="K175" i="28" s="1"/>
  <c r="P49" i="2"/>
  <c r="P49" i="28" s="1"/>
  <c r="I38" i="2"/>
  <c r="I38" i="28" s="1"/>
  <c r="N90" i="2"/>
  <c r="N90" i="28" s="1"/>
  <c r="J49" i="2"/>
  <c r="J49" i="28" s="1"/>
  <c r="K38" i="2"/>
  <c r="K38" i="28" s="1"/>
  <c r="Q175" i="2"/>
  <c r="Q175" i="28" s="1"/>
  <c r="Q156" i="2"/>
  <c r="Q156" i="28" s="1"/>
  <c r="J39" i="2"/>
  <c r="J39" i="28" s="1"/>
  <c r="M13" i="2"/>
  <c r="J55" i="2"/>
  <c r="J55" i="28" s="1"/>
  <c r="I54" i="2"/>
  <c r="I54" i="28" s="1"/>
  <c r="M54" i="2"/>
  <c r="M54" i="28" s="1"/>
  <c r="O13" i="2"/>
  <c r="J13" i="28"/>
  <c r="K13" i="28"/>
  <c r="L39" i="2"/>
  <c r="L39" i="28" s="1"/>
  <c r="H15" i="28"/>
  <c r="O39" i="2"/>
  <c r="O39" i="28" s="1"/>
  <c r="I39" i="2"/>
  <c r="I39" i="28" s="1"/>
  <c r="I13" i="28"/>
  <c r="P39" i="2"/>
  <c r="P39" i="28" s="1"/>
  <c r="N56" i="2"/>
  <c r="N56" i="28" s="1"/>
  <c r="J56" i="2"/>
  <c r="J56" i="28" s="1"/>
  <c r="L67" i="2"/>
  <c r="L67" i="28" s="1"/>
  <c r="N51" i="2"/>
  <c r="N51" i="28" s="1"/>
  <c r="H14" i="28"/>
  <c r="DY210" i="11"/>
  <c r="N157" i="2"/>
  <c r="N157" i="28" s="1"/>
  <c r="L139" i="2"/>
  <c r="L139" i="28" s="1"/>
  <c r="M49" i="2"/>
  <c r="M49" i="28" s="1"/>
  <c r="H29" i="2"/>
  <c r="H29" i="28" s="1"/>
  <c r="O139" i="2"/>
  <c r="O139" i="28" s="1"/>
  <c r="I157" i="2"/>
  <c r="I157" i="28" s="1"/>
  <c r="J175" i="2"/>
  <c r="J175" i="28" s="1"/>
  <c r="I175" i="2"/>
  <c r="I175" i="28" s="1"/>
  <c r="P95" i="2"/>
  <c r="P95" i="28" s="1"/>
  <c r="P90" i="2"/>
  <c r="P90" i="28" s="1"/>
  <c r="K39" i="2"/>
  <c r="K39" i="28" s="1"/>
  <c r="K31" i="2"/>
  <c r="K31" i="28" s="1"/>
  <c r="K54" i="2"/>
  <c r="K54" i="28" s="1"/>
  <c r="L54" i="2"/>
  <c r="L54" i="28" s="1"/>
  <c r="M31" i="2"/>
  <c r="M31" i="28" s="1"/>
  <c r="O38" i="2"/>
  <c r="O38" i="28" s="1"/>
  <c r="N13" i="28"/>
  <c r="H85" i="2"/>
  <c r="H85" i="28" s="1"/>
  <c r="P13" i="2"/>
  <c r="DY11" i="11"/>
  <c r="DY16" i="11" s="1"/>
  <c r="DY76" i="11" s="1"/>
  <c r="N156" i="2"/>
  <c r="N156" i="28" s="1"/>
  <c r="M55" i="2"/>
  <c r="M55" i="28" s="1"/>
  <c r="L90" i="2"/>
  <c r="L90" i="28" s="1"/>
  <c r="H65" i="2"/>
  <c r="H65" i="28" s="1"/>
  <c r="O156" i="2"/>
  <c r="O156" i="28" s="1"/>
  <c r="K55" i="2"/>
  <c r="K55" i="28" s="1"/>
  <c r="M39" i="2"/>
  <c r="M39" i="28" s="1"/>
  <c r="DY176" i="11"/>
  <c r="Q95" i="2" s="1"/>
  <c r="Q95" i="28" s="1"/>
  <c r="P56" i="2"/>
  <c r="P56" i="28" s="1"/>
  <c r="H38" i="2"/>
  <c r="H38" i="28" s="1"/>
  <c r="J139" i="2"/>
  <c r="J139" i="28" s="1"/>
  <c r="Q157" i="2"/>
  <c r="Q157" i="28" s="1"/>
  <c r="I56" i="2"/>
  <c r="I56" i="28" s="1"/>
  <c r="J157" i="2"/>
  <c r="J157" i="28" s="1"/>
  <c r="H36" i="2"/>
  <c r="H36" i="28" s="1"/>
  <c r="L156" i="2"/>
  <c r="L156" i="28" s="1"/>
  <c r="O56" i="2"/>
  <c r="O56" i="28" s="1"/>
  <c r="M175" i="2"/>
  <c r="M175" i="28" s="1"/>
  <c r="L13" i="2"/>
  <c r="H39" i="2"/>
  <c r="H39" i="28" s="1"/>
  <c r="J13" i="2"/>
  <c r="L55" i="2"/>
  <c r="L55" i="28" s="1"/>
  <c r="J32" i="2"/>
  <c r="J32" i="28" s="1"/>
  <c r="H107" i="2"/>
  <c r="H107" i="28" s="1"/>
  <c r="N38" i="2"/>
  <c r="N38" i="28" s="1"/>
  <c r="N13" i="2"/>
  <c r="L68" i="2"/>
  <c r="L68" i="28" s="1"/>
  <c r="DY12" i="11"/>
  <c r="DY17" i="11" s="1"/>
  <c r="DY88" i="11" s="1"/>
  <c r="H142" i="2"/>
  <c r="H142" i="28" s="1"/>
  <c r="P64" i="2"/>
  <c r="P64" i="28" s="1"/>
  <c r="P38" i="2"/>
  <c r="P38" i="28" s="1"/>
  <c r="K56" i="2"/>
  <c r="K56" i="28" s="1"/>
  <c r="N49" i="2"/>
  <c r="N49" i="28" s="1"/>
  <c r="H68" i="2"/>
  <c r="H68" i="28" s="1"/>
  <c r="DY171" i="11"/>
  <c r="Q90" i="2" s="1"/>
  <c r="Q90" i="28" s="1"/>
  <c r="Q49" i="2"/>
  <c r="Q49" i="28" s="1"/>
  <c r="Q139" i="2"/>
  <c r="Q139" i="28" s="1"/>
  <c r="O90" i="2"/>
  <c r="O90" i="28" s="1"/>
  <c r="P157" i="2"/>
  <c r="P157" i="28" s="1"/>
  <c r="H175" i="2"/>
  <c r="M157" i="2"/>
  <c r="M157" i="28" s="1"/>
  <c r="K156" i="2"/>
  <c r="K156" i="28" s="1"/>
  <c r="L38" i="2"/>
  <c r="L38" i="28" s="1"/>
  <c r="P139" i="2"/>
  <c r="P139" i="28" s="1"/>
  <c r="M56" i="2"/>
  <c r="M56" i="28" s="1"/>
  <c r="P175" i="2"/>
  <c r="P175" i="28" s="1"/>
  <c r="M38" i="2"/>
  <c r="M38" i="28" s="1"/>
  <c r="I68" i="2"/>
  <c r="I68" i="28" s="1"/>
  <c r="K13" i="2"/>
  <c r="H55" i="2"/>
  <c r="H55" i="28" s="1"/>
  <c r="L32" i="2"/>
  <c r="L32" i="28" s="1"/>
  <c r="I107" i="2"/>
  <c r="I107" i="28" s="1"/>
  <c r="M13" i="28"/>
  <c r="O51" i="2"/>
  <c r="O51" i="28" s="1"/>
  <c r="N35" i="2"/>
  <c r="N35" i="28" s="1"/>
  <c r="M68" i="2"/>
  <c r="M68" i="28" s="1"/>
  <c r="M32" i="2"/>
  <c r="M32" i="28" s="1"/>
  <c r="DY8" i="11"/>
  <c r="DY13" i="11" s="1"/>
  <c r="L56" i="2"/>
  <c r="L56" i="28" s="1"/>
  <c r="M90" i="2"/>
  <c r="M90" i="28" s="1"/>
  <c r="K32" i="2"/>
  <c r="K32" i="28" s="1"/>
  <c r="P51" i="2"/>
  <c r="P51" i="28" s="1"/>
  <c r="H56" i="2"/>
  <c r="H56" i="28" s="1"/>
  <c r="H156" i="2"/>
  <c r="H156" i="28" s="1"/>
  <c r="H13" i="2"/>
  <c r="DY115" i="11"/>
  <c r="H49" i="2"/>
  <c r="H49" i="28" s="1"/>
  <c r="L157" i="2"/>
  <c r="L157" i="28" s="1"/>
  <c r="J67" i="2"/>
  <c r="J67" i="28" s="1"/>
  <c r="K49" i="2"/>
  <c r="K49" i="28" s="1"/>
  <c r="O135" i="2"/>
  <c r="P135" i="2"/>
  <c r="I67" i="2"/>
  <c r="I67" i="28" s="1"/>
  <c r="O175" i="2"/>
  <c r="O175" i="28" s="1"/>
  <c r="L175" i="2"/>
  <c r="L175" i="28" s="1"/>
  <c r="L49" i="2"/>
  <c r="L49" i="28" s="1"/>
  <c r="K157" i="2"/>
  <c r="K157" i="28" s="1"/>
  <c r="O49" i="2"/>
  <c r="O49" i="28" s="1"/>
  <c r="J68" i="2"/>
  <c r="J68" i="28" s="1"/>
  <c r="H90" i="2"/>
  <c r="H90" i="28" s="1"/>
  <c r="J54" i="2"/>
  <c r="J54" i="28" s="1"/>
  <c r="M67" i="2"/>
  <c r="M67" i="28" s="1"/>
  <c r="I142" i="2"/>
  <c r="I142" i="28" s="1"/>
  <c r="P35" i="2"/>
  <c r="P35" i="28" s="1"/>
  <c r="O35" i="2"/>
  <c r="O35" i="28" s="1"/>
  <c r="N64" i="2"/>
  <c r="N64" i="28" s="1"/>
  <c r="O13" i="28"/>
  <c r="P13" i="28"/>
  <c r="N39" i="2"/>
  <c r="N39" i="28" s="1"/>
  <c r="DY10" i="11"/>
  <c r="DY15" i="11" s="1"/>
  <c r="DY64" i="11" s="1"/>
  <c r="H32" i="2"/>
  <c r="H32" i="28" s="1"/>
  <c r="I32" i="2"/>
  <c r="I32" i="28" s="1"/>
  <c r="O64" i="2"/>
  <c r="O64" i="28" s="1"/>
  <c r="H139" i="2"/>
  <c r="H139" i="28" s="1"/>
  <c r="L13" i="28"/>
  <c r="DY9" i="11"/>
  <c r="DY14" i="11" s="1"/>
  <c r="DY52" i="11" s="1"/>
  <c r="I31" i="2"/>
  <c r="I31" i="28" s="1"/>
  <c r="N95" i="2"/>
  <c r="N95" i="28" s="1"/>
  <c r="I55" i="2"/>
  <c r="I55" i="28" s="1"/>
  <c r="H13" i="28"/>
  <c r="DY103" i="7"/>
  <c r="DY154" i="7"/>
  <c r="DY160" i="7" s="1"/>
  <c r="DY163" i="7"/>
  <c r="DE81" i="11"/>
  <c r="DE136" i="11" s="1"/>
  <c r="DE104" i="11"/>
  <c r="DE162" i="11"/>
  <c r="DE119" i="11"/>
  <c r="DC96" i="11"/>
  <c r="CQ91" i="11"/>
  <c r="CQ155" i="11" s="1"/>
  <c r="CQ87" i="11"/>
  <c r="CQ92" i="11"/>
  <c r="CQ142" i="11" s="1"/>
  <c r="BN47" i="11"/>
  <c r="H20" i="28" l="1"/>
  <c r="CW145" i="7"/>
  <c r="CX139" i="7"/>
  <c r="DY130" i="7"/>
  <c r="DY131" i="7"/>
  <c r="DY115" i="7"/>
  <c r="DY116" i="7"/>
  <c r="CW70" i="7"/>
  <c r="CW71" i="7"/>
  <c r="CX64" i="7"/>
  <c r="CW100" i="7"/>
  <c r="CX94" i="7"/>
  <c r="CX101" i="7" s="1"/>
  <c r="Q194" i="2"/>
  <c r="Q194" i="28" s="1"/>
  <c r="DY215" i="11"/>
  <c r="DY231" i="11"/>
  <c r="DY41" i="7"/>
  <c r="DY40" i="7"/>
  <c r="DY85" i="7"/>
  <c r="DY86" i="7"/>
  <c r="P135" i="28"/>
  <c r="P136" i="2"/>
  <c r="DY151" i="11"/>
  <c r="DY116" i="11"/>
  <c r="DY95" i="11"/>
  <c r="DY112" i="11"/>
  <c r="Q39" i="2" s="1"/>
  <c r="Q39" i="28" s="1"/>
  <c r="DY150" i="11"/>
  <c r="N136" i="2"/>
  <c r="N135" i="28"/>
  <c r="DY148" i="11"/>
  <c r="DY110" i="11"/>
  <c r="O135" i="28"/>
  <c r="O136" i="2"/>
  <c r="DY19" i="11"/>
  <c r="DY40" i="11"/>
  <c r="DY42" i="11" s="1"/>
  <c r="Q135" i="2"/>
  <c r="DY237" i="11"/>
  <c r="DY211" i="11"/>
  <c r="I176" i="2"/>
  <c r="L176" i="2"/>
  <c r="H175" i="28"/>
  <c r="H176" i="2"/>
  <c r="Q176" i="2"/>
  <c r="J176" i="2"/>
  <c r="K176" i="2"/>
  <c r="N176" i="2"/>
  <c r="P176" i="2"/>
  <c r="O176" i="2"/>
  <c r="M176" i="2"/>
  <c r="DY111" i="11"/>
  <c r="Q38" i="2" s="1"/>
  <c r="Q38" i="28" s="1"/>
  <c r="DY149" i="11"/>
  <c r="DY83" i="11"/>
  <c r="DY84" i="11" s="1"/>
  <c r="DF80" i="11"/>
  <c r="DF141" i="11" s="1"/>
  <c r="DF79" i="11"/>
  <c r="DF154" i="11" s="1"/>
  <c r="DF75" i="11"/>
  <c r="DD96" i="11"/>
  <c r="CQ120" i="11"/>
  <c r="CQ105" i="11"/>
  <c r="CQ93" i="11"/>
  <c r="CQ137" i="11" s="1"/>
  <c r="CQ163" i="11"/>
  <c r="BO47" i="11"/>
  <c r="CX145" i="7" l="1"/>
  <c r="CY139" i="7"/>
  <c r="CX70" i="7"/>
  <c r="CX71" i="7"/>
  <c r="CY64" i="7"/>
  <c r="CX100" i="7"/>
  <c r="CY94" i="7"/>
  <c r="CY101" i="7" s="1"/>
  <c r="DX146" i="11"/>
  <c r="DX47" i="11"/>
  <c r="DX108" i="11"/>
  <c r="H176" i="28"/>
  <c r="Q176" i="28"/>
  <c r="M176" i="28"/>
  <c r="K176" i="28"/>
  <c r="P176" i="28"/>
  <c r="O176" i="28"/>
  <c r="L176" i="28"/>
  <c r="I176" i="28"/>
  <c r="N176" i="28"/>
  <c r="J176" i="28"/>
  <c r="DY133" i="11"/>
  <c r="Q51" i="2" s="1"/>
  <c r="Q51" i="28" s="1"/>
  <c r="DY26" i="11"/>
  <c r="O136" i="28"/>
  <c r="N136" i="28"/>
  <c r="P136" i="28"/>
  <c r="Q135" i="28"/>
  <c r="Q136" i="2"/>
  <c r="DF104" i="11"/>
  <c r="DF81" i="11"/>
  <c r="DF136" i="11" s="1"/>
  <c r="DF119" i="11"/>
  <c r="DF162" i="11"/>
  <c r="DE96" i="11"/>
  <c r="CR87" i="11"/>
  <c r="CR91" i="11"/>
  <c r="CR155" i="11" s="1"/>
  <c r="CR92" i="11"/>
  <c r="CR142" i="11" s="1"/>
  <c r="BP47" i="11"/>
  <c r="CY145" i="7" l="1"/>
  <c r="CZ139" i="7"/>
  <c r="CY70" i="7"/>
  <c r="CY71" i="7"/>
  <c r="CZ64" i="7"/>
  <c r="CY100" i="7"/>
  <c r="CZ94" i="7"/>
  <c r="CZ101" i="7" s="1"/>
  <c r="Q13" i="2"/>
  <c r="Q13" i="28"/>
  <c r="DY20" i="11"/>
  <c r="H20" i="11" s="1"/>
  <c r="E10" i="30" s="1"/>
  <c r="Q136" i="28"/>
  <c r="DG79" i="11"/>
  <c r="DG154" i="11" s="1"/>
  <c r="DG80" i="11"/>
  <c r="DG141" i="11" s="1"/>
  <c r="DG75" i="11"/>
  <c r="DF96" i="11"/>
  <c r="CR120" i="11"/>
  <c r="CR163" i="11"/>
  <c r="CR93" i="11"/>
  <c r="CR137" i="11" s="1"/>
  <c r="CR105" i="11"/>
  <c r="BQ47" i="11"/>
  <c r="CZ145" i="7" l="1"/>
  <c r="DA139" i="7"/>
  <c r="CZ70" i="7"/>
  <c r="CZ71" i="7"/>
  <c r="DA64" i="7"/>
  <c r="CZ100" i="7"/>
  <c r="DA94" i="7"/>
  <c r="DA101" i="7" s="1"/>
  <c r="DY146" i="11"/>
  <c r="Q64" i="2" s="1"/>
  <c r="Q64" i="28" s="1"/>
  <c r="DY108" i="11"/>
  <c r="Q35" i="2" s="1"/>
  <c r="Q35" i="28" s="1"/>
  <c r="DY47" i="11"/>
  <c r="DG119" i="11"/>
  <c r="DG81" i="11"/>
  <c r="DG136" i="11" s="1"/>
  <c r="DG104" i="11"/>
  <c r="DG162" i="11"/>
  <c r="DG96" i="11"/>
  <c r="CS92" i="11"/>
  <c r="CS142" i="11" s="1"/>
  <c r="CS87" i="11"/>
  <c r="CS91" i="11"/>
  <c r="CS155" i="11" s="1"/>
  <c r="BR47" i="11"/>
  <c r="DA145" i="7" l="1"/>
  <c r="DB139" i="7"/>
  <c r="DA70" i="7"/>
  <c r="DA71" i="7"/>
  <c r="DB64" i="7"/>
  <c r="DA100" i="7"/>
  <c r="DB94" i="7"/>
  <c r="DB101" i="7" s="1"/>
  <c r="DH80" i="11"/>
  <c r="DH141" i="11" s="1"/>
  <c r="DH79" i="11"/>
  <c r="DH154" i="11" s="1"/>
  <c r="DH75" i="11"/>
  <c r="DH96" i="11"/>
  <c r="CS163" i="11"/>
  <c r="CS105" i="11"/>
  <c r="CS93" i="11"/>
  <c r="CS137" i="11" s="1"/>
  <c r="CS120" i="11"/>
  <c r="BS47" i="11"/>
  <c r="DB145" i="7" l="1"/>
  <c r="DC139" i="7"/>
  <c r="DB70" i="7"/>
  <c r="DB71" i="7"/>
  <c r="DC64" i="7"/>
  <c r="DB100" i="7"/>
  <c r="DC94" i="7"/>
  <c r="DC101" i="7" s="1"/>
  <c r="DH104" i="11"/>
  <c r="DH81" i="11"/>
  <c r="DH136" i="11" s="1"/>
  <c r="DH162" i="11"/>
  <c r="DH119" i="11"/>
  <c r="DI96" i="11"/>
  <c r="CT92" i="11"/>
  <c r="CT142" i="11" s="1"/>
  <c r="CT87" i="11"/>
  <c r="CT91" i="11"/>
  <c r="CT155" i="11" s="1"/>
  <c r="BT47" i="11"/>
  <c r="DC145" i="7" l="1"/>
  <c r="DD139" i="7"/>
  <c r="DC70" i="7"/>
  <c r="DC71" i="7"/>
  <c r="DD64" i="7"/>
  <c r="DC100" i="7"/>
  <c r="DD94" i="7"/>
  <c r="DD101" i="7" s="1"/>
  <c r="DI75" i="11"/>
  <c r="DI79" i="11"/>
  <c r="DI154" i="11" s="1"/>
  <c r="DI80" i="11"/>
  <c r="DI141" i="11" s="1"/>
  <c r="DJ96" i="11"/>
  <c r="CT163" i="11"/>
  <c r="CT105" i="11"/>
  <c r="CT93" i="11"/>
  <c r="CT137" i="11" s="1"/>
  <c r="CT120" i="11"/>
  <c r="BU47" i="11"/>
  <c r="DD145" i="7" l="1"/>
  <c r="DE139" i="7"/>
  <c r="DD70" i="7"/>
  <c r="DD71" i="7"/>
  <c r="DE64" i="7"/>
  <c r="DD100" i="7"/>
  <c r="DE94" i="7"/>
  <c r="DE101" i="7" s="1"/>
  <c r="DI119" i="11"/>
  <c r="DI162" i="11"/>
  <c r="DI104" i="11"/>
  <c r="DI81" i="11"/>
  <c r="DI136" i="11" s="1"/>
  <c r="DK96" i="11"/>
  <c r="CU91" i="11"/>
  <c r="CU155" i="11" s="1"/>
  <c r="CU92" i="11"/>
  <c r="CU142" i="11" s="1"/>
  <c r="CU87" i="11"/>
  <c r="BV47" i="11"/>
  <c r="DE145" i="7" l="1"/>
  <c r="DF139" i="7"/>
  <c r="DE70" i="7"/>
  <c r="DE71" i="7"/>
  <c r="DF64" i="7"/>
  <c r="DE100" i="7"/>
  <c r="DF94" i="7"/>
  <c r="DF101" i="7" s="1"/>
  <c r="DJ75" i="11"/>
  <c r="DJ80" i="11"/>
  <c r="DJ141" i="11" s="1"/>
  <c r="DJ79" i="11"/>
  <c r="DJ154" i="11" s="1"/>
  <c r="DL96" i="11"/>
  <c r="CU120" i="11"/>
  <c r="CU105" i="11"/>
  <c r="CU93" i="11"/>
  <c r="CU137" i="11" s="1"/>
  <c r="CU163" i="11"/>
  <c r="BW47" i="11"/>
  <c r="DF145" i="7" l="1"/>
  <c r="DG139" i="7"/>
  <c r="DF70" i="7"/>
  <c r="DF71" i="7"/>
  <c r="DG64" i="7"/>
  <c r="DF100" i="7"/>
  <c r="DG94" i="7"/>
  <c r="DG101" i="7" s="1"/>
  <c r="DJ119" i="11"/>
  <c r="DJ162" i="11"/>
  <c r="DJ81" i="11"/>
  <c r="DJ136" i="11" s="1"/>
  <c r="DJ104" i="11"/>
  <c r="DM96" i="11"/>
  <c r="CV87" i="11"/>
  <c r="CV91" i="11"/>
  <c r="CV155" i="11" s="1"/>
  <c r="CV92" i="11"/>
  <c r="CV142" i="11" s="1"/>
  <c r="BX47" i="11"/>
  <c r="DG145" i="7" l="1"/>
  <c r="DH139" i="7"/>
  <c r="DG70" i="7"/>
  <c r="DG71" i="7"/>
  <c r="DH64" i="7"/>
  <c r="DG100" i="7"/>
  <c r="DH94" i="7"/>
  <c r="DH101" i="7" s="1"/>
  <c r="DK75" i="11"/>
  <c r="DK79" i="11"/>
  <c r="DK154" i="11" s="1"/>
  <c r="DK80" i="11"/>
  <c r="DK141" i="11" s="1"/>
  <c r="DN96" i="11"/>
  <c r="CV120" i="11"/>
  <c r="CV163" i="11"/>
  <c r="CV93" i="11"/>
  <c r="CV137" i="11" s="1"/>
  <c r="CV105" i="11"/>
  <c r="BY47" i="11"/>
  <c r="DH145" i="7" l="1"/>
  <c r="DI139" i="7"/>
  <c r="DH70" i="7"/>
  <c r="DH71" i="7"/>
  <c r="DI64" i="7"/>
  <c r="DH100" i="7"/>
  <c r="DI94" i="7"/>
  <c r="DI101" i="7" s="1"/>
  <c r="DK119" i="11"/>
  <c r="DK162" i="11"/>
  <c r="DK81" i="11"/>
  <c r="DK136" i="11" s="1"/>
  <c r="DK104" i="11"/>
  <c r="DO96" i="11"/>
  <c r="CW87" i="11"/>
  <c r="CW91" i="11"/>
  <c r="CW155" i="11" s="1"/>
  <c r="CW92" i="11"/>
  <c r="CW142" i="11" s="1"/>
  <c r="BZ47" i="11"/>
  <c r="DI145" i="7" l="1"/>
  <c r="DJ139" i="7"/>
  <c r="DI70" i="7"/>
  <c r="DI71" i="7"/>
  <c r="DJ64" i="7"/>
  <c r="DI100" i="7"/>
  <c r="DJ94" i="7"/>
  <c r="DJ101" i="7" s="1"/>
  <c r="DL79" i="11"/>
  <c r="DL154" i="11" s="1"/>
  <c r="DL80" i="11"/>
  <c r="DL141" i="11" s="1"/>
  <c r="DL75" i="11"/>
  <c r="DP96" i="11"/>
  <c r="CW120" i="11"/>
  <c r="CW163" i="11"/>
  <c r="CW105" i="11"/>
  <c r="CW93" i="11"/>
  <c r="CW137" i="11" s="1"/>
  <c r="CA47" i="11"/>
  <c r="DJ145" i="7" l="1"/>
  <c r="DK139" i="7"/>
  <c r="DJ70" i="7"/>
  <c r="DJ71" i="7"/>
  <c r="DK64" i="7"/>
  <c r="DJ100" i="7"/>
  <c r="DK94" i="7"/>
  <c r="DK101" i="7" s="1"/>
  <c r="DL81" i="11"/>
  <c r="DL136" i="11" s="1"/>
  <c r="DL104" i="11"/>
  <c r="DL119" i="11"/>
  <c r="DL162" i="11"/>
  <c r="DQ96" i="11"/>
  <c r="CX91" i="11"/>
  <c r="CX155" i="11" s="1"/>
  <c r="CX87" i="11"/>
  <c r="CX92" i="11"/>
  <c r="CX142" i="11" s="1"/>
  <c r="CB47" i="11"/>
  <c r="I35" i="2"/>
  <c r="I35" i="28" s="1"/>
  <c r="J35" i="2"/>
  <c r="J35" i="28" s="1"/>
  <c r="K35" i="2"/>
  <c r="K35" i="28" s="1"/>
  <c r="L35" i="2"/>
  <c r="L35" i="28" s="1"/>
  <c r="DK145" i="7" l="1"/>
  <c r="DL139" i="7"/>
  <c r="DK70" i="7"/>
  <c r="DK71" i="7"/>
  <c r="DL64" i="7"/>
  <c r="DK100" i="7"/>
  <c r="DL94" i="7"/>
  <c r="DL101" i="7" s="1"/>
  <c r="DM79" i="11"/>
  <c r="DM154" i="11" s="1"/>
  <c r="DM80" i="11"/>
  <c r="DM141" i="11" s="1"/>
  <c r="DM75" i="11"/>
  <c r="DR96" i="11"/>
  <c r="CX120" i="11"/>
  <c r="CX105" i="11"/>
  <c r="CX93" i="11"/>
  <c r="CX137" i="11" s="1"/>
  <c r="CX163" i="11"/>
  <c r="CC47" i="11"/>
  <c r="DL145" i="7" l="1"/>
  <c r="DM139" i="7"/>
  <c r="DL70" i="7"/>
  <c r="DL71" i="7"/>
  <c r="DM64" i="7"/>
  <c r="DL100" i="7"/>
  <c r="DM94" i="7"/>
  <c r="DM101" i="7" s="1"/>
  <c r="DM119" i="11"/>
  <c r="DM81" i="11"/>
  <c r="DM136" i="11" s="1"/>
  <c r="DM104" i="11"/>
  <c r="DM162" i="11"/>
  <c r="DS96" i="11"/>
  <c r="CY92" i="11"/>
  <c r="CY142" i="11" s="1"/>
  <c r="CY87" i="11"/>
  <c r="CY91" i="11"/>
  <c r="CY155" i="11" s="1"/>
  <c r="M35" i="2"/>
  <c r="M35" i="28" s="1"/>
  <c r="DM145" i="7" l="1"/>
  <c r="DN139" i="7"/>
  <c r="DM70" i="7"/>
  <c r="DM71" i="7"/>
  <c r="DN64" i="7"/>
  <c r="DM100" i="7"/>
  <c r="DN94" i="7"/>
  <c r="DN101" i="7" s="1"/>
  <c r="DN75" i="11"/>
  <c r="DN80" i="11"/>
  <c r="DN141" i="11" s="1"/>
  <c r="DN79" i="11"/>
  <c r="DN154" i="11" s="1"/>
  <c r="DT96" i="11"/>
  <c r="CY163" i="11"/>
  <c r="CY105" i="11"/>
  <c r="CY93" i="11"/>
  <c r="CY137" i="11" s="1"/>
  <c r="CY120" i="11"/>
  <c r="K48" i="11"/>
  <c r="DN145" i="7" l="1"/>
  <c r="DO139" i="7"/>
  <c r="DN70" i="7"/>
  <c r="DN71" i="7"/>
  <c r="DO64" i="7"/>
  <c r="DN100" i="7"/>
  <c r="DO94" i="7"/>
  <c r="DO101" i="7" s="1"/>
  <c r="DN119" i="11"/>
  <c r="DN81" i="11"/>
  <c r="DN136" i="11" s="1"/>
  <c r="DN104" i="11"/>
  <c r="DN162" i="11"/>
  <c r="DU96" i="11"/>
  <c r="CZ92" i="11"/>
  <c r="CZ142" i="11" s="1"/>
  <c r="CZ87" i="11"/>
  <c r="CZ91" i="11"/>
  <c r="CZ155" i="11" s="1"/>
  <c r="J45" i="11"/>
  <c r="J36" i="11" s="1"/>
  <c r="DO145" i="7" l="1"/>
  <c r="DP139" i="7"/>
  <c r="DO70" i="7"/>
  <c r="DO71" i="7"/>
  <c r="DP64" i="7"/>
  <c r="DO100" i="7"/>
  <c r="DP94" i="7"/>
  <c r="DP101" i="7" s="1"/>
  <c r="DO75" i="11"/>
  <c r="DO80" i="11"/>
  <c r="DO141" i="11" s="1"/>
  <c r="DO79" i="11"/>
  <c r="DO154" i="11" s="1"/>
  <c r="DV96" i="11"/>
  <c r="CZ163" i="11"/>
  <c r="CZ93" i="11"/>
  <c r="CZ137" i="11" s="1"/>
  <c r="CZ105" i="11"/>
  <c r="CZ120" i="11"/>
  <c r="K43" i="11"/>
  <c r="K151" i="11" s="1"/>
  <c r="K44" i="11"/>
  <c r="K30" i="11" s="1"/>
  <c r="K39" i="11"/>
  <c r="H35" i="2"/>
  <c r="H35" i="28" s="1"/>
  <c r="DP145" i="7" l="1"/>
  <c r="DQ139" i="7"/>
  <c r="DP70" i="7"/>
  <c r="DP71" i="7"/>
  <c r="DQ64" i="7"/>
  <c r="DP100" i="7"/>
  <c r="DQ94" i="7"/>
  <c r="DQ101" i="7" s="1"/>
  <c r="K156" i="11"/>
  <c r="DO162" i="11"/>
  <c r="DO119" i="11"/>
  <c r="DO81" i="11"/>
  <c r="DO136" i="11" s="1"/>
  <c r="DO104" i="11"/>
  <c r="K29" i="11"/>
  <c r="K101" i="11"/>
  <c r="DW96" i="11"/>
  <c r="DA91" i="11"/>
  <c r="DA155" i="11" s="1"/>
  <c r="DA92" i="11"/>
  <c r="DA142" i="11" s="1"/>
  <c r="DA87" i="11"/>
  <c r="K116" i="11"/>
  <c r="K159" i="11"/>
  <c r="K45" i="11"/>
  <c r="L48" i="11"/>
  <c r="DQ145" i="7" l="1"/>
  <c r="DR139" i="7"/>
  <c r="DQ70" i="7"/>
  <c r="DQ71" i="7"/>
  <c r="DR64" i="7"/>
  <c r="DQ100" i="7"/>
  <c r="DR94" i="7"/>
  <c r="DR101" i="7" s="1"/>
  <c r="DP80" i="11"/>
  <c r="DP141" i="11" s="1"/>
  <c r="DP75" i="11"/>
  <c r="DP79" i="11"/>
  <c r="DP154" i="11" s="1"/>
  <c r="DX96" i="11"/>
  <c r="DA120" i="11"/>
  <c r="DA93" i="11"/>
  <c r="DA137" i="11" s="1"/>
  <c r="DA105" i="11"/>
  <c r="DA163" i="11"/>
  <c r="L44" i="11"/>
  <c r="L43" i="11"/>
  <c r="L151" i="11" s="1"/>
  <c r="L39" i="11"/>
  <c r="M48" i="11"/>
  <c r="DR145" i="7" l="1"/>
  <c r="DS139" i="7"/>
  <c r="DR70" i="7"/>
  <c r="DR71" i="7"/>
  <c r="DS64" i="7"/>
  <c r="DR100" i="7"/>
  <c r="DS94" i="7"/>
  <c r="DS101" i="7" s="1"/>
  <c r="DP162" i="11"/>
  <c r="DP81" i="11"/>
  <c r="DP136" i="11" s="1"/>
  <c r="DP104" i="11"/>
  <c r="DP119" i="11"/>
  <c r="DY96" i="11"/>
  <c r="DB87" i="11"/>
  <c r="DB91" i="11"/>
  <c r="DB155" i="11" s="1"/>
  <c r="DB92" i="11"/>
  <c r="DB142" i="11" s="1"/>
  <c r="L116" i="11"/>
  <c r="L101" i="11"/>
  <c r="L159" i="11"/>
  <c r="L45" i="11"/>
  <c r="N48" i="11"/>
  <c r="DS145" i="7" l="1"/>
  <c r="DT139" i="7"/>
  <c r="DS70" i="7"/>
  <c r="DS71" i="7"/>
  <c r="DT64" i="7"/>
  <c r="DS100" i="7"/>
  <c r="DT94" i="7"/>
  <c r="DT101" i="7" s="1"/>
  <c r="DQ75" i="11"/>
  <c r="DQ80" i="11"/>
  <c r="DQ141" i="11" s="1"/>
  <c r="DQ79" i="11"/>
  <c r="DQ154" i="11" s="1"/>
  <c r="DB120" i="11"/>
  <c r="DB163" i="11"/>
  <c r="DB105" i="11"/>
  <c r="DB93" i="11"/>
  <c r="DB137" i="11" s="1"/>
  <c r="M43" i="11"/>
  <c r="M151" i="11" s="1"/>
  <c r="M44" i="11"/>
  <c r="O48" i="11"/>
  <c r="M39" i="11"/>
  <c r="DT145" i="7" l="1"/>
  <c r="DU139" i="7"/>
  <c r="DT70" i="7"/>
  <c r="DT71" i="7"/>
  <c r="DU64" i="7"/>
  <c r="DT100" i="7"/>
  <c r="DU94" i="7"/>
  <c r="DU101" i="7" s="1"/>
  <c r="DQ162" i="11"/>
  <c r="DQ119" i="11"/>
  <c r="DQ81" i="11"/>
  <c r="DQ136" i="11" s="1"/>
  <c r="DQ104" i="11"/>
  <c r="DC87" i="11"/>
  <c r="DC91" i="11"/>
  <c r="DC155" i="11" s="1"/>
  <c r="DC92" i="11"/>
  <c r="DC142" i="11" s="1"/>
  <c r="M116" i="11"/>
  <c r="M101" i="11"/>
  <c r="M159" i="11"/>
  <c r="M45" i="11"/>
  <c r="P48" i="11"/>
  <c r="DU145" i="7" l="1"/>
  <c r="DV139" i="7"/>
  <c r="DU70" i="7"/>
  <c r="DU71" i="7"/>
  <c r="DV64" i="7"/>
  <c r="DU100" i="7"/>
  <c r="DV94" i="7"/>
  <c r="DV101" i="7" s="1"/>
  <c r="DR75" i="11"/>
  <c r="DR80" i="11"/>
  <c r="DR141" i="11" s="1"/>
  <c r="DR79" i="11"/>
  <c r="DR154" i="11" s="1"/>
  <c r="DC120" i="11"/>
  <c r="DC163" i="11"/>
  <c r="DC105" i="11"/>
  <c r="DC93" i="11"/>
  <c r="DC137" i="11" s="1"/>
  <c r="N43" i="11"/>
  <c r="N151" i="11" s="1"/>
  <c r="N44" i="11"/>
  <c r="Q48" i="11"/>
  <c r="N39" i="11"/>
  <c r="DV145" i="7" l="1"/>
  <c r="DW139" i="7"/>
  <c r="DV70" i="7"/>
  <c r="DV71" i="7"/>
  <c r="DW64" i="7"/>
  <c r="DV100" i="7"/>
  <c r="DW94" i="7"/>
  <c r="DW101" i="7" s="1"/>
  <c r="DR119" i="11"/>
  <c r="DR162" i="11"/>
  <c r="DR81" i="11"/>
  <c r="DR136" i="11" s="1"/>
  <c r="DR104" i="11"/>
  <c r="DD91" i="11"/>
  <c r="DD155" i="11" s="1"/>
  <c r="DD87" i="11"/>
  <c r="DD92" i="11"/>
  <c r="DD142" i="11" s="1"/>
  <c r="N116" i="11"/>
  <c r="N101" i="11"/>
  <c r="N159" i="11"/>
  <c r="R48" i="11"/>
  <c r="N45" i="11"/>
  <c r="DW145" i="7" l="1"/>
  <c r="DX139" i="7"/>
  <c r="DW70" i="7"/>
  <c r="DW71" i="7"/>
  <c r="DX64" i="7"/>
  <c r="DW100" i="7"/>
  <c r="DX94" i="7"/>
  <c r="DX101" i="7" s="1"/>
  <c r="DS79" i="11"/>
  <c r="DS154" i="11" s="1"/>
  <c r="DS75" i="11"/>
  <c r="DS80" i="11"/>
  <c r="DS141" i="11" s="1"/>
  <c r="DD120" i="11"/>
  <c r="DD93" i="11"/>
  <c r="DD137" i="11" s="1"/>
  <c r="DD105" i="11"/>
  <c r="DD163" i="11"/>
  <c r="O44" i="11"/>
  <c r="O43" i="11"/>
  <c r="O151" i="11" s="1"/>
  <c r="S48" i="11"/>
  <c r="O39" i="11"/>
  <c r="DX145" i="7" l="1"/>
  <c r="DY139" i="7"/>
  <c r="DY145" i="7" s="1"/>
  <c r="DX70" i="7"/>
  <c r="DX71" i="7"/>
  <c r="DY64" i="7"/>
  <c r="DX100" i="7"/>
  <c r="DY94" i="7"/>
  <c r="DS119" i="11"/>
  <c r="DS104" i="11"/>
  <c r="DS81" i="11"/>
  <c r="DS136" i="11" s="1"/>
  <c r="DS162" i="11"/>
  <c r="DE87" i="11"/>
  <c r="DE92" i="11"/>
  <c r="DE142" i="11" s="1"/>
  <c r="DE91" i="11"/>
  <c r="DE155" i="11" s="1"/>
  <c r="O116" i="11"/>
  <c r="O101" i="11"/>
  <c r="O159" i="11"/>
  <c r="O45" i="11"/>
  <c r="T48" i="11"/>
  <c r="DY100" i="7" l="1"/>
  <c r="DY101" i="7"/>
  <c r="DY70" i="7"/>
  <c r="DY71" i="7"/>
  <c r="DT75" i="11"/>
  <c r="DT79" i="11"/>
  <c r="DT154" i="11" s="1"/>
  <c r="DT80" i="11"/>
  <c r="DT141" i="11" s="1"/>
  <c r="DE120" i="11"/>
  <c r="DE163" i="11"/>
  <c r="DE93" i="11"/>
  <c r="DE137" i="11" s="1"/>
  <c r="DE105" i="11"/>
  <c r="P43" i="11"/>
  <c r="P151" i="11" s="1"/>
  <c r="P44" i="11"/>
  <c r="U48" i="11"/>
  <c r="P39" i="11"/>
  <c r="DT119" i="11" l="1"/>
  <c r="DT162" i="11"/>
  <c r="DT81" i="11"/>
  <c r="DT136" i="11" s="1"/>
  <c r="DT104" i="11"/>
  <c r="DF87" i="11"/>
  <c r="DF92" i="11"/>
  <c r="DF142" i="11" s="1"/>
  <c r="DF91" i="11"/>
  <c r="DF155" i="11" s="1"/>
  <c r="P116" i="11"/>
  <c r="P101" i="11"/>
  <c r="P159" i="11"/>
  <c r="V48" i="11"/>
  <c r="P45" i="11"/>
  <c r="DU75" i="11" l="1"/>
  <c r="DU79" i="11"/>
  <c r="DU154" i="11" s="1"/>
  <c r="DU80" i="11"/>
  <c r="DU141" i="11" s="1"/>
  <c r="DF120" i="11"/>
  <c r="DF163" i="11"/>
  <c r="DF93" i="11"/>
  <c r="DF137" i="11" s="1"/>
  <c r="DF105" i="11"/>
  <c r="Q43" i="11"/>
  <c r="Q151" i="11" s="1"/>
  <c r="Q44" i="11"/>
  <c r="W48" i="11"/>
  <c r="Q39" i="11"/>
  <c r="DU119" i="11" l="1"/>
  <c r="DU162" i="11"/>
  <c r="DU81" i="11"/>
  <c r="DU136" i="11" s="1"/>
  <c r="DU104" i="11"/>
  <c r="DG92" i="11"/>
  <c r="DG142" i="11" s="1"/>
  <c r="DG91" i="11"/>
  <c r="DG155" i="11" s="1"/>
  <c r="DG87" i="11"/>
  <c r="Q116" i="11"/>
  <c r="Q101" i="11"/>
  <c r="Q159" i="11"/>
  <c r="X48" i="11"/>
  <c r="Q45" i="11"/>
  <c r="DV75" i="11" l="1"/>
  <c r="DV80" i="11"/>
  <c r="DV141" i="11" s="1"/>
  <c r="DV79" i="11"/>
  <c r="DV154" i="11" s="1"/>
  <c r="DG105" i="11"/>
  <c r="DG93" i="11"/>
  <c r="DG137" i="11" s="1"/>
  <c r="DG163" i="11"/>
  <c r="DG120" i="11"/>
  <c r="R43" i="11"/>
  <c r="R151" i="11" s="1"/>
  <c r="R44" i="11"/>
  <c r="Y48" i="11"/>
  <c r="R39" i="11"/>
  <c r="DV119" i="11" l="1"/>
  <c r="DV162" i="11"/>
  <c r="DV104" i="11"/>
  <c r="DV81" i="11"/>
  <c r="DV136" i="11" s="1"/>
  <c r="DH91" i="11"/>
  <c r="DH155" i="11" s="1"/>
  <c r="DH87" i="11"/>
  <c r="DH92" i="11"/>
  <c r="DH142" i="11" s="1"/>
  <c r="R116" i="11"/>
  <c r="R101" i="11"/>
  <c r="R159" i="11"/>
  <c r="Z48" i="11"/>
  <c r="R45" i="11"/>
  <c r="DW75" i="11" l="1"/>
  <c r="DW79" i="11"/>
  <c r="DW154" i="11" s="1"/>
  <c r="DW80" i="11"/>
  <c r="DW141" i="11" s="1"/>
  <c r="DH120" i="11"/>
  <c r="DH93" i="11"/>
  <c r="DH137" i="11" s="1"/>
  <c r="DH105" i="11"/>
  <c r="DH163" i="11"/>
  <c r="S44" i="11"/>
  <c r="S43" i="11"/>
  <c r="S151" i="11" s="1"/>
  <c r="S39" i="11"/>
  <c r="AA48" i="11"/>
  <c r="DW119" i="11" l="1"/>
  <c r="DW162" i="11"/>
  <c r="DW104" i="11"/>
  <c r="DW81" i="11"/>
  <c r="DW136" i="11" s="1"/>
  <c r="DI92" i="11"/>
  <c r="DI142" i="11" s="1"/>
  <c r="DI91" i="11"/>
  <c r="DI155" i="11" s="1"/>
  <c r="DI87" i="11"/>
  <c r="S116" i="11"/>
  <c r="S101" i="11"/>
  <c r="S159" i="11"/>
  <c r="AB48" i="11"/>
  <c r="S45" i="11"/>
  <c r="DX79" i="11" l="1"/>
  <c r="DX154" i="11" s="1"/>
  <c r="DX75" i="11"/>
  <c r="DX80" i="11"/>
  <c r="DX141" i="11" s="1"/>
  <c r="N31" i="2"/>
  <c r="N31" i="28" s="1"/>
  <c r="O31" i="2"/>
  <c r="O31" i="28" s="1"/>
  <c r="P31" i="2"/>
  <c r="P31" i="28" s="1"/>
  <c r="N54" i="2"/>
  <c r="N54" i="28" s="1"/>
  <c r="O54" i="2"/>
  <c r="O54" i="28" s="1"/>
  <c r="P54" i="2"/>
  <c r="P54" i="28" s="1"/>
  <c r="N67" i="2"/>
  <c r="N67" i="28" s="1"/>
  <c r="O67" i="2"/>
  <c r="O67" i="28" s="1"/>
  <c r="P67" i="2"/>
  <c r="P67" i="28" s="1"/>
  <c r="N82" i="2"/>
  <c r="N82" i="28" s="1"/>
  <c r="O82" i="2"/>
  <c r="O82" i="28" s="1"/>
  <c r="P82" i="2"/>
  <c r="P82" i="28" s="1"/>
  <c r="DI120" i="11"/>
  <c r="DI93" i="11"/>
  <c r="DI137" i="11" s="1"/>
  <c r="DI105" i="11"/>
  <c r="DI163" i="11"/>
  <c r="T44" i="11"/>
  <c r="T43" i="11"/>
  <c r="T151" i="11" s="1"/>
  <c r="T39" i="11"/>
  <c r="AC48" i="11"/>
  <c r="DX119" i="11" l="1"/>
  <c r="DX81" i="11"/>
  <c r="DX136" i="11" s="1"/>
  <c r="DX104" i="11"/>
  <c r="DX162" i="11"/>
  <c r="DJ87" i="11"/>
  <c r="DJ92" i="11"/>
  <c r="DJ142" i="11" s="1"/>
  <c r="DJ91" i="11"/>
  <c r="DJ155" i="11" s="1"/>
  <c r="T116" i="11"/>
  <c r="T101" i="11"/>
  <c r="T159" i="11"/>
  <c r="AD48" i="11"/>
  <c r="T45" i="11"/>
  <c r="DY80" i="11" l="1"/>
  <c r="DY141" i="11" s="1"/>
  <c r="DY75" i="11"/>
  <c r="DY79" i="11"/>
  <c r="DY154" i="11" s="1"/>
  <c r="DJ120" i="11"/>
  <c r="DJ163" i="11"/>
  <c r="DJ93" i="11"/>
  <c r="DJ137" i="11" s="1"/>
  <c r="DJ105" i="11"/>
  <c r="U44" i="11"/>
  <c r="U43" i="11"/>
  <c r="U151" i="11" s="1"/>
  <c r="U39" i="11"/>
  <c r="AE48" i="11"/>
  <c r="H72" i="2" l="1"/>
  <c r="H72" i="28" s="1"/>
  <c r="I72" i="2"/>
  <c r="I72" i="28" s="1"/>
  <c r="J72" i="2"/>
  <c r="J72" i="28" s="1"/>
  <c r="K72" i="2"/>
  <c r="K72" i="28" s="1"/>
  <c r="L72" i="2"/>
  <c r="L72" i="28" s="1"/>
  <c r="M72" i="2"/>
  <c r="M72" i="28" s="1"/>
  <c r="N72" i="2"/>
  <c r="N72" i="28" s="1"/>
  <c r="O72" i="2"/>
  <c r="O72" i="28" s="1"/>
  <c r="P72" i="2"/>
  <c r="P72" i="28" s="1"/>
  <c r="Q72" i="2"/>
  <c r="Q72" i="28" s="1"/>
  <c r="H59" i="2"/>
  <c r="H59" i="28" s="1"/>
  <c r="I59" i="2"/>
  <c r="I59" i="28" s="1"/>
  <c r="J59" i="2"/>
  <c r="J59" i="28" s="1"/>
  <c r="K59" i="2"/>
  <c r="K59" i="28" s="1"/>
  <c r="L59" i="2"/>
  <c r="L59" i="28" s="1"/>
  <c r="M59" i="2"/>
  <c r="M59" i="28" s="1"/>
  <c r="N59" i="2"/>
  <c r="N59" i="28" s="1"/>
  <c r="O59" i="2"/>
  <c r="O59" i="28" s="1"/>
  <c r="P59" i="2"/>
  <c r="P59" i="28" s="1"/>
  <c r="Q59" i="2"/>
  <c r="Q59" i="28" s="1"/>
  <c r="DY162" i="11"/>
  <c r="Q82" i="2" s="1"/>
  <c r="Q82" i="28" s="1"/>
  <c r="Q67" i="2"/>
  <c r="Q67" i="28" s="1"/>
  <c r="DY81" i="11"/>
  <c r="DY136" i="11" s="1"/>
  <c r="DY104" i="11"/>
  <c r="Q31" i="2" s="1"/>
  <c r="Q31" i="28" s="1"/>
  <c r="DY119" i="11"/>
  <c r="DK92" i="11"/>
  <c r="DK142" i="11" s="1"/>
  <c r="DK87" i="11"/>
  <c r="DK91" i="11"/>
  <c r="DK155" i="11" s="1"/>
  <c r="U116" i="11"/>
  <c r="U101" i="11"/>
  <c r="U159" i="11"/>
  <c r="U45" i="11"/>
  <c r="AF48" i="11"/>
  <c r="Q54" i="2" l="1"/>
  <c r="Q54" i="28" s="1"/>
  <c r="DK163" i="11"/>
  <c r="DK93" i="11"/>
  <c r="DK137" i="11" s="1"/>
  <c r="DK105" i="11"/>
  <c r="DK120" i="11"/>
  <c r="E10" i="14"/>
  <c r="V44" i="11"/>
  <c r="V43" i="11"/>
  <c r="V151" i="11" s="1"/>
  <c r="AG48" i="11"/>
  <c r="V39" i="11"/>
  <c r="DL87" i="11" l="1"/>
  <c r="DL91" i="11"/>
  <c r="DL155" i="11" s="1"/>
  <c r="DL92" i="11"/>
  <c r="DL142" i="11" s="1"/>
  <c r="V116" i="11"/>
  <c r="V101" i="11"/>
  <c r="V159" i="11"/>
  <c r="AH48" i="11"/>
  <c r="V45" i="11"/>
  <c r="DL120" i="11" l="1"/>
  <c r="DL163" i="11"/>
  <c r="DL105" i="11"/>
  <c r="DL93" i="11"/>
  <c r="DL137" i="11" s="1"/>
  <c r="W43" i="11"/>
  <c r="W151" i="11" s="1"/>
  <c r="W44" i="11"/>
  <c r="AI48" i="11"/>
  <c r="W39" i="11"/>
  <c r="DM91" i="11" l="1"/>
  <c r="DM155" i="11" s="1"/>
  <c r="DM87" i="11"/>
  <c r="DM92" i="11"/>
  <c r="DM142" i="11" s="1"/>
  <c r="W116" i="11"/>
  <c r="W101" i="11"/>
  <c r="W159" i="11"/>
  <c r="W45" i="11"/>
  <c r="AJ48" i="11"/>
  <c r="DM120" i="11" l="1"/>
  <c r="DM93" i="11"/>
  <c r="DM137" i="11" s="1"/>
  <c r="DM105" i="11"/>
  <c r="DM163" i="11"/>
  <c r="X44" i="11"/>
  <c r="X43" i="11"/>
  <c r="X151" i="11" s="1"/>
  <c r="X39" i="11"/>
  <c r="AK48" i="11"/>
  <c r="DN92" i="11" l="1"/>
  <c r="DN142" i="11" s="1"/>
  <c r="DN91" i="11"/>
  <c r="DN155" i="11" s="1"/>
  <c r="DN87" i="11"/>
  <c r="X116" i="11"/>
  <c r="X101" i="11"/>
  <c r="X159" i="11"/>
  <c r="AL48" i="11"/>
  <c r="X45" i="11"/>
  <c r="DN105" i="11" l="1"/>
  <c r="DN93" i="11"/>
  <c r="DN137" i="11" s="1"/>
  <c r="DN163" i="11"/>
  <c r="DN120" i="11"/>
  <c r="Y43" i="11"/>
  <c r="Y151" i="11" s="1"/>
  <c r="Y44" i="11"/>
  <c r="AM48" i="11"/>
  <c r="Y39" i="11"/>
  <c r="DO87" i="11" l="1"/>
  <c r="DO92" i="11"/>
  <c r="DO142" i="11" s="1"/>
  <c r="DO91" i="11"/>
  <c r="DO155" i="11" s="1"/>
  <c r="Y116" i="11"/>
  <c r="Y101" i="11"/>
  <c r="Y159" i="11"/>
  <c r="AN48" i="11"/>
  <c r="Y45" i="11"/>
  <c r="DO120" i="11" l="1"/>
  <c r="DO163" i="11"/>
  <c r="DO105" i="11"/>
  <c r="DO93" i="11"/>
  <c r="DO137" i="11" s="1"/>
  <c r="Z44" i="11"/>
  <c r="Z43" i="11"/>
  <c r="Z151" i="11" s="1"/>
  <c r="Z39" i="11"/>
  <c r="AO48" i="11"/>
  <c r="DP87" i="11" l="1"/>
  <c r="DP92" i="11"/>
  <c r="DP142" i="11" s="1"/>
  <c r="DP91" i="11"/>
  <c r="DP155" i="11" s="1"/>
  <c r="Z116" i="11"/>
  <c r="Z101" i="11"/>
  <c r="Z159" i="11"/>
  <c r="AP48" i="11"/>
  <c r="Z45" i="11"/>
  <c r="DP163" i="11" l="1"/>
  <c r="DP120" i="11"/>
  <c r="DP105" i="11"/>
  <c r="DP93" i="11"/>
  <c r="DP137" i="11" s="1"/>
  <c r="AA44" i="11"/>
  <c r="AA43" i="11"/>
  <c r="AA151" i="11" s="1"/>
  <c r="AQ48" i="11"/>
  <c r="AA39" i="11"/>
  <c r="DQ91" i="11" l="1"/>
  <c r="DQ155" i="11" s="1"/>
  <c r="DQ87" i="11"/>
  <c r="DQ92" i="11"/>
  <c r="DQ142" i="11" s="1"/>
  <c r="AA116" i="11"/>
  <c r="AA101" i="11"/>
  <c r="AA159" i="11"/>
  <c r="AA45" i="11"/>
  <c r="AR48" i="11"/>
  <c r="DQ120" i="11" l="1"/>
  <c r="DQ105" i="11"/>
  <c r="DQ93" i="11"/>
  <c r="DQ137" i="11" s="1"/>
  <c r="DQ163" i="11"/>
  <c r="AB43" i="11"/>
  <c r="AB151" i="11" s="1"/>
  <c r="AB44" i="11"/>
  <c r="AB39" i="11"/>
  <c r="AS48" i="11"/>
  <c r="DR87" i="11" l="1"/>
  <c r="DR91" i="11"/>
  <c r="DR155" i="11" s="1"/>
  <c r="DR92" i="11"/>
  <c r="DR142" i="11" s="1"/>
  <c r="AB116" i="11"/>
  <c r="AB101" i="11"/>
  <c r="AB159" i="11"/>
  <c r="AB45" i="11"/>
  <c r="AT48" i="11"/>
  <c r="DR120" i="11" l="1"/>
  <c r="DR163" i="11"/>
  <c r="DR105" i="11"/>
  <c r="DR93" i="11"/>
  <c r="DR137" i="11" s="1"/>
  <c r="AC44" i="11"/>
  <c r="AC43" i="11"/>
  <c r="AC151" i="11" s="1"/>
  <c r="AU48" i="11"/>
  <c r="AC39" i="11"/>
  <c r="DS87" i="11" l="1"/>
  <c r="DS92" i="11"/>
  <c r="DS142" i="11" s="1"/>
  <c r="DS91" i="11"/>
  <c r="DS155" i="11" s="1"/>
  <c r="AC116" i="11"/>
  <c r="AC101" i="11"/>
  <c r="AC159" i="11"/>
  <c r="AC45" i="11"/>
  <c r="AV48" i="11"/>
  <c r="H70" i="2" l="1"/>
  <c r="H70" i="28" s="1"/>
  <c r="H57" i="2"/>
  <c r="H57" i="28" s="1"/>
  <c r="DS163" i="11"/>
  <c r="DS120" i="11"/>
  <c r="DS93" i="11"/>
  <c r="DS137" i="11" s="1"/>
  <c r="DS105" i="11"/>
  <c r="AD43" i="11"/>
  <c r="AD151" i="11" s="1"/>
  <c r="AD44" i="11"/>
  <c r="AW48" i="11"/>
  <c r="AD39" i="11"/>
  <c r="DT91" i="11" l="1"/>
  <c r="DT155" i="11" s="1"/>
  <c r="DT92" i="11"/>
  <c r="DT142" i="11" s="1"/>
  <c r="DT87" i="11"/>
  <c r="AD116" i="11"/>
  <c r="AD101" i="11"/>
  <c r="AD159" i="11"/>
  <c r="AD45" i="11"/>
  <c r="AX48" i="11"/>
  <c r="DT120" i="11" l="1"/>
  <c r="DT105" i="11"/>
  <c r="DT93" i="11"/>
  <c r="DT137" i="11" s="1"/>
  <c r="DT163" i="11"/>
  <c r="AE43" i="11"/>
  <c r="AE151" i="11" s="1"/>
  <c r="AE44" i="11"/>
  <c r="AE39" i="11"/>
  <c r="AY48" i="11"/>
  <c r="DU92" i="11" l="1"/>
  <c r="DU142" i="11" s="1"/>
  <c r="DU91" i="11"/>
  <c r="DU155" i="11" s="1"/>
  <c r="DU87" i="11"/>
  <c r="AE116" i="11"/>
  <c r="AE101" i="11"/>
  <c r="AE159" i="11"/>
  <c r="AE45" i="11"/>
  <c r="AZ48" i="11"/>
  <c r="DU120" i="11" l="1"/>
  <c r="DU105" i="11"/>
  <c r="DU93" i="11"/>
  <c r="DU137" i="11" s="1"/>
  <c r="DU163" i="11"/>
  <c r="AF44" i="11"/>
  <c r="AF43" i="11"/>
  <c r="AF151" i="11" s="1"/>
  <c r="AF39" i="11"/>
  <c r="BA48" i="11"/>
  <c r="DV87" i="11" l="1"/>
  <c r="DV91" i="11"/>
  <c r="DV155" i="11" s="1"/>
  <c r="DV92" i="11"/>
  <c r="DV142" i="11" s="1"/>
  <c r="AF116" i="11"/>
  <c r="AF101" i="11"/>
  <c r="AF159" i="11"/>
  <c r="AF45" i="11"/>
  <c r="BB48" i="11"/>
  <c r="DV120" i="11" l="1"/>
  <c r="DV163" i="11"/>
  <c r="DV105" i="11"/>
  <c r="DV93" i="11"/>
  <c r="DV137" i="11" s="1"/>
  <c r="AG43" i="11"/>
  <c r="AG151" i="11" s="1"/>
  <c r="AG44" i="11"/>
  <c r="AG39" i="11"/>
  <c r="BC48" i="11"/>
  <c r="DW92" i="11" l="1"/>
  <c r="DW142" i="11" s="1"/>
  <c r="DW87" i="11"/>
  <c r="DW91" i="11"/>
  <c r="DW155" i="11" s="1"/>
  <c r="AG116" i="11"/>
  <c r="AG101" i="11"/>
  <c r="AG159" i="11"/>
  <c r="BD48" i="11"/>
  <c r="AG45" i="11"/>
  <c r="DW163" i="11" l="1"/>
  <c r="DW105" i="11"/>
  <c r="DW93" i="11"/>
  <c r="DW137" i="11" s="1"/>
  <c r="DW120" i="11"/>
  <c r="F10" i="14"/>
  <c r="AH44" i="11"/>
  <c r="AH43" i="11"/>
  <c r="AH151" i="11" s="1"/>
  <c r="BE48" i="11"/>
  <c r="AH39" i="11"/>
  <c r="DX87" i="11" l="1"/>
  <c r="DX92" i="11"/>
  <c r="DX142" i="11" s="1"/>
  <c r="DX91" i="11"/>
  <c r="DX155" i="11" s="1"/>
  <c r="AH116" i="11"/>
  <c r="AH101" i="11"/>
  <c r="AH159" i="11"/>
  <c r="AH45" i="11"/>
  <c r="BF48" i="11"/>
  <c r="DX163" i="11" l="1"/>
  <c r="DX120" i="11"/>
  <c r="DX93" i="11"/>
  <c r="DX137" i="11" s="1"/>
  <c r="DX105" i="11"/>
  <c r="AI43" i="11"/>
  <c r="AI151" i="11" s="1"/>
  <c r="AI44" i="11"/>
  <c r="AI39" i="11"/>
  <c r="BG48" i="11"/>
  <c r="DY91" i="11" l="1"/>
  <c r="DY155" i="11" s="1"/>
  <c r="DY87" i="11"/>
  <c r="DY92" i="11"/>
  <c r="DY142" i="11" s="1"/>
  <c r="AI116" i="11"/>
  <c r="AI101" i="11"/>
  <c r="AI159" i="11"/>
  <c r="BH48" i="11"/>
  <c r="AI45" i="11"/>
  <c r="H73" i="2" l="1"/>
  <c r="H73" i="28" s="1"/>
  <c r="I73" i="2"/>
  <c r="I73" i="28" s="1"/>
  <c r="J73" i="2"/>
  <c r="J73" i="28" s="1"/>
  <c r="K73" i="2"/>
  <c r="K73" i="28" s="1"/>
  <c r="L73" i="2"/>
  <c r="L73" i="28" s="1"/>
  <c r="M73" i="2"/>
  <c r="M73" i="28" s="1"/>
  <c r="N73" i="2"/>
  <c r="N73" i="28" s="1"/>
  <c r="O73" i="2"/>
  <c r="O73" i="28" s="1"/>
  <c r="P73" i="2"/>
  <c r="P73" i="28" s="1"/>
  <c r="Q73" i="2"/>
  <c r="Q73" i="28" s="1"/>
  <c r="H60" i="2"/>
  <c r="H60" i="28" s="1"/>
  <c r="I60" i="2"/>
  <c r="I60" i="28" s="1"/>
  <c r="J60" i="2"/>
  <c r="J60" i="28" s="1"/>
  <c r="K60" i="2"/>
  <c r="K60" i="28" s="1"/>
  <c r="L60" i="2"/>
  <c r="L60" i="28" s="1"/>
  <c r="M60" i="2"/>
  <c r="M60" i="28" s="1"/>
  <c r="N60" i="2"/>
  <c r="N60" i="28" s="1"/>
  <c r="O60" i="2"/>
  <c r="O60" i="28" s="1"/>
  <c r="P60" i="2"/>
  <c r="P60" i="28" s="1"/>
  <c r="Q60" i="2"/>
  <c r="Q60" i="28" s="1"/>
  <c r="DY120" i="11"/>
  <c r="DY93" i="11"/>
  <c r="DY137" i="11" s="1"/>
  <c r="DY105" i="11"/>
  <c r="Q32" i="2" s="1"/>
  <c r="DY163" i="11"/>
  <c r="AJ43" i="11"/>
  <c r="AJ151" i="11" s="1"/>
  <c r="AJ44" i="11"/>
  <c r="BI48" i="11"/>
  <c r="AJ39" i="11"/>
  <c r="N83" i="2" l="1"/>
  <c r="N83" i="28" s="1"/>
  <c r="O83" i="2"/>
  <c r="O83" i="28" s="1"/>
  <c r="P83" i="2"/>
  <c r="P83" i="28" s="1"/>
  <c r="Q83" i="2"/>
  <c r="Q83" i="28" s="1"/>
  <c r="N68" i="2"/>
  <c r="N68" i="28" s="1"/>
  <c r="O68" i="2"/>
  <c r="O68" i="28" s="1"/>
  <c r="P68" i="2"/>
  <c r="P68" i="28" s="1"/>
  <c r="Q68" i="2"/>
  <c r="Q68" i="28" s="1"/>
  <c r="N55" i="2"/>
  <c r="N55" i="28" s="1"/>
  <c r="O55" i="2"/>
  <c r="O55" i="28" s="1"/>
  <c r="P55" i="2"/>
  <c r="P55" i="28" s="1"/>
  <c r="Q55" i="2"/>
  <c r="Q55" i="28" s="1"/>
  <c r="N32" i="2"/>
  <c r="N32" i="28" s="1"/>
  <c r="O32" i="2"/>
  <c r="O32" i="28" s="1"/>
  <c r="P32" i="2"/>
  <c r="P32" i="28" s="1"/>
  <c r="Q32" i="28"/>
  <c r="AJ116" i="11"/>
  <c r="AJ101" i="11"/>
  <c r="AJ159" i="11"/>
  <c r="BJ48" i="11"/>
  <c r="AJ45" i="11"/>
  <c r="AK44" i="11" l="1"/>
  <c r="AK43" i="11"/>
  <c r="AK151" i="11" s="1"/>
  <c r="AK39" i="11"/>
  <c r="BK48" i="11"/>
  <c r="AK116" i="11" l="1"/>
  <c r="AK101" i="11"/>
  <c r="AK159" i="11"/>
  <c r="AK45" i="11"/>
  <c r="BL48" i="11"/>
  <c r="AL43" i="11" l="1"/>
  <c r="AL151" i="11" s="1"/>
  <c r="AL44" i="11"/>
  <c r="BM48" i="11"/>
  <c r="AL39" i="11"/>
  <c r="AL116" i="11" l="1"/>
  <c r="AL101" i="11"/>
  <c r="AL159" i="11"/>
  <c r="AL45" i="11"/>
  <c r="BN48" i="11"/>
  <c r="AM43" i="11" l="1"/>
  <c r="AM151" i="11" s="1"/>
  <c r="AM44" i="11"/>
  <c r="BO48" i="11"/>
  <c r="AM39" i="11"/>
  <c r="AM116" i="11" l="1"/>
  <c r="AM101" i="11"/>
  <c r="AM159" i="11"/>
  <c r="AM45" i="11"/>
  <c r="BP48" i="11"/>
  <c r="AN44" i="11" l="1"/>
  <c r="AN43" i="11"/>
  <c r="AN151" i="11" s="1"/>
  <c r="AN39" i="11"/>
  <c r="BQ48" i="11"/>
  <c r="AN116" i="11" l="1"/>
  <c r="AN101" i="11"/>
  <c r="AN159" i="11"/>
  <c r="BR48" i="11"/>
  <c r="AN45" i="11"/>
  <c r="AO44" i="11" l="1"/>
  <c r="AO43" i="11"/>
  <c r="AO151" i="11" s="1"/>
  <c r="AO39" i="11"/>
  <c r="BS48" i="11"/>
  <c r="AO116" i="11" l="1"/>
  <c r="AO101" i="11"/>
  <c r="AO159" i="11"/>
  <c r="AO45" i="11"/>
  <c r="BT48" i="11"/>
  <c r="AP43" i="11" l="1"/>
  <c r="AP151" i="11" s="1"/>
  <c r="AP44" i="11"/>
  <c r="BU48" i="11"/>
  <c r="AP39" i="11"/>
  <c r="AP116" i="11" l="1"/>
  <c r="AP101" i="11"/>
  <c r="AP159" i="11"/>
  <c r="BV48" i="11"/>
  <c r="AP45" i="11"/>
  <c r="AQ43" i="11" l="1"/>
  <c r="AQ151" i="11" s="1"/>
  <c r="AQ44" i="11"/>
  <c r="BW48" i="11"/>
  <c r="AQ39" i="11"/>
  <c r="AQ116" i="11" l="1"/>
  <c r="AQ101" i="11"/>
  <c r="AQ159" i="11"/>
  <c r="AQ45" i="11"/>
  <c r="BX48" i="11"/>
  <c r="AR43" i="11" l="1"/>
  <c r="AR151" i="11" s="1"/>
  <c r="AR44" i="11"/>
  <c r="BY48" i="11"/>
  <c r="AR39" i="11"/>
  <c r="AR116" i="11" l="1"/>
  <c r="AR101" i="11"/>
  <c r="AR159" i="11"/>
  <c r="AR45" i="11"/>
  <c r="BZ48" i="11"/>
  <c r="AS44" i="11" l="1"/>
  <c r="AS43" i="11"/>
  <c r="AS151" i="11" s="1"/>
  <c r="CA48" i="11"/>
  <c r="AS39" i="11"/>
  <c r="AS116" i="11" l="1"/>
  <c r="AS101" i="11"/>
  <c r="AS159" i="11"/>
  <c r="CB48" i="11"/>
  <c r="AS45" i="11"/>
  <c r="G10" i="14" l="1"/>
  <c r="AT43" i="11"/>
  <c r="AT151" i="11" s="1"/>
  <c r="AT44" i="11"/>
  <c r="CC48" i="11"/>
  <c r="CD48" i="11" s="1"/>
  <c r="CE48" i="11" s="1"/>
  <c r="CF48" i="11" s="1"/>
  <c r="CG48" i="11" s="1"/>
  <c r="CH48" i="11" s="1"/>
  <c r="CI48" i="11" s="1"/>
  <c r="CJ48" i="11" s="1"/>
  <c r="CK48" i="11" s="1"/>
  <c r="CL48" i="11" s="1"/>
  <c r="CM48" i="11" s="1"/>
  <c r="CN48" i="11" s="1"/>
  <c r="CO48" i="11" s="1"/>
  <c r="CP48" i="11" s="1"/>
  <c r="CQ48" i="11" s="1"/>
  <c r="CR48" i="11" s="1"/>
  <c r="CS48" i="11" s="1"/>
  <c r="CT48" i="11" s="1"/>
  <c r="CU48" i="11" s="1"/>
  <c r="CV48" i="11" s="1"/>
  <c r="CW48" i="11" s="1"/>
  <c r="CX48" i="11" s="1"/>
  <c r="CY48" i="11" s="1"/>
  <c r="CZ48" i="11" s="1"/>
  <c r="DA48" i="11" s="1"/>
  <c r="DB48" i="11" s="1"/>
  <c r="DC48" i="11" s="1"/>
  <c r="DD48" i="11" s="1"/>
  <c r="DE48" i="11" s="1"/>
  <c r="DF48" i="11" s="1"/>
  <c r="DG48" i="11" s="1"/>
  <c r="DH48" i="11" s="1"/>
  <c r="DI48" i="11" s="1"/>
  <c r="DJ48" i="11" s="1"/>
  <c r="DK48" i="11" s="1"/>
  <c r="DL48" i="11" s="1"/>
  <c r="DM48" i="11" s="1"/>
  <c r="DN48" i="11" s="1"/>
  <c r="DO48" i="11" s="1"/>
  <c r="DP48" i="11" s="1"/>
  <c r="DQ48" i="11" s="1"/>
  <c r="DR48" i="11" s="1"/>
  <c r="DS48" i="11" s="1"/>
  <c r="DT48" i="11" s="1"/>
  <c r="DU48" i="11" s="1"/>
  <c r="DV48" i="11" s="1"/>
  <c r="DW48" i="11" s="1"/>
  <c r="DX48" i="11" s="1"/>
  <c r="DY48" i="11" s="1"/>
  <c r="AT39" i="11"/>
  <c r="AT116" i="11" l="1"/>
  <c r="AT101" i="11"/>
  <c r="AT159" i="11"/>
  <c r="AT45" i="11"/>
  <c r="AU43" i="11" l="1"/>
  <c r="AU151" i="11" s="1"/>
  <c r="AU44" i="11"/>
  <c r="AU39" i="11"/>
  <c r="AU116" i="11" l="1"/>
  <c r="AU101" i="11"/>
  <c r="AU159" i="11"/>
  <c r="AU45" i="11"/>
  <c r="AV44" i="11" l="1"/>
  <c r="AV43" i="11"/>
  <c r="AV151" i="11" s="1"/>
  <c r="AV39" i="11"/>
  <c r="AV116" i="11" l="1"/>
  <c r="AV101" i="11"/>
  <c r="AV159" i="11"/>
  <c r="AV45" i="11"/>
  <c r="AW44" i="11" l="1"/>
  <c r="AW43" i="11"/>
  <c r="AW151" i="11" s="1"/>
  <c r="AW39" i="11"/>
  <c r="AW116" i="11" l="1"/>
  <c r="AW101" i="11"/>
  <c r="AW159" i="11"/>
  <c r="AW45" i="11"/>
  <c r="AX43" i="11" l="1"/>
  <c r="AX151" i="11" s="1"/>
  <c r="AX44" i="11"/>
  <c r="AX39" i="11"/>
  <c r="AX116" i="11" l="1"/>
  <c r="AX101" i="11"/>
  <c r="AX159" i="11"/>
  <c r="AX45" i="11"/>
  <c r="AY43" i="11" l="1"/>
  <c r="AY151" i="11" s="1"/>
  <c r="AY44" i="11"/>
  <c r="AY39" i="11"/>
  <c r="AY116" i="11" l="1"/>
  <c r="AY101" i="11"/>
  <c r="AY159" i="11"/>
  <c r="AY45" i="11"/>
  <c r="AZ44" i="11" l="1"/>
  <c r="AZ43" i="11"/>
  <c r="AZ151" i="11" s="1"/>
  <c r="AZ39" i="11"/>
  <c r="AZ116" i="11" l="1"/>
  <c r="AZ101" i="11"/>
  <c r="AZ159" i="11"/>
  <c r="AZ45" i="11"/>
  <c r="BA44" i="11" l="1"/>
  <c r="BA43" i="11"/>
  <c r="BA151" i="11" s="1"/>
  <c r="BA39" i="11"/>
  <c r="BA116" i="11" l="1"/>
  <c r="BA101" i="11"/>
  <c r="BA159" i="11"/>
  <c r="BA45" i="11"/>
  <c r="BB43" i="11" l="1"/>
  <c r="BB151" i="11" s="1"/>
  <c r="BB44" i="11"/>
  <c r="BB39" i="11"/>
  <c r="BB116" i="11" l="1"/>
  <c r="BB101" i="11"/>
  <c r="BB159" i="11"/>
  <c r="BB45" i="11"/>
  <c r="BC44" i="11" l="1"/>
  <c r="BC43" i="11"/>
  <c r="BC151" i="11" s="1"/>
  <c r="BC39" i="11"/>
  <c r="BC116" i="11" l="1"/>
  <c r="BC101" i="11"/>
  <c r="BC159" i="11"/>
  <c r="BC45" i="11"/>
  <c r="BD44" i="11" l="1"/>
  <c r="BD43" i="11"/>
  <c r="BD151" i="11" s="1"/>
  <c r="BD39" i="11"/>
  <c r="BD116" i="11" l="1"/>
  <c r="BD101" i="11"/>
  <c r="BD159" i="11"/>
  <c r="BD45" i="11"/>
  <c r="BE43" i="11" l="1"/>
  <c r="BE151" i="11" s="1"/>
  <c r="BE44" i="11"/>
  <c r="BE39" i="11"/>
  <c r="BE116" i="11" l="1"/>
  <c r="BE101" i="11"/>
  <c r="BE159" i="11"/>
  <c r="BE45" i="11"/>
  <c r="H10" i="14" l="1"/>
  <c r="BF43" i="11"/>
  <c r="BF151" i="11" s="1"/>
  <c r="BF44" i="11"/>
  <c r="BF39" i="11"/>
  <c r="BF116" i="11" l="1"/>
  <c r="BF101" i="11"/>
  <c r="BF159" i="11"/>
  <c r="BF45" i="11"/>
  <c r="BG43" i="11" l="1"/>
  <c r="BG151" i="11" s="1"/>
  <c r="BG44" i="11"/>
  <c r="BG39" i="11"/>
  <c r="BG116" i="11" l="1"/>
  <c r="BG101" i="11"/>
  <c r="BG159" i="11"/>
  <c r="BG45" i="11"/>
  <c r="BH44" i="11" l="1"/>
  <c r="BH43" i="11"/>
  <c r="BH151" i="11" s="1"/>
  <c r="BH39" i="11"/>
  <c r="BH116" i="11" l="1"/>
  <c r="BH101" i="11"/>
  <c r="BH159" i="11"/>
  <c r="BH45" i="11"/>
  <c r="BI43" i="11" l="1"/>
  <c r="BI151" i="11" s="1"/>
  <c r="BI44" i="11"/>
  <c r="BI39" i="11"/>
  <c r="BI116" i="11" l="1"/>
  <c r="BI101" i="11"/>
  <c r="BI159" i="11"/>
  <c r="BI45" i="11"/>
  <c r="BJ43" i="11" l="1"/>
  <c r="BJ151" i="11" s="1"/>
  <c r="BJ44" i="11"/>
  <c r="BJ39" i="11"/>
  <c r="BJ116" i="11" l="1"/>
  <c r="BJ101" i="11"/>
  <c r="BJ159" i="11"/>
  <c r="BJ45" i="11"/>
  <c r="BK44" i="11" l="1"/>
  <c r="BK43" i="11"/>
  <c r="BK151" i="11" s="1"/>
  <c r="BK39" i="11"/>
  <c r="BK116" i="11" l="1"/>
  <c r="BK101" i="11"/>
  <c r="BK159" i="11"/>
  <c r="BK45" i="11"/>
  <c r="BL43" i="11" l="1"/>
  <c r="BL151" i="11" s="1"/>
  <c r="BL44" i="11"/>
  <c r="BL39" i="11"/>
  <c r="BL116" i="11" l="1"/>
  <c r="BL101" i="11"/>
  <c r="BL159" i="11"/>
  <c r="BL45" i="11"/>
  <c r="BM43" i="11" l="1"/>
  <c r="BM151" i="11" s="1"/>
  <c r="BM44" i="11"/>
  <c r="BM39" i="11"/>
  <c r="BM116" i="11" l="1"/>
  <c r="BM101" i="11"/>
  <c r="BM159" i="11"/>
  <c r="BM45" i="11"/>
  <c r="BN44" i="11" l="1"/>
  <c r="BN43" i="11"/>
  <c r="BN151" i="11" s="1"/>
  <c r="BN39" i="11"/>
  <c r="BN116" i="11" l="1"/>
  <c r="BN101" i="11"/>
  <c r="BN159" i="11"/>
  <c r="BN45" i="11"/>
  <c r="BO43" i="11" l="1"/>
  <c r="BO151" i="11" s="1"/>
  <c r="BO44" i="11"/>
  <c r="BO39" i="11"/>
  <c r="BO116" i="11" l="1"/>
  <c r="BO101" i="11"/>
  <c r="BO159" i="11"/>
  <c r="BO45" i="11"/>
  <c r="BP44" i="11" l="1"/>
  <c r="BP43" i="11"/>
  <c r="BP151" i="11" s="1"/>
  <c r="BP39" i="11"/>
  <c r="BP116" i="11" l="1"/>
  <c r="BP101" i="11"/>
  <c r="BP159" i="11"/>
  <c r="BP45" i="11"/>
  <c r="BQ44" i="11" l="1"/>
  <c r="BQ43" i="11"/>
  <c r="BQ151" i="11" s="1"/>
  <c r="BQ39" i="11"/>
  <c r="BQ116" i="11" l="1"/>
  <c r="BQ101" i="11"/>
  <c r="BQ159" i="11"/>
  <c r="BQ45" i="11"/>
  <c r="I10" i="14" l="1"/>
  <c r="BR44" i="11"/>
  <c r="BR43" i="11"/>
  <c r="BR151" i="11" s="1"/>
  <c r="BR39" i="11"/>
  <c r="BR116" i="11" l="1"/>
  <c r="BR101" i="11"/>
  <c r="BR159" i="11"/>
  <c r="BR45" i="11"/>
  <c r="BS44" i="11" l="1"/>
  <c r="BS43" i="11"/>
  <c r="BS151" i="11" s="1"/>
  <c r="BS39" i="11"/>
  <c r="BS116" i="11" l="1"/>
  <c r="BS101" i="11"/>
  <c r="BS159" i="11"/>
  <c r="BS45" i="11"/>
  <c r="BT43" i="11" l="1"/>
  <c r="BT151" i="11" s="1"/>
  <c r="BT44" i="11"/>
  <c r="BT39" i="11"/>
  <c r="BT116" i="11" l="1"/>
  <c r="BT101" i="11"/>
  <c r="BT159" i="11"/>
  <c r="BT45" i="11"/>
  <c r="BU43" i="11" l="1"/>
  <c r="BU151" i="11" s="1"/>
  <c r="BU44" i="11"/>
  <c r="BU39" i="11"/>
  <c r="BU116" i="11" l="1"/>
  <c r="BU101" i="11"/>
  <c r="BU159" i="11"/>
  <c r="BU45" i="11"/>
  <c r="BV43" i="11" l="1"/>
  <c r="BV151" i="11" s="1"/>
  <c r="BV44" i="11"/>
  <c r="BV39" i="11"/>
  <c r="BV116" i="11" l="1"/>
  <c r="BV101" i="11"/>
  <c r="BV159" i="11"/>
  <c r="BV45" i="11"/>
  <c r="BW43" i="11" l="1"/>
  <c r="BW151" i="11" s="1"/>
  <c r="BW44" i="11"/>
  <c r="BW39" i="11"/>
  <c r="BW116" i="11" l="1"/>
  <c r="BW101" i="11"/>
  <c r="BW159" i="11"/>
  <c r="BW45" i="11"/>
  <c r="BX44" i="11" l="1"/>
  <c r="BX43" i="11"/>
  <c r="BX151" i="11" s="1"/>
  <c r="BX39" i="11"/>
  <c r="BX116" i="11" l="1"/>
  <c r="BX101" i="11"/>
  <c r="BX159" i="11"/>
  <c r="BX45" i="11"/>
  <c r="BY43" i="11" l="1"/>
  <c r="BY151" i="11" s="1"/>
  <c r="BY44" i="11"/>
  <c r="BY39" i="11"/>
  <c r="BY116" i="11" l="1"/>
  <c r="BY101" i="11"/>
  <c r="BY159" i="11"/>
  <c r="BY45" i="11"/>
  <c r="BZ44" i="11" l="1"/>
  <c r="BZ43" i="11"/>
  <c r="BZ151" i="11" s="1"/>
  <c r="BZ39" i="11"/>
  <c r="BZ116" i="11" l="1"/>
  <c r="BZ101" i="11"/>
  <c r="BZ159" i="11"/>
  <c r="BZ45" i="11"/>
  <c r="CA43" i="11" l="1"/>
  <c r="CA151" i="11" s="1"/>
  <c r="CA44" i="11"/>
  <c r="CA39" i="11"/>
  <c r="CA116" i="11" l="1"/>
  <c r="CA101" i="11"/>
  <c r="CA159" i="11"/>
  <c r="CA45" i="11"/>
  <c r="CB43" i="11" l="1"/>
  <c r="CB151" i="11" s="1"/>
  <c r="CB44" i="11"/>
  <c r="CB39" i="11"/>
  <c r="CB116" i="11" l="1"/>
  <c r="CB101" i="11"/>
  <c r="CB159" i="11"/>
  <c r="CB45" i="11"/>
  <c r="CC43" i="11" l="1"/>
  <c r="CC151" i="11" s="1"/>
  <c r="CC44" i="11"/>
  <c r="CC39" i="11"/>
  <c r="P69" i="2" l="1"/>
  <c r="P69" i="28" s="1"/>
  <c r="O69" i="2"/>
  <c r="O69" i="28" s="1"/>
  <c r="N69" i="2"/>
  <c r="N69" i="28" s="1"/>
  <c r="Q69" i="2"/>
  <c r="Q69" i="28" s="1"/>
  <c r="H69" i="2"/>
  <c r="H69" i="28" s="1"/>
  <c r="I69" i="2"/>
  <c r="I69" i="28" s="1"/>
  <c r="J69" i="2"/>
  <c r="J69" i="28" s="1"/>
  <c r="K69" i="2"/>
  <c r="K69" i="28" s="1"/>
  <c r="L69" i="2"/>
  <c r="L69" i="28" s="1"/>
  <c r="M69" i="2"/>
  <c r="M69" i="28" s="1"/>
  <c r="CC116" i="11"/>
  <c r="H64" i="2"/>
  <c r="I64" i="2"/>
  <c r="I64" i="28" s="1"/>
  <c r="J64" i="2"/>
  <c r="J64" i="28" s="1"/>
  <c r="K64" i="2"/>
  <c r="K64" i="28" s="1"/>
  <c r="L64" i="2"/>
  <c r="L64" i="28" s="1"/>
  <c r="M64" i="2"/>
  <c r="M64" i="28" s="1"/>
  <c r="CC101" i="11"/>
  <c r="CC159" i="11"/>
  <c r="CC45" i="11"/>
  <c r="CD39" i="11" l="1"/>
  <c r="CD159" i="11" s="1"/>
  <c r="J10" i="14"/>
  <c r="H64" i="28"/>
  <c r="H28" i="2"/>
  <c r="H28" i="28" s="1"/>
  <c r="I28" i="2"/>
  <c r="I28" i="28" s="1"/>
  <c r="J28" i="2"/>
  <c r="J28" i="28" s="1"/>
  <c r="K28" i="2"/>
  <c r="K28" i="28" s="1"/>
  <c r="L28" i="2"/>
  <c r="L28" i="28" s="1"/>
  <c r="M28" i="2"/>
  <c r="M28" i="28" s="1"/>
  <c r="H51" i="2"/>
  <c r="I51" i="2"/>
  <c r="I51" i="28" s="1"/>
  <c r="J51" i="2"/>
  <c r="J51" i="28" s="1"/>
  <c r="K51" i="2"/>
  <c r="K51" i="28" s="1"/>
  <c r="L51" i="2"/>
  <c r="L51" i="28" s="1"/>
  <c r="M51" i="2"/>
  <c r="M51" i="28" s="1"/>
  <c r="CD101" i="11" l="1"/>
  <c r="CD45" i="11"/>
  <c r="CE39" i="11" s="1"/>
  <c r="H51" i="28"/>
  <c r="H67" i="2"/>
  <c r="H67" i="28" s="1"/>
  <c r="CE101" i="11" l="1"/>
  <c r="CE159" i="11"/>
  <c r="CE45" i="11"/>
  <c r="H54" i="2"/>
  <c r="H54" i="28" s="1"/>
  <c r="J71" i="11"/>
  <c r="J33" i="11" l="1"/>
  <c r="J325" i="11" s="1"/>
  <c r="J72" i="11"/>
  <c r="J34" i="11" s="1"/>
  <c r="J298" i="11" s="1"/>
  <c r="CF39" i="11"/>
  <c r="K63" i="11"/>
  <c r="J174" i="11"/>
  <c r="J175" i="11" s="1"/>
  <c r="J173" i="11"/>
  <c r="J275" i="11"/>
  <c r="J308" i="11" s="1"/>
  <c r="J177" i="11"/>
  <c r="J311" i="11"/>
  <c r="J172" i="11"/>
  <c r="J228" i="11"/>
  <c r="J310" i="11" l="1"/>
  <c r="J326" i="11"/>
  <c r="J329" i="11"/>
  <c r="J309" i="11"/>
  <c r="J178" i="11"/>
  <c r="K69" i="11"/>
  <c r="K135" i="11" s="1"/>
  <c r="K143" i="11" s="1"/>
  <c r="K103" i="11"/>
  <c r="K161" i="11"/>
  <c r="K25" i="11"/>
  <c r="CF101" i="11"/>
  <c r="CF159" i="11"/>
  <c r="CF45" i="11"/>
  <c r="J297" i="11"/>
  <c r="J237" i="11"/>
  <c r="J205" i="11" l="1"/>
  <c r="J250" i="11"/>
  <c r="L68" i="11"/>
  <c r="L140" i="11" s="1"/>
  <c r="L67" i="11"/>
  <c r="L153" i="11" s="1"/>
  <c r="K36" i="11"/>
  <c r="CG39" i="11"/>
  <c r="K121" i="11"/>
  <c r="J211" i="11"/>
  <c r="J253" i="11"/>
  <c r="J312" i="11" l="1"/>
  <c r="L156" i="11"/>
  <c r="L29" i="11"/>
  <c r="L118" i="11"/>
  <c r="L30" i="11"/>
  <c r="K157" i="11"/>
  <c r="CG101" i="11"/>
  <c r="CG159" i="11"/>
  <c r="CG45" i="11"/>
  <c r="K186" i="11"/>
  <c r="K277" i="11" s="1"/>
  <c r="CH39" i="11" l="1"/>
  <c r="K113" i="11"/>
  <c r="K106" i="11"/>
  <c r="K71" i="11"/>
  <c r="K33" i="11" s="1"/>
  <c r="K325" i="11" s="1"/>
  <c r="K125" i="11" l="1"/>
  <c r="K326" i="11"/>
  <c r="K329" i="11"/>
  <c r="K168" i="11"/>
  <c r="K166" i="11"/>
  <c r="K167" i="11"/>
  <c r="CH101" i="11"/>
  <c r="CH159" i="11"/>
  <c r="CH45" i="11"/>
  <c r="L63" i="11"/>
  <c r="K174" i="11"/>
  <c r="K175" i="11" s="1"/>
  <c r="K275" i="11"/>
  <c r="K177" i="11"/>
  <c r="K172" i="11"/>
  <c r="K173" i="11"/>
  <c r="K228" i="11"/>
  <c r="K31" i="11"/>
  <c r="K327" i="11" s="1"/>
  <c r="K328" i="11" s="1"/>
  <c r="K72" i="11"/>
  <c r="K34" i="11" s="1"/>
  <c r="K311" i="11"/>
  <c r="K308" i="11" l="1"/>
  <c r="K310" i="11"/>
  <c r="L103" i="11"/>
  <c r="L69" i="11"/>
  <c r="L135" i="11" s="1"/>
  <c r="L143" i="11" s="1"/>
  <c r="L25" i="11"/>
  <c r="L161" i="11"/>
  <c r="K144" i="11"/>
  <c r="K205" i="11" s="1"/>
  <c r="CI39" i="11"/>
  <c r="K297" i="11"/>
  <c r="K298" i="11"/>
  <c r="K123" i="11"/>
  <c r="K127" i="11" l="1"/>
  <c r="M68" i="11"/>
  <c r="M140" i="11" s="1"/>
  <c r="M67" i="11"/>
  <c r="M153" i="11" s="1"/>
  <c r="L36" i="11"/>
  <c r="CI101" i="11"/>
  <c r="CI159" i="11"/>
  <c r="CI45" i="11"/>
  <c r="L121" i="11"/>
  <c r="K211" i="11"/>
  <c r="K237" i="11"/>
  <c r="K253" i="11"/>
  <c r="L186" i="11" s="1"/>
  <c r="L277" i="11" s="1"/>
  <c r="K178" i="11"/>
  <c r="K233" i="11" l="1"/>
  <c r="K128" i="11"/>
  <c r="M156" i="11"/>
  <c r="M29" i="11"/>
  <c r="M118" i="11"/>
  <c r="M30" i="11"/>
  <c r="CJ39" i="11"/>
  <c r="L157" i="11" l="1"/>
  <c r="CJ101" i="11"/>
  <c r="CJ159" i="11"/>
  <c r="CJ45" i="11"/>
  <c r="L113" i="11"/>
  <c r="L71" i="11"/>
  <c r="L33" i="11" s="1"/>
  <c r="L325" i="11" s="1"/>
  <c r="L326" i="11" l="1"/>
  <c r="L329" i="11"/>
  <c r="CK39" i="11"/>
  <c r="M63" i="11"/>
  <c r="L106" i="11"/>
  <c r="L311" i="11"/>
  <c r="L31" i="11"/>
  <c r="L327" i="11" s="1"/>
  <c r="L328" i="11" s="1"/>
  <c r="L72" i="11"/>
  <c r="L34" i="11" s="1"/>
  <c r="L125" i="11" l="1"/>
  <c r="L168" i="11"/>
  <c r="L166" i="11"/>
  <c r="L167" i="11"/>
  <c r="M103" i="11"/>
  <c r="M69" i="11"/>
  <c r="M135" i="11" s="1"/>
  <c r="M143" i="11" s="1"/>
  <c r="M25" i="11"/>
  <c r="M161" i="11"/>
  <c r="L144" i="11"/>
  <c r="L205" i="11" s="1"/>
  <c r="CK101" i="11"/>
  <c r="CK159" i="11"/>
  <c r="CK45" i="11"/>
  <c r="L174" i="11"/>
  <c r="L175" i="11" s="1"/>
  <c r="L275" i="11"/>
  <c r="L172" i="11"/>
  <c r="L177" i="11"/>
  <c r="L173" i="11"/>
  <c r="L228" i="11"/>
  <c r="L298" i="11"/>
  <c r="L297" i="11"/>
  <c r="L123" i="11"/>
  <c r="L127" i="11" l="1"/>
  <c r="L308" i="11"/>
  <c r="L310" i="11"/>
  <c r="N67" i="11"/>
  <c r="N153" i="11" s="1"/>
  <c r="N68" i="11"/>
  <c r="N140" i="11" s="1"/>
  <c r="M36" i="11"/>
  <c r="CL39" i="11"/>
  <c r="M121" i="11"/>
  <c r="L178" i="11"/>
  <c r="L211" i="11"/>
  <c r="L237" i="11"/>
  <c r="L253" i="11"/>
  <c r="M186" i="11" s="1"/>
  <c r="M277" i="11" s="1"/>
  <c r="L233" i="11" l="1"/>
  <c r="L128" i="11"/>
  <c r="N156" i="11"/>
  <c r="N118" i="11"/>
  <c r="N30" i="11"/>
  <c r="N29" i="11"/>
  <c r="M157" i="11"/>
  <c r="CL101" i="11"/>
  <c r="CL159" i="11"/>
  <c r="CL45" i="11"/>
  <c r="CM39" i="11" l="1"/>
  <c r="M106" i="11"/>
  <c r="M113" i="11"/>
  <c r="J236" i="11"/>
  <c r="M31" i="11"/>
  <c r="M327" i="11" s="1"/>
  <c r="M328" i="11" s="1"/>
  <c r="M71" i="11"/>
  <c r="M33" i="11" s="1"/>
  <c r="M325" i="11" s="1"/>
  <c r="M125" i="11" l="1"/>
  <c r="M326" i="11"/>
  <c r="M329" i="11"/>
  <c r="M168" i="11"/>
  <c r="M166" i="11"/>
  <c r="M167" i="11"/>
  <c r="CM101" i="11"/>
  <c r="CM159" i="11"/>
  <c r="CM45" i="11"/>
  <c r="J274" i="11"/>
  <c r="J292" i="11" s="1"/>
  <c r="N63" i="11"/>
  <c r="M174" i="11"/>
  <c r="M175" i="11" s="1"/>
  <c r="M275" i="11"/>
  <c r="J268" i="11"/>
  <c r="M177" i="11"/>
  <c r="M172" i="11"/>
  <c r="M173" i="11"/>
  <c r="M228" i="11"/>
  <c r="M72" i="11"/>
  <c r="M311" i="11"/>
  <c r="M297" i="11"/>
  <c r="M123" i="11"/>
  <c r="M127" i="11" l="1"/>
  <c r="M308" i="11"/>
  <c r="M310" i="11"/>
  <c r="N103" i="11"/>
  <c r="N69" i="11"/>
  <c r="N135" i="11" s="1"/>
  <c r="N143" i="11" s="1"/>
  <c r="N25" i="11"/>
  <c r="N161" i="11"/>
  <c r="M34" i="11"/>
  <c r="M298" i="11" s="1"/>
  <c r="M144" i="11"/>
  <c r="M205" i="11" s="1"/>
  <c r="CN39" i="11"/>
  <c r="M211" i="11"/>
  <c r="M237" i="11"/>
  <c r="M253" i="11"/>
  <c r="N186" i="11" s="1"/>
  <c r="N277" i="11" s="1"/>
  <c r="M178" i="11"/>
  <c r="M233" i="11" l="1"/>
  <c r="M128" i="11"/>
  <c r="O67" i="11"/>
  <c r="O68" i="11"/>
  <c r="O140" i="11" s="1"/>
  <c r="N36" i="11"/>
  <c r="CN101" i="11"/>
  <c r="CN159" i="11"/>
  <c r="CN45" i="11"/>
  <c r="N121" i="11"/>
  <c r="O153" i="11" l="1"/>
  <c r="O156" i="11" s="1"/>
  <c r="O118" i="11"/>
  <c r="O30" i="11"/>
  <c r="O29" i="11"/>
  <c r="CO39" i="11"/>
  <c r="N157" i="11" l="1"/>
  <c r="CO101" i="11"/>
  <c r="CO159" i="11"/>
  <c r="CO45" i="11"/>
  <c r="N106" i="11"/>
  <c r="N113" i="11"/>
  <c r="K250" i="11"/>
  <c r="N31" i="11"/>
  <c r="N327" i="11" s="1"/>
  <c r="N328" i="11" s="1"/>
  <c r="N71" i="11"/>
  <c r="N33" i="11" s="1"/>
  <c r="N325" i="11" s="1"/>
  <c r="K268" i="11" l="1"/>
  <c r="N125" i="11"/>
  <c r="N168" i="11"/>
  <c r="N326" i="11"/>
  <c r="N329" i="11"/>
  <c r="N166" i="11"/>
  <c r="N167" i="11"/>
  <c r="CP39" i="11"/>
  <c r="K274" i="11"/>
  <c r="K292" i="11" s="1"/>
  <c r="K236" i="11"/>
  <c r="O63" i="11"/>
  <c r="N174" i="11"/>
  <c r="N175" i="11" s="1"/>
  <c r="N275" i="11"/>
  <c r="N177" i="11"/>
  <c r="N172" i="11"/>
  <c r="N173" i="11"/>
  <c r="N72" i="11"/>
  <c r="N34" i="11" s="1"/>
  <c r="N311" i="11"/>
  <c r="N228" i="11"/>
  <c r="N123" i="11"/>
  <c r="N127" i="11" l="1"/>
  <c r="N308" i="11"/>
  <c r="N310" i="11"/>
  <c r="N298" i="11"/>
  <c r="O103" i="11"/>
  <c r="O69" i="11"/>
  <c r="O135" i="11" s="1"/>
  <c r="O143" i="11" s="1"/>
  <c r="O25" i="11"/>
  <c r="O161" i="11"/>
  <c r="N144" i="11"/>
  <c r="N205" i="11" s="1"/>
  <c r="CP101" i="11"/>
  <c r="CP159" i="11"/>
  <c r="CP45" i="11"/>
  <c r="N178" i="11"/>
  <c r="N297" i="11"/>
  <c r="N233" i="11" l="1"/>
  <c r="N128" i="11"/>
  <c r="P68" i="11"/>
  <c r="P140" i="11" s="1"/>
  <c r="P67" i="11"/>
  <c r="O36" i="11"/>
  <c r="CQ39" i="11"/>
  <c r="O121" i="11"/>
  <c r="N211" i="11"/>
  <c r="N253" i="11"/>
  <c r="O186" i="11" s="1"/>
  <c r="O277" i="11" s="1"/>
  <c r="N237" i="11"/>
  <c r="P153" i="11" l="1"/>
  <c r="P156" i="11" s="1"/>
  <c r="P29" i="11"/>
  <c r="P118" i="11"/>
  <c r="P30" i="11"/>
  <c r="CQ101" i="11"/>
  <c r="CQ159" i="11"/>
  <c r="CQ45" i="11"/>
  <c r="O157" i="11" l="1"/>
  <c r="CR39" i="11"/>
  <c r="O113" i="11"/>
  <c r="L250" i="11"/>
  <c r="L268" i="11" s="1"/>
  <c r="O71" i="11"/>
  <c r="O33" i="11" s="1"/>
  <c r="O325" i="11" s="1"/>
  <c r="O31" i="11"/>
  <c r="O327" i="11" s="1"/>
  <c r="O328" i="11" s="1"/>
  <c r="O329" i="11" l="1"/>
  <c r="O326" i="11"/>
  <c r="CR101" i="11"/>
  <c r="CR159" i="11"/>
  <c r="CR45" i="11"/>
  <c r="L274" i="11"/>
  <c r="L292" i="11" s="1"/>
  <c r="L236" i="11"/>
  <c r="P63" i="11"/>
  <c r="O106" i="11"/>
  <c r="O125" i="11" s="1"/>
  <c r="O311" i="11"/>
  <c r="O72" i="11"/>
  <c r="O123" i="11"/>
  <c r="O233" i="11" l="1"/>
  <c r="O168" i="11"/>
  <c r="O166" i="11"/>
  <c r="O167" i="11"/>
  <c r="P103" i="11"/>
  <c r="P69" i="11"/>
  <c r="P135" i="11" s="1"/>
  <c r="P143" i="11" s="1"/>
  <c r="P25" i="11"/>
  <c r="P161" i="11"/>
  <c r="O34" i="11"/>
  <c r="O298" i="11" s="1"/>
  <c r="O144" i="11"/>
  <c r="O205" i="11" s="1"/>
  <c r="CS39" i="11"/>
  <c r="O174" i="11"/>
  <c r="O175" i="11" s="1"/>
  <c r="O275" i="11"/>
  <c r="O173" i="11"/>
  <c r="O228" i="11"/>
  <c r="O177" i="11"/>
  <c r="O172" i="11"/>
  <c r="O297" i="11"/>
  <c r="O127" i="11" l="1"/>
  <c r="O128" i="11"/>
  <c r="O308" i="11"/>
  <c r="O310" i="11"/>
  <c r="Q68" i="11"/>
  <c r="Q140" i="11" s="1"/>
  <c r="Q67" i="11"/>
  <c r="P36" i="11"/>
  <c r="P311" i="11" s="1"/>
  <c r="CS101" i="11"/>
  <c r="CS159" i="11"/>
  <c r="CS45" i="11"/>
  <c r="P121" i="11"/>
  <c r="O178" i="11"/>
  <c r="O253" i="11"/>
  <c r="P186" i="11" s="1"/>
  <c r="P277" i="11" s="1"/>
  <c r="O211" i="11"/>
  <c r="O237" i="11"/>
  <c r="Q153" i="11" l="1"/>
  <c r="Q156" i="11" s="1"/>
  <c r="Q29" i="11"/>
  <c r="Q118" i="11"/>
  <c r="Q30" i="11"/>
  <c r="CT39" i="11"/>
  <c r="P157" i="11" l="1"/>
  <c r="CT101" i="11"/>
  <c r="CT159" i="11"/>
  <c r="CT45" i="11"/>
  <c r="P113" i="11"/>
  <c r="P31" i="11"/>
  <c r="P327" i="11" s="1"/>
  <c r="P328" i="11" s="1"/>
  <c r="P71" i="11"/>
  <c r="P33" i="11" s="1"/>
  <c r="P325" i="11" s="1"/>
  <c r="P329" i="11" l="1"/>
  <c r="P326" i="11"/>
  <c r="CU39" i="11"/>
  <c r="M274" i="11"/>
  <c r="M292" i="11" s="1"/>
  <c r="M236" i="11"/>
  <c r="Q63" i="11"/>
  <c r="P106" i="11"/>
  <c r="P125" i="11" s="1"/>
  <c r="P72" i="11"/>
  <c r="P123" i="11"/>
  <c r="M250" i="11"/>
  <c r="M268" i="11" s="1"/>
  <c r="P233" i="11" l="1"/>
  <c r="P168" i="11"/>
  <c r="P166" i="11"/>
  <c r="P167" i="11"/>
  <c r="P34" i="11"/>
  <c r="P298" i="11" s="1"/>
  <c r="Q103" i="11"/>
  <c r="Q69" i="11"/>
  <c r="Q135" i="11" s="1"/>
  <c r="Q143" i="11" s="1"/>
  <c r="Q25" i="11"/>
  <c r="Q161" i="11"/>
  <c r="P144" i="11"/>
  <c r="P205" i="11" s="1"/>
  <c r="CU101" i="11"/>
  <c r="CU159" i="11"/>
  <c r="CU45" i="11"/>
  <c r="P174" i="11"/>
  <c r="P175" i="11" s="1"/>
  <c r="P275" i="11"/>
  <c r="P228" i="11"/>
  <c r="P173" i="11"/>
  <c r="P177" i="11"/>
  <c r="P172" i="11"/>
  <c r="P297" i="11"/>
  <c r="P128" i="11" l="1"/>
  <c r="P127" i="11"/>
  <c r="P308" i="11"/>
  <c r="P310" i="11"/>
  <c r="R68" i="11"/>
  <c r="R140" i="11" s="1"/>
  <c r="R67" i="11"/>
  <c r="Q36" i="11"/>
  <c r="CV39" i="11"/>
  <c r="Q121" i="11"/>
  <c r="P178" i="11"/>
  <c r="P253" i="11"/>
  <c r="Q186" i="11" s="1"/>
  <c r="Q277" i="11" s="1"/>
  <c r="P211" i="11"/>
  <c r="P237" i="11"/>
  <c r="R153" i="11" l="1"/>
  <c r="R156" i="11" s="1"/>
  <c r="R29" i="11"/>
  <c r="R118" i="11"/>
  <c r="R30" i="11"/>
  <c r="Q157" i="11"/>
  <c r="CV101" i="11"/>
  <c r="CV159" i="11"/>
  <c r="CV45" i="11"/>
  <c r="CW39" i="11" l="1"/>
  <c r="Q113" i="11"/>
  <c r="Q106" i="11"/>
  <c r="Q31" i="11"/>
  <c r="Q327" i="11" s="1"/>
  <c r="Q328" i="11" s="1"/>
  <c r="Q71" i="11"/>
  <c r="Q33" i="11" s="1"/>
  <c r="Q325" i="11" s="1"/>
  <c r="Q125" i="11" l="1"/>
  <c r="Q168" i="11"/>
  <c r="Q329" i="11"/>
  <c r="Q326" i="11"/>
  <c r="Q166" i="11"/>
  <c r="Q167" i="11"/>
  <c r="CW101" i="11"/>
  <c r="CW159" i="11"/>
  <c r="CW45" i="11"/>
  <c r="N274" i="11"/>
  <c r="N292" i="11" s="1"/>
  <c r="N236" i="11"/>
  <c r="R63" i="11"/>
  <c r="Q174" i="11"/>
  <c r="Q175" i="11" s="1"/>
  <c r="Q275" i="11"/>
  <c r="Q123" i="11"/>
  <c r="Q177" i="11"/>
  <c r="Q173" i="11"/>
  <c r="Q172" i="11"/>
  <c r="Q72" i="11"/>
  <c r="Q311" i="11"/>
  <c r="N250" i="11"/>
  <c r="N268" i="11" s="1"/>
  <c r="Q228" i="11"/>
  <c r="Q127" i="11" l="1"/>
  <c r="Q308" i="11"/>
  <c r="Q310" i="11"/>
  <c r="R69" i="11"/>
  <c r="R135" i="11" s="1"/>
  <c r="R143" i="11" s="1"/>
  <c r="R103" i="11"/>
  <c r="R25" i="11"/>
  <c r="R161" i="11"/>
  <c r="Q34" i="11"/>
  <c r="Q298" i="11" s="1"/>
  <c r="Q144" i="11"/>
  <c r="Q205" i="11" s="1"/>
  <c r="CX39" i="11"/>
  <c r="Q178" i="11"/>
  <c r="Q297" i="11"/>
  <c r="Q233" i="11" l="1"/>
  <c r="Q128" i="11"/>
  <c r="S68" i="11"/>
  <c r="S140" i="11" s="1"/>
  <c r="S67" i="11"/>
  <c r="R36" i="11"/>
  <c r="CX101" i="11"/>
  <c r="CX159" i="11"/>
  <c r="CX45" i="11"/>
  <c r="R121" i="11"/>
  <c r="Q237" i="11"/>
  <c r="Q211" i="11"/>
  <c r="Q253" i="11"/>
  <c r="R186" i="11" s="1"/>
  <c r="R277" i="11" s="1"/>
  <c r="S153" i="11" l="1"/>
  <c r="S156" i="11" s="1"/>
  <c r="S29" i="11"/>
  <c r="S118" i="11"/>
  <c r="S30" i="11"/>
  <c r="CY39" i="11"/>
  <c r="R157" i="11" l="1"/>
  <c r="CY101" i="11"/>
  <c r="CY159" i="11"/>
  <c r="CY45" i="11"/>
  <c r="R113" i="11"/>
  <c r="R71" i="11"/>
  <c r="R33" i="11" s="1"/>
  <c r="R325" i="11" s="1"/>
  <c r="R31" i="11"/>
  <c r="R327" i="11" s="1"/>
  <c r="R328" i="11" s="1"/>
  <c r="R326" i="11" l="1"/>
  <c r="R329" i="11"/>
  <c r="CZ39" i="11"/>
  <c r="O274" i="11"/>
  <c r="O292" i="11" s="1"/>
  <c r="O236" i="11"/>
  <c r="S63" i="11"/>
  <c r="R106" i="11"/>
  <c r="O250" i="11"/>
  <c r="O268" i="11" s="1"/>
  <c r="R123" i="11"/>
  <c r="R311" i="11"/>
  <c r="R72" i="11"/>
  <c r="R125" i="11" l="1"/>
  <c r="R168" i="11"/>
  <c r="R166" i="11"/>
  <c r="R167" i="11"/>
  <c r="R34" i="11"/>
  <c r="R298" i="11" s="1"/>
  <c r="S69" i="11"/>
  <c r="S135" i="11" s="1"/>
  <c r="S143" i="11" s="1"/>
  <c r="S103" i="11"/>
  <c r="S25" i="11"/>
  <c r="S161" i="11"/>
  <c r="R144" i="11"/>
  <c r="R205" i="11" s="1"/>
  <c r="CZ101" i="11"/>
  <c r="CZ159" i="11"/>
  <c r="CZ45" i="11"/>
  <c r="R174" i="11"/>
  <c r="R175" i="11" s="1"/>
  <c r="R275" i="11"/>
  <c r="R173" i="11"/>
  <c r="R172" i="11"/>
  <c r="R228" i="11"/>
  <c r="R177" i="11"/>
  <c r="R297" i="11"/>
  <c r="R233" i="11" l="1"/>
  <c r="R127" i="11"/>
  <c r="R128" i="11"/>
  <c r="R308" i="11"/>
  <c r="R310" i="11"/>
  <c r="T67" i="11"/>
  <c r="T68" i="11"/>
  <c r="T140" i="11" s="1"/>
  <c r="S36" i="11"/>
  <c r="DA39" i="11"/>
  <c r="S121" i="11"/>
  <c r="R178" i="11"/>
  <c r="R253" i="11"/>
  <c r="S186" i="11" s="1"/>
  <c r="S277" i="11" s="1"/>
  <c r="R237" i="11"/>
  <c r="R211" i="11"/>
  <c r="T153" i="11" l="1"/>
  <c r="T156" i="11" s="1"/>
  <c r="T29" i="11"/>
  <c r="T118" i="11"/>
  <c r="T30" i="11"/>
  <c r="S157" i="11"/>
  <c r="DA101" i="11"/>
  <c r="DA159" i="11"/>
  <c r="DA45" i="11"/>
  <c r="DB39" i="11" l="1"/>
  <c r="S113" i="11"/>
  <c r="S71" i="11"/>
  <c r="S33" i="11" s="1"/>
  <c r="S325" i="11" s="1"/>
  <c r="S31" i="11"/>
  <c r="S327" i="11" s="1"/>
  <c r="S328" i="11" s="1"/>
  <c r="S326" i="11" l="1"/>
  <c r="S329" i="11"/>
  <c r="DB101" i="11"/>
  <c r="DB159" i="11"/>
  <c r="DB45" i="11"/>
  <c r="P274" i="11"/>
  <c r="P292" i="11" s="1"/>
  <c r="P236" i="11"/>
  <c r="T63" i="11"/>
  <c r="S106" i="11"/>
  <c r="S125" i="11" s="1"/>
  <c r="S311" i="11"/>
  <c r="S72" i="11"/>
  <c r="P250" i="11"/>
  <c r="P268" i="11" s="1"/>
  <c r="S123" i="11"/>
  <c r="S233" i="11" l="1"/>
  <c r="S168" i="11"/>
  <c r="S166" i="11"/>
  <c r="S167" i="11"/>
  <c r="T103" i="11"/>
  <c r="T69" i="11"/>
  <c r="T135" i="11" s="1"/>
  <c r="T143" i="11" s="1"/>
  <c r="T25" i="11"/>
  <c r="T161" i="11"/>
  <c r="S34" i="11"/>
  <c r="S298" i="11" s="1"/>
  <c r="S144" i="11"/>
  <c r="S205" i="11" s="1"/>
  <c r="DC39" i="11"/>
  <c r="S174" i="11"/>
  <c r="S175" i="11" s="1"/>
  <c r="S275" i="11"/>
  <c r="S177" i="11"/>
  <c r="S173" i="11"/>
  <c r="S228" i="11"/>
  <c r="S172" i="11"/>
  <c r="S297" i="11"/>
  <c r="S127" i="11" l="1"/>
  <c r="S128" i="11"/>
  <c r="S308" i="11"/>
  <c r="S310" i="11"/>
  <c r="U68" i="11"/>
  <c r="U140" i="11" s="1"/>
  <c r="U67" i="11"/>
  <c r="T36" i="11"/>
  <c r="DC101" i="11"/>
  <c r="DC159" i="11"/>
  <c r="DC45" i="11"/>
  <c r="T121" i="11"/>
  <c r="S178" i="11"/>
  <c r="S211" i="11"/>
  <c r="S237" i="11"/>
  <c r="S253" i="11"/>
  <c r="T186" i="11" s="1"/>
  <c r="T277" i="11" s="1"/>
  <c r="U153" i="11" l="1"/>
  <c r="U156" i="11" s="1"/>
  <c r="U29" i="11"/>
  <c r="U118" i="11"/>
  <c r="U30" i="11"/>
  <c r="DD39" i="11"/>
  <c r="T157" i="11" l="1"/>
  <c r="DD101" i="11"/>
  <c r="DD159" i="11"/>
  <c r="DD45" i="11"/>
  <c r="T113" i="11"/>
  <c r="T71" i="11"/>
  <c r="T33" i="11" s="1"/>
  <c r="T325" i="11" s="1"/>
  <c r="T31" i="11"/>
  <c r="T327" i="11" s="1"/>
  <c r="T328" i="11" s="1"/>
  <c r="T326" i="11" l="1"/>
  <c r="T329" i="11"/>
  <c r="DE39" i="11"/>
  <c r="Q274" i="11"/>
  <c r="Q292" i="11" s="1"/>
  <c r="Q236" i="11"/>
  <c r="U63" i="11"/>
  <c r="T106" i="11"/>
  <c r="T125" i="11" s="1"/>
  <c r="T311" i="11"/>
  <c r="Q250" i="11"/>
  <c r="Q268" i="11" s="1"/>
  <c r="T123" i="11"/>
  <c r="T72" i="11"/>
  <c r="T233" i="11" l="1"/>
  <c r="T168" i="11"/>
  <c r="T166" i="11"/>
  <c r="T167" i="11"/>
  <c r="U103" i="11"/>
  <c r="U69" i="11"/>
  <c r="U135" i="11" s="1"/>
  <c r="U143" i="11" s="1"/>
  <c r="U25" i="11"/>
  <c r="U161" i="11"/>
  <c r="T34" i="11"/>
  <c r="T298" i="11" s="1"/>
  <c r="T144" i="11"/>
  <c r="T205" i="11" s="1"/>
  <c r="DE101" i="11"/>
  <c r="DE159" i="11"/>
  <c r="DE45" i="11"/>
  <c r="T174" i="11"/>
  <c r="T175" i="11" s="1"/>
  <c r="T275" i="11"/>
  <c r="T173" i="11"/>
  <c r="T172" i="11"/>
  <c r="T177" i="11"/>
  <c r="T228" i="11"/>
  <c r="T297" i="11"/>
  <c r="T127" i="11" l="1"/>
  <c r="T128" i="11"/>
  <c r="T308" i="11"/>
  <c r="T310" i="11"/>
  <c r="V67" i="11"/>
  <c r="V153" i="11" s="1"/>
  <c r="V68" i="11"/>
  <c r="V140" i="11" s="1"/>
  <c r="U36" i="11"/>
  <c r="DF39" i="11"/>
  <c r="U121" i="11"/>
  <c r="T178" i="11"/>
  <c r="T211" i="11"/>
  <c r="T237" i="11"/>
  <c r="T253" i="11"/>
  <c r="U186" i="11" s="1"/>
  <c r="U277" i="11" s="1"/>
  <c r="V118" i="11" l="1"/>
  <c r="V30" i="11"/>
  <c r="V29" i="11"/>
  <c r="U157" i="11"/>
  <c r="DF101" i="11"/>
  <c r="DF159" i="11"/>
  <c r="DF45" i="11"/>
  <c r="DG39" i="11" l="1"/>
  <c r="U113" i="11"/>
  <c r="U71" i="11"/>
  <c r="U33" i="11" s="1"/>
  <c r="U325" i="11" s="1"/>
  <c r="U326" i="11" l="1"/>
  <c r="U329" i="11"/>
  <c r="U144" i="11"/>
  <c r="U205" i="11" s="1"/>
  <c r="DG101" i="11"/>
  <c r="DG159" i="11"/>
  <c r="DG45" i="11"/>
  <c r="R274" i="11"/>
  <c r="R292" i="11" s="1"/>
  <c r="R236" i="11"/>
  <c r="V63" i="11"/>
  <c r="E12" i="14"/>
  <c r="E15" i="14" s="1"/>
  <c r="E39" i="14" s="1"/>
  <c r="U106" i="11"/>
  <c r="U125" i="11" s="1"/>
  <c r="U123" i="11"/>
  <c r="U72" i="11"/>
  <c r="U34" i="11" s="1"/>
  <c r="H21" i="28" s="1"/>
  <c r="R250" i="11"/>
  <c r="R268" i="11" s="1"/>
  <c r="U311" i="11"/>
  <c r="H221" i="28" s="1"/>
  <c r="U31" i="11"/>
  <c r="H21" i="2" l="1"/>
  <c r="H207" i="2" s="1"/>
  <c r="U327" i="11"/>
  <c r="U328" i="11" s="1"/>
  <c r="H18" i="2"/>
  <c r="H18" i="28" s="1"/>
  <c r="U233" i="11"/>
  <c r="U168" i="11"/>
  <c r="U166" i="11"/>
  <c r="U167" i="11"/>
  <c r="V103" i="11"/>
  <c r="V69" i="11"/>
  <c r="V135" i="11" s="1"/>
  <c r="V25" i="11"/>
  <c r="V161" i="11"/>
  <c r="H221" i="2"/>
  <c r="H234" i="28"/>
  <c r="DH39" i="11"/>
  <c r="E19" i="14"/>
  <c r="I39" i="14" s="1"/>
  <c r="E18" i="14"/>
  <c r="H39" i="14" s="1"/>
  <c r="E17" i="14"/>
  <c r="G39" i="14" s="1"/>
  <c r="E16" i="14"/>
  <c r="F39" i="14" s="1"/>
  <c r="U174" i="11"/>
  <c r="U175" i="11" s="1"/>
  <c r="U275" i="11"/>
  <c r="U173" i="11"/>
  <c r="U172" i="11"/>
  <c r="U228" i="11"/>
  <c r="U177" i="11"/>
  <c r="U297" i="11"/>
  <c r="I12" i="2" l="1"/>
  <c r="J52" i="14"/>
  <c r="U128" i="11"/>
  <c r="U127" i="11"/>
  <c r="H232" i="28"/>
  <c r="U308" i="11"/>
  <c r="U310" i="11"/>
  <c r="H234" i="2"/>
  <c r="W68" i="11"/>
  <c r="W140" i="11" s="1"/>
  <c r="W67" i="11"/>
  <c r="W153" i="11" s="1"/>
  <c r="H232" i="2"/>
  <c r="H235" i="28"/>
  <c r="DH101" i="11"/>
  <c r="DH159" i="11"/>
  <c r="DH45" i="11"/>
  <c r="J65" i="14"/>
  <c r="J57" i="14"/>
  <c r="H184" i="2"/>
  <c r="H184" i="28" s="1"/>
  <c r="J55" i="14"/>
  <c r="J59" i="14"/>
  <c r="J60" i="14"/>
  <c r="J54" i="14"/>
  <c r="J56" i="14"/>
  <c r="J67" i="14"/>
  <c r="U298" i="11"/>
  <c r="H207" i="28"/>
  <c r="V121" i="11"/>
  <c r="U253" i="11"/>
  <c r="U237" i="11"/>
  <c r="U211" i="11"/>
  <c r="H233" i="28"/>
  <c r="H236" i="28"/>
  <c r="U178" i="11"/>
  <c r="W118" i="11" l="1"/>
  <c r="H236" i="2"/>
  <c r="H233" i="2"/>
  <c r="H235" i="2"/>
  <c r="DI39" i="11"/>
  <c r="V186" i="11"/>
  <c r="V277" i="11" s="1"/>
  <c r="H186" i="2"/>
  <c r="H186" i="28" s="1"/>
  <c r="DI101" i="11" l="1"/>
  <c r="DI159" i="11"/>
  <c r="DI45" i="11"/>
  <c r="V71" i="11"/>
  <c r="DJ39" i="11" l="1"/>
  <c r="W63" i="11"/>
  <c r="V72" i="11"/>
  <c r="W103" i="11" l="1"/>
  <c r="W69" i="11"/>
  <c r="W135" i="11" s="1"/>
  <c r="W161" i="11"/>
  <c r="DJ101" i="11"/>
  <c r="DJ159" i="11"/>
  <c r="DJ45" i="11"/>
  <c r="X68" i="11" l="1"/>
  <c r="X140" i="11" s="1"/>
  <c r="X67" i="11"/>
  <c r="X153" i="11" s="1"/>
  <c r="DK39" i="11"/>
  <c r="V253" i="11"/>
  <c r="W186" i="11" s="1"/>
  <c r="W277" i="11" s="1"/>
  <c r="V211" i="11"/>
  <c r="V237" i="11"/>
  <c r="X118" i="11" l="1"/>
  <c r="DK101" i="11"/>
  <c r="DK159" i="11"/>
  <c r="DK45" i="11"/>
  <c r="DL39" i="11" l="1"/>
  <c r="W71" i="11"/>
  <c r="DL101" i="11" l="1"/>
  <c r="DL159" i="11"/>
  <c r="DL45" i="11"/>
  <c r="X63" i="11"/>
  <c r="W72" i="11"/>
  <c r="X103" i="11" l="1"/>
  <c r="X69" i="11"/>
  <c r="X135" i="11" s="1"/>
  <c r="X161" i="11"/>
  <c r="DM39" i="11"/>
  <c r="Y68" i="11" l="1"/>
  <c r="Y140" i="11" s="1"/>
  <c r="Y67" i="11"/>
  <c r="Y153" i="11" s="1"/>
  <c r="DM101" i="11"/>
  <c r="DM159" i="11"/>
  <c r="DM45" i="11"/>
  <c r="W237" i="11"/>
  <c r="W253" i="11"/>
  <c r="X186" i="11" s="1"/>
  <c r="X277" i="11" s="1"/>
  <c r="W211" i="11"/>
  <c r="Y118" i="11" l="1"/>
  <c r="DN39" i="11"/>
  <c r="DN101" i="11" l="1"/>
  <c r="DN159" i="11"/>
  <c r="DN45" i="11"/>
  <c r="X71" i="11"/>
  <c r="DO39" i="11" l="1"/>
  <c r="Y63" i="11"/>
  <c r="X72" i="11"/>
  <c r="Y103" i="11" l="1"/>
  <c r="Y69" i="11"/>
  <c r="Y135" i="11" s="1"/>
  <c r="Y161" i="11"/>
  <c r="DO101" i="11"/>
  <c r="DO159" i="11"/>
  <c r="DO45" i="11"/>
  <c r="Z68" i="11" l="1"/>
  <c r="Z140" i="11" s="1"/>
  <c r="Z67" i="11"/>
  <c r="Z153" i="11" s="1"/>
  <c r="DP39" i="11"/>
  <c r="X211" i="11"/>
  <c r="X237" i="11"/>
  <c r="X253" i="11"/>
  <c r="Y186" i="11" s="1"/>
  <c r="Y277" i="11" s="1"/>
  <c r="Z118" i="11" l="1"/>
  <c r="DP101" i="11"/>
  <c r="DP159" i="11"/>
  <c r="DP45" i="11"/>
  <c r="DQ39" i="11" l="1"/>
  <c r="Y71" i="11"/>
  <c r="DQ101" i="11" l="1"/>
  <c r="DQ159" i="11"/>
  <c r="DQ45" i="11"/>
  <c r="Z63" i="11"/>
  <c r="Y72" i="11"/>
  <c r="Z69" i="11" l="1"/>
  <c r="Z135" i="11" s="1"/>
  <c r="Z103" i="11"/>
  <c r="Z161" i="11"/>
  <c r="DR39" i="11"/>
  <c r="H108" i="2"/>
  <c r="H108" i="28" s="1"/>
  <c r="AA68" i="11" l="1"/>
  <c r="AA140" i="11" s="1"/>
  <c r="AA67" i="11"/>
  <c r="DR101" i="11"/>
  <c r="DR159" i="11"/>
  <c r="DR45" i="11"/>
  <c r="Y237" i="11"/>
  <c r="Y211" i="11"/>
  <c r="Y253" i="11"/>
  <c r="Z186" i="11" s="1"/>
  <c r="Z277" i="11" s="1"/>
  <c r="AA153" i="11" l="1"/>
  <c r="AA118" i="11"/>
  <c r="DS39" i="11"/>
  <c r="DS101" i="11" l="1"/>
  <c r="DS159" i="11"/>
  <c r="DS45" i="11"/>
  <c r="Z71" i="11"/>
  <c r="DT39" i="11" l="1"/>
  <c r="AA63" i="11"/>
  <c r="Z72" i="11"/>
  <c r="AA69" i="11" l="1"/>
  <c r="AA135" i="11" s="1"/>
  <c r="AA103" i="11"/>
  <c r="AA161" i="11"/>
  <c r="DT101" i="11"/>
  <c r="DT159" i="11"/>
  <c r="DT45" i="11"/>
  <c r="AB68" i="11" l="1"/>
  <c r="AB140" i="11" s="1"/>
  <c r="AB67" i="11"/>
  <c r="DU39" i="11"/>
  <c r="Z253" i="11"/>
  <c r="AA186" i="11" s="1"/>
  <c r="AA277" i="11" s="1"/>
  <c r="Z211" i="11"/>
  <c r="Z237" i="11"/>
  <c r="AB153" i="11" l="1"/>
  <c r="AB118" i="11"/>
  <c r="DU101" i="11"/>
  <c r="DU159" i="11"/>
  <c r="DU45" i="11"/>
  <c r="DV39" i="11" l="1"/>
  <c r="AA71" i="11"/>
  <c r="DV101" i="11" l="1"/>
  <c r="DV159" i="11"/>
  <c r="DV45" i="11"/>
  <c r="AB63" i="11"/>
  <c r="AA72" i="11"/>
  <c r="AB103" i="11" l="1"/>
  <c r="AB69" i="11"/>
  <c r="AB135" i="11" s="1"/>
  <c r="AB161" i="11"/>
  <c r="DW39" i="11"/>
  <c r="AC68" i="11" l="1"/>
  <c r="AC140" i="11" s="1"/>
  <c r="AC67" i="11"/>
  <c r="DW101" i="11"/>
  <c r="DW159" i="11"/>
  <c r="DW45" i="11"/>
  <c r="AA253" i="11"/>
  <c r="AB186" i="11" s="1"/>
  <c r="AB277" i="11" s="1"/>
  <c r="AA211" i="11"/>
  <c r="AA237" i="11"/>
  <c r="AC153" i="11" l="1"/>
  <c r="AC118" i="11"/>
  <c r="DX39" i="11"/>
  <c r="DX101" i="11" l="1"/>
  <c r="DX159" i="11"/>
  <c r="DX45" i="11"/>
  <c r="AB71" i="11"/>
  <c r="DY39" i="11" l="1"/>
  <c r="AC63" i="11"/>
  <c r="AB72" i="11"/>
  <c r="AC103" i="11" l="1"/>
  <c r="AC69" i="11"/>
  <c r="AC135" i="11" s="1"/>
  <c r="AC161" i="11"/>
  <c r="DY101" i="11"/>
  <c r="DY159" i="11"/>
  <c r="DY45" i="11"/>
  <c r="AD68" i="11" l="1"/>
  <c r="AD140" i="11" s="1"/>
  <c r="AD67" i="11"/>
  <c r="N79" i="2"/>
  <c r="O79" i="2"/>
  <c r="P79" i="2"/>
  <c r="Q79" i="2"/>
  <c r="N28" i="2"/>
  <c r="O28" i="2"/>
  <c r="P28" i="2"/>
  <c r="Q28" i="2"/>
  <c r="AB211" i="11"/>
  <c r="AB237" i="11"/>
  <c r="AB253" i="11"/>
  <c r="AC186" i="11" s="1"/>
  <c r="AC277" i="11" s="1"/>
  <c r="AD153" i="11" l="1"/>
  <c r="AD118" i="11"/>
  <c r="Q28" i="28"/>
  <c r="P28" i="28"/>
  <c r="O28" i="28"/>
  <c r="N28" i="28"/>
  <c r="Q79" i="28"/>
  <c r="P79" i="28"/>
  <c r="O79" i="28"/>
  <c r="N79" i="28"/>
  <c r="AC71" i="11" l="1"/>
  <c r="AD63" i="11" l="1"/>
  <c r="AC72" i="11"/>
  <c r="AD103" i="11" l="1"/>
  <c r="AD69" i="11"/>
  <c r="AD135" i="11" s="1"/>
  <c r="AD161" i="11"/>
  <c r="AE68" i="11" l="1"/>
  <c r="AE140" i="11" s="1"/>
  <c r="AE67" i="11"/>
  <c r="AC237" i="11"/>
  <c r="AC211" i="11"/>
  <c r="AC253" i="11"/>
  <c r="AD186" i="11" s="1"/>
  <c r="AD277" i="11" s="1"/>
  <c r="AE153" i="11" l="1"/>
  <c r="AE118" i="11"/>
  <c r="AD71" i="11" l="1"/>
  <c r="AE63" i="11" l="1"/>
  <c r="AD72" i="11"/>
  <c r="AE103" i="11" l="1"/>
  <c r="AE69" i="11"/>
  <c r="AE135" i="11" s="1"/>
  <c r="AE161" i="11"/>
  <c r="AF68" i="11" l="1"/>
  <c r="AF140" i="11" s="1"/>
  <c r="AF67" i="11"/>
  <c r="AD237" i="11"/>
  <c r="AD253" i="11"/>
  <c r="AE186" i="11" s="1"/>
  <c r="AE277" i="11" s="1"/>
  <c r="AD211" i="11"/>
  <c r="AF153" i="11" l="1"/>
  <c r="AF118" i="11"/>
  <c r="AE71" i="11" l="1"/>
  <c r="AF63" i="11" l="1"/>
  <c r="AE72" i="11"/>
  <c r="AF103" i="11" l="1"/>
  <c r="AF69" i="11"/>
  <c r="AF135" i="11" s="1"/>
  <c r="AF161" i="11"/>
  <c r="AG68" i="11" l="1"/>
  <c r="AG140" i="11" s="1"/>
  <c r="AG67" i="11"/>
  <c r="AE253" i="11"/>
  <c r="AF186" i="11" s="1"/>
  <c r="AF277" i="11" s="1"/>
  <c r="AE211" i="11"/>
  <c r="AE237" i="11"/>
  <c r="AG153" i="11" l="1"/>
  <c r="AG118" i="11"/>
  <c r="AF71" i="11" l="1"/>
  <c r="AG63" i="11" l="1"/>
  <c r="AF72" i="11"/>
  <c r="AG103" i="11" l="1"/>
  <c r="AG69" i="11"/>
  <c r="AG135" i="11" s="1"/>
  <c r="AG161" i="11"/>
  <c r="AH68" i="11" l="1"/>
  <c r="AH140" i="11" s="1"/>
  <c r="AH67" i="11"/>
  <c r="AH153" i="11" s="1"/>
  <c r="AF211" i="11"/>
  <c r="AF237" i="11"/>
  <c r="AF253" i="11"/>
  <c r="AG186" i="11" s="1"/>
  <c r="AG277" i="11" s="1"/>
  <c r="AH118" i="11" l="1"/>
  <c r="AG71" i="11" l="1"/>
  <c r="AH63" i="11" l="1"/>
  <c r="F12" i="14"/>
  <c r="AG72" i="11"/>
  <c r="AH69" i="11" l="1"/>
  <c r="AH135" i="11" s="1"/>
  <c r="AH103" i="11"/>
  <c r="AH161" i="11"/>
  <c r="AI68" i="11" l="1"/>
  <c r="AI140" i="11" s="1"/>
  <c r="AI67" i="11"/>
  <c r="AI153" i="11" s="1"/>
  <c r="AG253" i="11"/>
  <c r="AG211" i="11"/>
  <c r="AG237" i="11"/>
  <c r="AI118" i="11" l="1"/>
  <c r="I186" i="2"/>
  <c r="I186" i="28" s="1"/>
  <c r="AH186" i="11"/>
  <c r="AH277" i="11" s="1"/>
  <c r="AH71" i="11" l="1"/>
  <c r="AI63" i="11" l="1"/>
  <c r="AH72" i="11"/>
  <c r="AI69" i="11" l="1"/>
  <c r="AI135" i="11" s="1"/>
  <c r="AI103" i="11"/>
  <c r="AI161" i="11"/>
  <c r="AJ68" i="11" l="1"/>
  <c r="AJ140" i="11" s="1"/>
  <c r="AJ67" i="11"/>
  <c r="AJ153" i="11" s="1"/>
  <c r="AH237" i="11"/>
  <c r="AH211" i="11"/>
  <c r="AH253" i="11"/>
  <c r="AI186" i="11" s="1"/>
  <c r="AI277" i="11" s="1"/>
  <c r="AJ118" i="11" l="1"/>
  <c r="AI71" i="11" l="1"/>
  <c r="AJ63" i="11" l="1"/>
  <c r="AI72" i="11"/>
  <c r="AJ103" i="11" l="1"/>
  <c r="AJ69" i="11"/>
  <c r="AJ135" i="11" s="1"/>
  <c r="AJ161" i="11"/>
  <c r="AK68" i="11" l="1"/>
  <c r="AK140" i="11" s="1"/>
  <c r="AK67" i="11"/>
  <c r="AK153" i="11" s="1"/>
  <c r="AI211" i="11"/>
  <c r="AI237" i="11"/>
  <c r="AI253" i="11"/>
  <c r="AJ186" i="11" s="1"/>
  <c r="AJ277" i="11" s="1"/>
  <c r="AK118" i="11" l="1"/>
  <c r="AJ71" i="11" l="1"/>
  <c r="AK63" i="11" l="1"/>
  <c r="AJ72" i="11"/>
  <c r="AK103" i="11" l="1"/>
  <c r="AK69" i="11"/>
  <c r="AK135" i="11" s="1"/>
  <c r="AK161" i="11"/>
  <c r="AL68" i="11" l="1"/>
  <c r="AL140" i="11" s="1"/>
  <c r="AL67" i="11"/>
  <c r="AL153" i="11" s="1"/>
  <c r="AJ237" i="11"/>
  <c r="AJ253" i="11"/>
  <c r="AK186" i="11" s="1"/>
  <c r="AK277" i="11" s="1"/>
  <c r="AJ211" i="11"/>
  <c r="AL118" i="11" l="1"/>
  <c r="AK71" i="11" l="1"/>
  <c r="AL63" i="11" l="1"/>
  <c r="AK72" i="11"/>
  <c r="AL103" i="11" l="1"/>
  <c r="AL69" i="11"/>
  <c r="AL135" i="11" s="1"/>
  <c r="AL161" i="11"/>
  <c r="AM68" i="11" l="1"/>
  <c r="AM140" i="11" s="1"/>
  <c r="AM67" i="11"/>
  <c r="AK237" i="11"/>
  <c r="AK253" i="11"/>
  <c r="AL186" i="11" s="1"/>
  <c r="AL277" i="11" s="1"/>
  <c r="AK211" i="11"/>
  <c r="AM153" i="11" l="1"/>
  <c r="AM118" i="11"/>
  <c r="AL71" i="11" l="1"/>
  <c r="AM63" i="11" l="1"/>
  <c r="AL72" i="11"/>
  <c r="AM103" i="11" l="1"/>
  <c r="AM69" i="11"/>
  <c r="AM135" i="11" s="1"/>
  <c r="AM161" i="11"/>
  <c r="AN68" i="11" l="1"/>
  <c r="AN140" i="11" s="1"/>
  <c r="AN67" i="11"/>
  <c r="AL211" i="11"/>
  <c r="AL237" i="11"/>
  <c r="AL253" i="11"/>
  <c r="AM186" i="11" s="1"/>
  <c r="AM277" i="11" s="1"/>
  <c r="AN153" i="11" l="1"/>
  <c r="AN118" i="11"/>
  <c r="AM71" i="11" l="1"/>
  <c r="AN63" i="11" l="1"/>
  <c r="AM72" i="11"/>
  <c r="AN103" i="11" l="1"/>
  <c r="AN69" i="11"/>
  <c r="AN135" i="11" s="1"/>
  <c r="AN161" i="11"/>
  <c r="AO68" i="11" l="1"/>
  <c r="AO140" i="11" s="1"/>
  <c r="AO67" i="11"/>
  <c r="AM237" i="11"/>
  <c r="AM211" i="11"/>
  <c r="AM253" i="11"/>
  <c r="AN186" i="11" s="1"/>
  <c r="AN277" i="11" s="1"/>
  <c r="AO153" i="11" l="1"/>
  <c r="AO118" i="11"/>
  <c r="AN71" i="11"/>
  <c r="AN237" i="11"/>
  <c r="AN211" i="11"/>
  <c r="AN253" i="11"/>
  <c r="AO186" i="11" s="1"/>
  <c r="AO277" i="11" s="1"/>
  <c r="AO63" i="11" l="1"/>
  <c r="AN72" i="11"/>
  <c r="AO103" i="11" l="1"/>
  <c r="AO69" i="11"/>
  <c r="AO135" i="11" s="1"/>
  <c r="AO161" i="11"/>
  <c r="AO71" i="11"/>
  <c r="AP68" i="11" l="1"/>
  <c r="AP140" i="11" s="1"/>
  <c r="AP67" i="11"/>
  <c r="CD71" i="11"/>
  <c r="AO72" i="11"/>
  <c r="AP153" i="11" l="1"/>
  <c r="AP118" i="11"/>
  <c r="CE71" i="11"/>
  <c r="DH71" i="11"/>
  <c r="AP63" i="11"/>
  <c r="AP69" i="11" l="1"/>
  <c r="AP135" i="11" s="1"/>
  <c r="AP103" i="11"/>
  <c r="AP161" i="11"/>
  <c r="DI71" i="11"/>
  <c r="AO237" i="11"/>
  <c r="AO211" i="11"/>
  <c r="AO253" i="11"/>
  <c r="AP186" i="11" s="1"/>
  <c r="AP277" i="11" s="1"/>
  <c r="AQ68" i="11" l="1"/>
  <c r="AQ140" i="11" s="1"/>
  <c r="AQ67" i="11"/>
  <c r="AP71" i="11"/>
  <c r="AQ153" i="11" l="1"/>
  <c r="AQ118" i="11"/>
  <c r="AQ63" i="11"/>
  <c r="AP72" i="11"/>
  <c r="AQ69" i="11" l="1"/>
  <c r="AQ135" i="11" s="1"/>
  <c r="AQ103" i="11"/>
  <c r="AQ161" i="11"/>
  <c r="CF71" i="11"/>
  <c r="AR67" i="11" l="1"/>
  <c r="AR68" i="11"/>
  <c r="AR140" i="11" s="1"/>
  <c r="DJ71" i="11"/>
  <c r="AP211" i="11"/>
  <c r="AP237" i="11"/>
  <c r="AP253" i="11"/>
  <c r="AQ186" i="11" s="1"/>
  <c r="AQ277" i="11" s="1"/>
  <c r="AR153" i="11" l="1"/>
  <c r="AR118" i="11"/>
  <c r="AQ71" i="11"/>
  <c r="AR63" i="11" l="1"/>
  <c r="AQ72" i="11"/>
  <c r="AR103" i="11" l="1"/>
  <c r="AR69" i="11"/>
  <c r="AR135" i="11" s="1"/>
  <c r="AR161" i="11"/>
  <c r="CG71" i="11"/>
  <c r="AS68" i="11" l="1"/>
  <c r="AS140" i="11" s="1"/>
  <c r="AS67" i="11"/>
  <c r="DK71" i="11"/>
  <c r="AQ237" i="11"/>
  <c r="AQ211" i="11"/>
  <c r="AQ253" i="11"/>
  <c r="AR186" i="11" s="1"/>
  <c r="AR277" i="11" s="1"/>
  <c r="AS153" i="11" l="1"/>
  <c r="AS118" i="11"/>
  <c r="AR71" i="11"/>
  <c r="AS63" i="11" l="1"/>
  <c r="AR72" i="11"/>
  <c r="AS103" i="11" l="1"/>
  <c r="AS69" i="11"/>
  <c r="AS135" i="11" s="1"/>
  <c r="AS161" i="11"/>
  <c r="CH71" i="11"/>
  <c r="AT67" i="11" l="1"/>
  <c r="AT153" i="11" s="1"/>
  <c r="AT68" i="11"/>
  <c r="AT140" i="11" s="1"/>
  <c r="DL71" i="11"/>
  <c r="AR211" i="11"/>
  <c r="AR237" i="11"/>
  <c r="AR253" i="11"/>
  <c r="AS186" i="11" s="1"/>
  <c r="AS277" i="11" s="1"/>
  <c r="AT118" i="11" l="1"/>
  <c r="AS71" i="11"/>
  <c r="AT63" i="11" l="1"/>
  <c r="G12" i="14"/>
  <c r="AS72" i="11"/>
  <c r="AT103" i="11" l="1"/>
  <c r="AT69" i="11"/>
  <c r="AT135" i="11" s="1"/>
  <c r="AT161" i="11"/>
  <c r="CI71" i="11"/>
  <c r="AU67" i="11" l="1"/>
  <c r="AU153" i="11" s="1"/>
  <c r="AU68" i="11"/>
  <c r="AU140" i="11" s="1"/>
  <c r="AS211" i="11"/>
  <c r="AS237" i="11"/>
  <c r="AS253" i="11"/>
  <c r="AU118" i="11" l="1"/>
  <c r="DM71" i="11"/>
  <c r="AT186" i="11"/>
  <c r="AT277" i="11" s="1"/>
  <c r="J186" i="2"/>
  <c r="J186" i="28" s="1"/>
  <c r="AT71" i="11" l="1"/>
  <c r="AU63" i="11" l="1"/>
  <c r="AT72" i="11"/>
  <c r="AU103" i="11" l="1"/>
  <c r="AU69" i="11"/>
  <c r="AU135" i="11" s="1"/>
  <c r="AU161" i="11"/>
  <c r="CJ71" i="11"/>
  <c r="AV68" i="11" l="1"/>
  <c r="AV140" i="11" s="1"/>
  <c r="AV67" i="11"/>
  <c r="AV153" i="11" s="1"/>
  <c r="DN71" i="11"/>
  <c r="AT237" i="11"/>
  <c r="AT211" i="11"/>
  <c r="AT253" i="11"/>
  <c r="AU186" i="11" s="1"/>
  <c r="AU277" i="11" s="1"/>
  <c r="AV118" i="11" l="1"/>
  <c r="H53" i="2"/>
  <c r="I53" i="2"/>
  <c r="J53" i="2"/>
  <c r="I30" i="2"/>
  <c r="J30" i="2"/>
  <c r="J53" i="28" l="1"/>
  <c r="I53" i="28"/>
  <c r="H53" i="28"/>
  <c r="J30" i="28"/>
  <c r="I30" i="28"/>
  <c r="AU71" i="11"/>
  <c r="AV63" i="11" l="1"/>
  <c r="AU72" i="11"/>
  <c r="H92" i="2"/>
  <c r="H92" i="28" s="1"/>
  <c r="H91" i="2"/>
  <c r="H91" i="28" s="1"/>
  <c r="H96" i="2"/>
  <c r="H96" i="28" s="1"/>
  <c r="H95" i="2"/>
  <c r="H95" i="28" s="1"/>
  <c r="I95" i="2"/>
  <c r="I95" i="28" s="1"/>
  <c r="J95" i="2"/>
  <c r="J95" i="28" s="1"/>
  <c r="H93" i="2"/>
  <c r="H93" i="28" s="1"/>
  <c r="AV103" i="11" l="1"/>
  <c r="AV69" i="11"/>
  <c r="AV135" i="11" s="1"/>
  <c r="AV161" i="11"/>
  <c r="CK71" i="11"/>
  <c r="AW68" i="11" l="1"/>
  <c r="AW140" i="11" s="1"/>
  <c r="AW67" i="11"/>
  <c r="AW153" i="11" s="1"/>
  <c r="AU237" i="11"/>
  <c r="AU211" i="11"/>
  <c r="AU253" i="11"/>
  <c r="AW118" i="11" l="1"/>
  <c r="DO71" i="11"/>
  <c r="AV186" i="11"/>
  <c r="AV277" i="11" s="1"/>
  <c r="H66" i="2"/>
  <c r="I66" i="2"/>
  <c r="J66" i="2"/>
  <c r="J66" i="28" l="1"/>
  <c r="I66" i="28"/>
  <c r="H66" i="28"/>
  <c r="AV71" i="11"/>
  <c r="K309" i="11"/>
  <c r="AW63" i="11" l="1"/>
  <c r="AV72" i="11"/>
  <c r="K312" i="11"/>
  <c r="L309" i="11"/>
  <c r="AW103" i="11" l="1"/>
  <c r="AW69" i="11"/>
  <c r="AW135" i="11" s="1"/>
  <c r="AW161" i="11"/>
  <c r="CL71" i="11"/>
  <c r="L312" i="11"/>
  <c r="M309" i="11"/>
  <c r="AX68" i="11" l="1"/>
  <c r="AX140" i="11" s="1"/>
  <c r="AX67" i="11"/>
  <c r="AX153" i="11" s="1"/>
  <c r="DP71" i="11"/>
  <c r="AV211" i="11"/>
  <c r="AV237" i="11"/>
  <c r="AV253" i="11"/>
  <c r="AW186" i="11" s="1"/>
  <c r="AW277" i="11" s="1"/>
  <c r="M312" i="11"/>
  <c r="N309" i="11"/>
  <c r="AX118" i="11" l="1"/>
  <c r="N312" i="11"/>
  <c r="O309" i="11"/>
  <c r="AW71" i="11" l="1"/>
  <c r="O312" i="11"/>
  <c r="P309" i="11"/>
  <c r="AX63" i="11" l="1"/>
  <c r="AW72" i="11"/>
  <c r="P312" i="11"/>
  <c r="Q309" i="11"/>
  <c r="AX69" i="11" l="1"/>
  <c r="AX135" i="11" s="1"/>
  <c r="AX103" i="11"/>
  <c r="AX161" i="11"/>
  <c r="CM71" i="11"/>
  <c r="Q312" i="11"/>
  <c r="R309" i="11"/>
  <c r="AY68" i="11" l="1"/>
  <c r="AY140" i="11" s="1"/>
  <c r="AY67" i="11"/>
  <c r="DQ71" i="11"/>
  <c r="AW237" i="11"/>
  <c r="AW211" i="11"/>
  <c r="AW253" i="11"/>
  <c r="AX186" i="11" s="1"/>
  <c r="AX277" i="11" s="1"/>
  <c r="R312" i="11"/>
  <c r="S309" i="11"/>
  <c r="AY153" i="11" l="1"/>
  <c r="AY118" i="11"/>
  <c r="S312" i="11"/>
  <c r="T309" i="11"/>
  <c r="AX71" i="11" l="1"/>
  <c r="T312" i="11"/>
  <c r="H219" i="2" l="1"/>
  <c r="H219" i="28" s="1"/>
  <c r="U309" i="11"/>
  <c r="AY63" i="11"/>
  <c r="AX72" i="11"/>
  <c r="AY69" i="11" l="1"/>
  <c r="AY135" i="11" s="1"/>
  <c r="AY103" i="11"/>
  <c r="AY161" i="11"/>
  <c r="H220" i="2"/>
  <c r="H220" i="28" s="1"/>
  <c r="CN71" i="11"/>
  <c r="U312" i="11"/>
  <c r="AZ68" i="11" l="1"/>
  <c r="AZ140" i="11" s="1"/>
  <c r="AZ67" i="11"/>
  <c r="H222" i="2"/>
  <c r="H222" i="28" s="1"/>
  <c r="DR71" i="11"/>
  <c r="AX237" i="11"/>
  <c r="AX211" i="11"/>
  <c r="AX253" i="11"/>
  <c r="AY186" i="11" s="1"/>
  <c r="AY277" i="11" s="1"/>
  <c r="AZ153" i="11" l="1"/>
  <c r="AZ118" i="11"/>
  <c r="AY71" i="11" l="1"/>
  <c r="AZ63" i="11" l="1"/>
  <c r="AY72" i="11"/>
  <c r="AZ103" i="11" l="1"/>
  <c r="AZ69" i="11"/>
  <c r="AZ135" i="11" s="1"/>
  <c r="AZ161" i="11"/>
  <c r="CO71" i="11"/>
  <c r="BA68" i="11" l="1"/>
  <c r="BA140" i="11" s="1"/>
  <c r="BA67" i="11"/>
  <c r="DS71" i="11"/>
  <c r="AY211" i="11"/>
  <c r="AY237" i="11"/>
  <c r="AY253" i="11"/>
  <c r="AZ186" i="11" s="1"/>
  <c r="AZ277" i="11" s="1"/>
  <c r="BA153" i="11" l="1"/>
  <c r="BA118" i="11"/>
  <c r="AZ71" i="11" l="1"/>
  <c r="BA63" i="11" l="1"/>
  <c r="AZ72" i="11"/>
  <c r="BA103" i="11" l="1"/>
  <c r="BA69" i="11"/>
  <c r="BA135" i="11" s="1"/>
  <c r="BA161" i="11"/>
  <c r="CP71" i="11"/>
  <c r="BB68" i="11" l="1"/>
  <c r="BB140" i="11" s="1"/>
  <c r="BB67" i="11"/>
  <c r="DT71" i="11"/>
  <c r="AZ211" i="11"/>
  <c r="AZ237" i="11"/>
  <c r="AZ253" i="11"/>
  <c r="BA186" i="11" s="1"/>
  <c r="BA277" i="11" s="1"/>
  <c r="BB153" i="11" l="1"/>
  <c r="BB118" i="11"/>
  <c r="BA71" i="11" l="1"/>
  <c r="BB63" i="11" l="1"/>
  <c r="BA72" i="11"/>
  <c r="BB103" i="11" l="1"/>
  <c r="BB69" i="11"/>
  <c r="BB135" i="11" s="1"/>
  <c r="BB161" i="11"/>
  <c r="CQ71" i="11"/>
  <c r="BC68" i="11" l="1"/>
  <c r="BC140" i="11" s="1"/>
  <c r="BC67" i="11"/>
  <c r="DU71" i="11"/>
  <c r="BA237" i="11"/>
  <c r="BA211" i="11"/>
  <c r="BA253" i="11"/>
  <c r="BB186" i="11" s="1"/>
  <c r="BB277" i="11" s="1"/>
  <c r="BC153" i="11" l="1"/>
  <c r="BC118" i="11"/>
  <c r="BB71" i="11" l="1"/>
  <c r="BC63" i="11" l="1"/>
  <c r="BB72" i="11"/>
  <c r="BC103" i="11" l="1"/>
  <c r="BC69" i="11"/>
  <c r="BC135" i="11" s="1"/>
  <c r="BC161" i="11"/>
  <c r="CR71" i="11"/>
  <c r="BD68" i="11" l="1"/>
  <c r="BD140" i="11" s="1"/>
  <c r="BD67" i="11"/>
  <c r="DV71" i="11"/>
  <c r="BB237" i="11"/>
  <c r="BB211" i="11"/>
  <c r="BB253" i="11"/>
  <c r="BC186" i="11" s="1"/>
  <c r="BC277" i="11" s="1"/>
  <c r="BD153" i="11" l="1"/>
  <c r="BD118" i="11"/>
  <c r="BC71" i="11" l="1"/>
  <c r="BD63" i="11" l="1"/>
  <c r="BC72" i="11"/>
  <c r="BD103" i="11" l="1"/>
  <c r="BD69" i="11"/>
  <c r="BD135" i="11" s="1"/>
  <c r="BD161" i="11"/>
  <c r="CS71" i="11"/>
  <c r="BE68" i="11" l="1"/>
  <c r="BE140" i="11" s="1"/>
  <c r="BE67" i="11"/>
  <c r="DW71" i="11"/>
  <c r="BC237" i="11"/>
  <c r="BC211" i="11"/>
  <c r="BC253" i="11"/>
  <c r="BD186" i="11" s="1"/>
  <c r="BD277" i="11" s="1"/>
  <c r="BE153" i="11" l="1"/>
  <c r="BE118" i="11"/>
  <c r="BD71" i="11" l="1"/>
  <c r="BE63" i="11" l="1"/>
  <c r="BD72" i="11"/>
  <c r="BE103" i="11" l="1"/>
  <c r="BE69" i="11"/>
  <c r="BE135" i="11" s="1"/>
  <c r="BE161" i="11"/>
  <c r="CT71" i="11"/>
  <c r="BF68" i="11" l="1"/>
  <c r="BF140" i="11" s="1"/>
  <c r="BF67" i="11"/>
  <c r="BF153" i="11" s="1"/>
  <c r="DX71" i="11"/>
  <c r="BD211" i="11"/>
  <c r="BD237" i="11"/>
  <c r="BD253" i="11"/>
  <c r="BE186" i="11" s="1"/>
  <c r="BE277" i="11" s="1"/>
  <c r="BF118" i="11" l="1"/>
  <c r="BE71" i="11" l="1"/>
  <c r="BF63" i="11" l="1"/>
  <c r="H12" i="14"/>
  <c r="BE72" i="11"/>
  <c r="BF69" i="11" l="1"/>
  <c r="BF135" i="11" s="1"/>
  <c r="BF103" i="11"/>
  <c r="BF161" i="11"/>
  <c r="CU71" i="11"/>
  <c r="BG68" i="11" l="1"/>
  <c r="BG140" i="11" s="1"/>
  <c r="BG67" i="11"/>
  <c r="BG153" i="11" s="1"/>
  <c r="DY71" i="11"/>
  <c r="BE211" i="11"/>
  <c r="BE237" i="11"/>
  <c r="BE253" i="11"/>
  <c r="BG118" i="11" l="1"/>
  <c r="N37" i="2"/>
  <c r="Q37" i="2"/>
  <c r="K186" i="2"/>
  <c r="K186" i="28" s="1"/>
  <c r="BF186" i="11"/>
  <c r="BF277" i="11" s="1"/>
  <c r="Q37" i="28" l="1"/>
  <c r="N37" i="28"/>
  <c r="BF71" i="11"/>
  <c r="BG63" i="11" l="1"/>
  <c r="BF72" i="11"/>
  <c r="BG69" i="11" l="1"/>
  <c r="BG135" i="11" s="1"/>
  <c r="BG103" i="11"/>
  <c r="BG161" i="11"/>
  <c r="CV71" i="11"/>
  <c r="BH68" i="11" l="1"/>
  <c r="BH140" i="11" s="1"/>
  <c r="BH67" i="11"/>
  <c r="BH153" i="11" s="1"/>
  <c r="BF237" i="11"/>
  <c r="BF211" i="11"/>
  <c r="BF253" i="11"/>
  <c r="BG186" i="11" s="1"/>
  <c r="BG277" i="11" s="1"/>
  <c r="BH118" i="11" l="1"/>
  <c r="BG71" i="11"/>
  <c r="BH63" i="11" l="1"/>
  <c r="BG72" i="11"/>
  <c r="BH103" i="11" l="1"/>
  <c r="BH69" i="11"/>
  <c r="BH135" i="11" s="1"/>
  <c r="BH161" i="11"/>
  <c r="CW71" i="11"/>
  <c r="BI68" i="11" l="1"/>
  <c r="BI140" i="11" s="1"/>
  <c r="BI67" i="11"/>
  <c r="BI153" i="11" s="1"/>
  <c r="BG237" i="11"/>
  <c r="BG211" i="11"/>
  <c r="BG253" i="11"/>
  <c r="BI118" i="11" l="1"/>
  <c r="BH186" i="11"/>
  <c r="BH277" i="11" s="1"/>
  <c r="BH71" i="11" l="1"/>
  <c r="BI63" i="11" l="1"/>
  <c r="BH72" i="11"/>
  <c r="BI103" i="11" l="1"/>
  <c r="BI69" i="11"/>
  <c r="BI135" i="11" s="1"/>
  <c r="BI161" i="11"/>
  <c r="CX71" i="11"/>
  <c r="BJ68" i="11" l="1"/>
  <c r="BJ140" i="11" s="1"/>
  <c r="BJ67" i="11"/>
  <c r="BJ153" i="11" s="1"/>
  <c r="BH211" i="11"/>
  <c r="BH237" i="11"/>
  <c r="BH253" i="11"/>
  <c r="BI186" i="11" s="1"/>
  <c r="BI277" i="11" s="1"/>
  <c r="BJ118" i="11" l="1"/>
  <c r="BI71" i="11"/>
  <c r="BJ63" i="11" l="1"/>
  <c r="BI72" i="11"/>
  <c r="BJ103" i="11" l="1"/>
  <c r="BJ69" i="11"/>
  <c r="BJ135" i="11" s="1"/>
  <c r="BJ161" i="11"/>
  <c r="CY71" i="11"/>
  <c r="BK68" i="11" l="1"/>
  <c r="BK140" i="11" s="1"/>
  <c r="BK67" i="11"/>
  <c r="BI211" i="11"/>
  <c r="BI237" i="11"/>
  <c r="BI253" i="11"/>
  <c r="BK153" i="11" l="1"/>
  <c r="BK118" i="11"/>
  <c r="BJ186" i="11"/>
  <c r="BJ277" i="11" s="1"/>
  <c r="BJ71" i="11" l="1"/>
  <c r="BK63" i="11" l="1"/>
  <c r="BJ72" i="11"/>
  <c r="BK103" i="11" l="1"/>
  <c r="BK69" i="11"/>
  <c r="BK135" i="11" s="1"/>
  <c r="BK161" i="11"/>
  <c r="CZ71" i="11"/>
  <c r="BL68" i="11" l="1"/>
  <c r="BL140" i="11" s="1"/>
  <c r="BL67" i="11"/>
  <c r="BJ211" i="11"/>
  <c r="BJ237" i="11"/>
  <c r="BJ253" i="11"/>
  <c r="BK186" i="11" s="1"/>
  <c r="BK277" i="11" s="1"/>
  <c r="BL153" i="11" l="1"/>
  <c r="BL118" i="11"/>
  <c r="E33" i="7"/>
  <c r="J184" i="11"/>
  <c r="R184" i="11"/>
  <c r="Z184" i="11"/>
  <c r="W184" i="11"/>
  <c r="Y184" i="11"/>
  <c r="L184" i="11"/>
  <c r="O184" i="11"/>
  <c r="E63" i="7"/>
  <c r="U184" i="11"/>
  <c r="T184" i="11"/>
  <c r="Q184" i="11"/>
  <c r="V184" i="11"/>
  <c r="AC184" i="11"/>
  <c r="AD184" i="11"/>
  <c r="J215" i="11"/>
  <c r="J234" i="11"/>
  <c r="AF184" i="11"/>
  <c r="X184" i="11"/>
  <c r="M184" i="11"/>
  <c r="S184" i="11"/>
  <c r="K184" i="11"/>
  <c r="AA184" i="11"/>
  <c r="AG184" i="11"/>
  <c r="P184" i="11"/>
  <c r="Q161" i="2" l="1"/>
  <c r="Q161" i="28" s="1"/>
  <c r="J257" i="11"/>
  <c r="J19" i="7" s="1"/>
  <c r="J281" i="11"/>
  <c r="BK71" i="11"/>
  <c r="J238" i="11"/>
  <c r="O234" i="11"/>
  <c r="N234" i="11"/>
  <c r="K231" i="11"/>
  <c r="K215" i="11"/>
  <c r="Q140" i="2" s="1"/>
  <c r="AB184" i="11"/>
  <c r="AY215" i="11"/>
  <c r="AY231" i="11"/>
  <c r="AW231" i="11"/>
  <c r="AW215" i="11"/>
  <c r="BW215" i="11"/>
  <c r="BW231" i="11"/>
  <c r="P234" i="11"/>
  <c r="AD238" i="11"/>
  <c r="AE231" i="11"/>
  <c r="AE215" i="11"/>
  <c r="T234" i="11"/>
  <c r="BN231" i="11"/>
  <c r="BN215" i="11"/>
  <c r="L238" i="11"/>
  <c r="W234" i="11"/>
  <c r="AJ231" i="11"/>
  <c r="AJ215" i="11"/>
  <c r="O215" i="11"/>
  <c r="O231" i="11"/>
  <c r="S234" i="11"/>
  <c r="P238" i="11"/>
  <c r="BY215" i="11"/>
  <c r="BY231" i="11"/>
  <c r="BX231" i="11"/>
  <c r="BX215" i="11"/>
  <c r="V234" i="11"/>
  <c r="BD215" i="11"/>
  <c r="BD231" i="11"/>
  <c r="T231" i="11"/>
  <c r="T215" i="11"/>
  <c r="BR231" i="11"/>
  <c r="BR215" i="11"/>
  <c r="CA231" i="11"/>
  <c r="CA215" i="11"/>
  <c r="BO231" i="11"/>
  <c r="BO215" i="11"/>
  <c r="AU231" i="11"/>
  <c r="AU215" i="11"/>
  <c r="Q238" i="11"/>
  <c r="CC231" i="11"/>
  <c r="CC215" i="11"/>
  <c r="N184" i="11"/>
  <c r="K234" i="11"/>
  <c r="M234" i="11"/>
  <c r="L234" i="11"/>
  <c r="Z231" i="11"/>
  <c r="Z215" i="11"/>
  <c r="AM234" i="11"/>
  <c r="V231" i="11"/>
  <c r="V215" i="11"/>
  <c r="U234" i="11"/>
  <c r="AS231" i="11"/>
  <c r="AS215" i="11"/>
  <c r="J218" i="11"/>
  <c r="AA215" i="11"/>
  <c r="AA231" i="11"/>
  <c r="BF231" i="11"/>
  <c r="BF215" i="11"/>
  <c r="T238" i="11"/>
  <c r="BB215" i="11"/>
  <c r="BB231" i="11"/>
  <c r="AR215" i="11"/>
  <c r="AR231" i="11"/>
  <c r="W238" i="11"/>
  <c r="Z238" i="11"/>
  <c r="AF238" i="11"/>
  <c r="U231" i="11"/>
  <c r="U215" i="11"/>
  <c r="S238" i="11"/>
  <c r="M215" i="11"/>
  <c r="M231" i="11"/>
  <c r="AD234" i="11"/>
  <c r="R234" i="11"/>
  <c r="AL215" i="11"/>
  <c r="AL231" i="11"/>
  <c r="CB215" i="11"/>
  <c r="CB231" i="11"/>
  <c r="AP215" i="11"/>
  <c r="AP231" i="11"/>
  <c r="AE184" i="11"/>
  <c r="Y215" i="11"/>
  <c r="Y231" i="11"/>
  <c r="BJ231" i="11"/>
  <c r="BJ215" i="11"/>
  <c r="P215" i="11"/>
  <c r="P218" i="11" s="1"/>
  <c r="P231" i="11"/>
  <c r="U238" i="11"/>
  <c r="AM215" i="11"/>
  <c r="AM231" i="11"/>
  <c r="N215" i="11"/>
  <c r="N231" i="11"/>
  <c r="AC215" i="11"/>
  <c r="AC231" i="11"/>
  <c r="AE234" i="11"/>
  <c r="AN231" i="11"/>
  <c r="AN215" i="11"/>
  <c r="AQ215" i="11"/>
  <c r="AQ231" i="11"/>
  <c r="AG234" i="11"/>
  <c r="K238" i="11"/>
  <c r="AD231" i="11"/>
  <c r="AD215" i="11"/>
  <c r="AO231" i="11"/>
  <c r="AO215" i="11"/>
  <c r="X234" i="11"/>
  <c r="BA231" i="11"/>
  <c r="BA215" i="11"/>
  <c r="L215" i="11"/>
  <c r="L231" i="11"/>
  <c r="Q234" i="11"/>
  <c r="BS231" i="11"/>
  <c r="BS215" i="11"/>
  <c r="W215" i="11"/>
  <c r="W231" i="11"/>
  <c r="AH234" i="11"/>
  <c r="AC234" i="11"/>
  <c r="Y238" i="11"/>
  <c r="S215" i="11"/>
  <c r="S231" i="11"/>
  <c r="BT215" i="11"/>
  <c r="BT231" i="11"/>
  <c r="M238" i="11"/>
  <c r="Y234" i="11"/>
  <c r="BM231" i="11"/>
  <c r="BM215" i="11"/>
  <c r="X238" i="11"/>
  <c r="AG215" i="11"/>
  <c r="AG231" i="11"/>
  <c r="BL215" i="11"/>
  <c r="BL231" i="11"/>
  <c r="AF234" i="11"/>
  <c r="BV231" i="11"/>
  <c r="BV215" i="11"/>
  <c r="AC238" i="11"/>
  <c r="V238" i="11"/>
  <c r="AB234" i="11"/>
  <c r="BC215" i="11"/>
  <c r="BC231" i="11"/>
  <c r="BP215" i="11"/>
  <c r="BP231" i="11"/>
  <c r="BH215" i="11"/>
  <c r="BH231" i="11"/>
  <c r="AK234" i="11"/>
  <c r="AA238" i="11"/>
  <c r="BU215" i="11"/>
  <c r="BU231" i="11"/>
  <c r="AA234" i="11"/>
  <c r="BI231" i="11"/>
  <c r="BI215" i="11"/>
  <c r="AG238" i="11"/>
  <c r="BZ231" i="11"/>
  <c r="BZ215" i="11"/>
  <c r="AI215" i="11"/>
  <c r="AI231" i="11"/>
  <c r="Z234" i="11"/>
  <c r="AF231" i="11"/>
  <c r="AF215" i="11"/>
  <c r="AJ234" i="11"/>
  <c r="AB215" i="11"/>
  <c r="AB231" i="11"/>
  <c r="BE215" i="11"/>
  <c r="BE231" i="11"/>
  <c r="BQ231" i="11"/>
  <c r="BQ215" i="11"/>
  <c r="AI234" i="11"/>
  <c r="BK215" i="11"/>
  <c r="BK231" i="11"/>
  <c r="BG231" i="11"/>
  <c r="BG215" i="11"/>
  <c r="AV215" i="11"/>
  <c r="AV231" i="11"/>
  <c r="Q231" i="11"/>
  <c r="Q215" i="11"/>
  <c r="AX231" i="11"/>
  <c r="AX215" i="11"/>
  <c r="X231" i="11"/>
  <c r="X215" i="11"/>
  <c r="AL234" i="11"/>
  <c r="R231" i="11"/>
  <c r="R215" i="11"/>
  <c r="Q173" i="2" s="1"/>
  <c r="O238" i="11"/>
  <c r="R238" i="11"/>
  <c r="J320" i="11" l="1"/>
  <c r="J282" i="11"/>
  <c r="N320" i="11"/>
  <c r="H173" i="2"/>
  <c r="O320" i="11"/>
  <c r="R320" i="11"/>
  <c r="P320" i="11"/>
  <c r="Q320" i="11"/>
  <c r="Q140" i="28"/>
  <c r="Q171" i="2"/>
  <c r="Q173" i="28"/>
  <c r="Q171" i="28" s="1"/>
  <c r="P140" i="2"/>
  <c r="P173" i="2"/>
  <c r="N158" i="2"/>
  <c r="N158" i="28" s="1"/>
  <c r="Q158" i="2"/>
  <c r="Q158" i="28" s="1"/>
  <c r="P158" i="2"/>
  <c r="P158" i="28" s="1"/>
  <c r="O158" i="2"/>
  <c r="O158" i="28" s="1"/>
  <c r="N140" i="2"/>
  <c r="O140" i="2"/>
  <c r="O173" i="2"/>
  <c r="N173" i="2"/>
  <c r="J22" i="7"/>
  <c r="J21" i="7"/>
  <c r="BL63" i="11"/>
  <c r="H161" i="2"/>
  <c r="H161" i="28" s="1"/>
  <c r="I161" i="2"/>
  <c r="I161" i="28" s="1"/>
  <c r="M158" i="2"/>
  <c r="M158" i="28" s="1"/>
  <c r="L158" i="2"/>
  <c r="L158" i="28" s="1"/>
  <c r="I158" i="2"/>
  <c r="I158" i="28" s="1"/>
  <c r="H158" i="2"/>
  <c r="H158" i="28" s="1"/>
  <c r="J258" i="11"/>
  <c r="J313" i="11"/>
  <c r="K257" i="11"/>
  <c r="K281" i="11"/>
  <c r="BK72" i="11"/>
  <c r="O218" i="11"/>
  <c r="W218" i="11"/>
  <c r="S218" i="11"/>
  <c r="N218" i="11"/>
  <c r="I106" i="2"/>
  <c r="I106" i="28" s="1"/>
  <c r="AB218" i="11"/>
  <c r="T218" i="11"/>
  <c r="Q218" i="11"/>
  <c r="M218" i="11"/>
  <c r="R218" i="11"/>
  <c r="L218" i="11"/>
  <c r="AD218" i="11"/>
  <c r="U218" i="11"/>
  <c r="AG218" i="11"/>
  <c r="X218" i="11"/>
  <c r="H141" i="2"/>
  <c r="H141" i="28" s="1"/>
  <c r="AF218" i="11"/>
  <c r="L140" i="2"/>
  <c r="L140" i="28" s="1"/>
  <c r="L173" i="2"/>
  <c r="L173" i="28" s="1"/>
  <c r="N238" i="11"/>
  <c r="M320" i="11" s="1"/>
  <c r="H106" i="2"/>
  <c r="H106" i="28" s="1"/>
  <c r="M140" i="2"/>
  <c r="M140" i="28" s="1"/>
  <c r="M173" i="2"/>
  <c r="M173" i="28" s="1"/>
  <c r="AC218" i="11"/>
  <c r="AE238" i="11"/>
  <c r="Y218" i="11"/>
  <c r="AA218" i="11"/>
  <c r="Z218" i="11"/>
  <c r="AB238" i="11"/>
  <c r="H140" i="2"/>
  <c r="H140" i="28" s="1"/>
  <c r="K218" i="11"/>
  <c r="I173" i="2"/>
  <c r="I173" i="28" s="1"/>
  <c r="V218" i="11"/>
  <c r="I140" i="2"/>
  <c r="I140" i="28" s="1"/>
  <c r="I141" i="2"/>
  <c r="I141" i="28" s="1"/>
  <c r="AE218" i="11"/>
  <c r="J27" i="7" l="1"/>
  <c r="K320" i="11"/>
  <c r="L320" i="11"/>
  <c r="N173" i="28"/>
  <c r="N171" i="28" s="1"/>
  <c r="N171" i="2"/>
  <c r="P173" i="28"/>
  <c r="P171" i="28" s="1"/>
  <c r="P171" i="2"/>
  <c r="O171" i="2"/>
  <c r="O173" i="28"/>
  <c r="O171" i="28" s="1"/>
  <c r="P140" i="28"/>
  <c r="O140" i="28"/>
  <c r="N140" i="28"/>
  <c r="H173" i="28"/>
  <c r="H171" i="28" s="1"/>
  <c r="BL103" i="11"/>
  <c r="BL69" i="11"/>
  <c r="BL135" i="11" s="1"/>
  <c r="BL161" i="11"/>
  <c r="DA71" i="11"/>
  <c r="K258" i="11"/>
  <c r="K19" i="7"/>
  <c r="K22" i="7" s="1"/>
  <c r="H174" i="2"/>
  <c r="H165" i="2"/>
  <c r="H165" i="28" s="1"/>
  <c r="I165" i="2"/>
  <c r="I165" i="28" s="1"/>
  <c r="L257" i="11"/>
  <c r="L281" i="11"/>
  <c r="K282" i="11"/>
  <c r="H143" i="28"/>
  <c r="H143" i="2"/>
  <c r="I143" i="28"/>
  <c r="I171" i="2"/>
  <c r="I171" i="28"/>
  <c r="L171" i="2"/>
  <c r="L171" i="28"/>
  <c r="M171" i="2"/>
  <c r="M171" i="28"/>
  <c r="I143" i="2"/>
  <c r="I174" i="2"/>
  <c r="H171" i="2"/>
  <c r="K313" i="11"/>
  <c r="H174" i="28" l="1"/>
  <c r="BM68" i="11"/>
  <c r="BM140" i="11" s="1"/>
  <c r="BM67" i="11"/>
  <c r="K21" i="7"/>
  <c r="K27" i="7" s="1"/>
  <c r="L258" i="11"/>
  <c r="L19" i="7"/>
  <c r="L21" i="7" s="1"/>
  <c r="M257" i="11"/>
  <c r="M281" i="11"/>
  <c r="L282" i="11"/>
  <c r="BK237" i="11"/>
  <c r="BK211" i="11"/>
  <c r="BK253" i="11"/>
  <c r="BL186" i="11" s="1"/>
  <c r="BL277" i="11" s="1"/>
  <c r="I174" i="28"/>
  <c r="H172" i="28"/>
  <c r="I172" i="28"/>
  <c r="H172" i="2"/>
  <c r="I172" i="2"/>
  <c r="L313" i="11"/>
  <c r="BM153" i="11" l="1"/>
  <c r="BM118" i="11"/>
  <c r="L22" i="7"/>
  <c r="L27" i="7" s="1"/>
  <c r="M258" i="11"/>
  <c r="M19" i="7"/>
  <c r="M22" i="7" s="1"/>
  <c r="N257" i="11"/>
  <c r="N281" i="11"/>
  <c r="M282" i="11"/>
  <c r="M313" i="11"/>
  <c r="M21" i="7" l="1"/>
  <c r="M27" i="7" s="1"/>
  <c r="N258" i="11"/>
  <c r="N19" i="7"/>
  <c r="N22" i="7" s="1"/>
  <c r="O257" i="11"/>
  <c r="O281" i="11"/>
  <c r="N282" i="11"/>
  <c r="BL71" i="11"/>
  <c r="N313" i="11"/>
  <c r="N21" i="7" l="1"/>
  <c r="N27" i="7" s="1"/>
  <c r="O258" i="11"/>
  <c r="O19" i="7"/>
  <c r="O22" i="7" s="1"/>
  <c r="BM63" i="11"/>
  <c r="P257" i="11"/>
  <c r="P281" i="11"/>
  <c r="O282" i="11"/>
  <c r="BL72" i="11"/>
  <c r="O313" i="11"/>
  <c r="BM103" i="11" l="1"/>
  <c r="BM69" i="11"/>
  <c r="BM135" i="11" s="1"/>
  <c r="BM161" i="11"/>
  <c r="DB71" i="11"/>
  <c r="O21" i="7"/>
  <c r="O27" i="7" s="1"/>
  <c r="Q257" i="11"/>
  <c r="Q19" i="7" s="1"/>
  <c r="P19" i="7"/>
  <c r="P22" i="7" s="1"/>
  <c r="P258" i="11"/>
  <c r="Q281" i="11"/>
  <c r="P282" i="11"/>
  <c r="P313" i="11"/>
  <c r="BN68" i="11" l="1"/>
  <c r="BN140" i="11" s="1"/>
  <c r="BN67" i="11"/>
  <c r="P21" i="7"/>
  <c r="P27" i="7" s="1"/>
  <c r="Q258" i="11"/>
  <c r="R257" i="11"/>
  <c r="R19" i="7" s="1"/>
  <c r="Q22" i="7"/>
  <c r="Q21" i="7"/>
  <c r="R281" i="11"/>
  <c r="Q282" i="11"/>
  <c r="BL237" i="11"/>
  <c r="BL211" i="11"/>
  <c r="BL253" i="11"/>
  <c r="BM186" i="11" s="1"/>
  <c r="BM277" i="11" s="1"/>
  <c r="Q313" i="11"/>
  <c r="BN153" i="11" l="1"/>
  <c r="BN118" i="11"/>
  <c r="Q27" i="7"/>
  <c r="R258" i="11"/>
  <c r="S257" i="11"/>
  <c r="S19" i="7" s="1"/>
  <c r="R22" i="7"/>
  <c r="R21" i="7"/>
  <c r="S281" i="11"/>
  <c r="R282" i="11"/>
  <c r="R313" i="11"/>
  <c r="R27" i="7" l="1"/>
  <c r="T257" i="11"/>
  <c r="T19" i="7" s="1"/>
  <c r="S258" i="11"/>
  <c r="S22" i="7"/>
  <c r="S21" i="7"/>
  <c r="T281" i="11"/>
  <c r="S282" i="11"/>
  <c r="BM71" i="11"/>
  <c r="S313" i="11"/>
  <c r="S27" i="7" l="1"/>
  <c r="T258" i="11"/>
  <c r="U257" i="11"/>
  <c r="U19" i="7" s="1"/>
  <c r="T22" i="7"/>
  <c r="T21" i="7"/>
  <c r="BN63" i="11"/>
  <c r="U281" i="11"/>
  <c r="T282" i="11"/>
  <c r="BM72" i="11"/>
  <c r="T313" i="11"/>
  <c r="U258" i="11" l="1"/>
  <c r="BN69" i="11"/>
  <c r="BN135" i="11" s="1"/>
  <c r="BN103" i="11"/>
  <c r="BN161" i="11"/>
  <c r="DC71" i="11"/>
  <c r="V257" i="11"/>
  <c r="V19" i="7" s="1"/>
  <c r="T27" i="7"/>
  <c r="U22" i="7"/>
  <c r="U21" i="7"/>
  <c r="H190" i="2"/>
  <c r="H190" i="28" s="1"/>
  <c r="V281" i="11"/>
  <c r="U282" i="11"/>
  <c r="U313" i="11"/>
  <c r="W257" i="11" l="1"/>
  <c r="W19" i="7" s="1"/>
  <c r="V258" i="11"/>
  <c r="BO68" i="11"/>
  <c r="BO140" i="11" s="1"/>
  <c r="BO67" i="11"/>
  <c r="H223" i="2"/>
  <c r="H223" i="28" s="1"/>
  <c r="U27" i="7"/>
  <c r="V22" i="7"/>
  <c r="V21" i="7"/>
  <c r="H191" i="2"/>
  <c r="W281" i="11"/>
  <c r="V282" i="11"/>
  <c r="BM211" i="11"/>
  <c r="BM237" i="11"/>
  <c r="BM253" i="11"/>
  <c r="BN186" i="11" s="1"/>
  <c r="BN277" i="11" s="1"/>
  <c r="H191" i="28"/>
  <c r="BO153" i="11" l="1"/>
  <c r="W258" i="11"/>
  <c r="X257" i="11"/>
  <c r="X19" i="7" s="1"/>
  <c r="BO118" i="11"/>
  <c r="V27" i="7"/>
  <c r="W22" i="7"/>
  <c r="W21" i="7"/>
  <c r="X281" i="11"/>
  <c r="W282" i="11"/>
  <c r="X258" i="11" l="1"/>
  <c r="Y257" i="11"/>
  <c r="Y19" i="7" s="1"/>
  <c r="W27" i="7"/>
  <c r="X22" i="7"/>
  <c r="X21" i="7"/>
  <c r="Y281" i="11"/>
  <c r="X282" i="11"/>
  <c r="BN71" i="11"/>
  <c r="Y258" i="11" l="1"/>
  <c r="Z257" i="11"/>
  <c r="Z19" i="7" s="1"/>
  <c r="X27" i="7"/>
  <c r="Y22" i="7"/>
  <c r="Y21" i="7"/>
  <c r="BO63" i="11"/>
  <c r="Z281" i="11"/>
  <c r="Y282" i="11"/>
  <c r="BN72" i="11"/>
  <c r="Z258" i="11" l="1"/>
  <c r="AA257" i="11"/>
  <c r="AA19" i="7" s="1"/>
  <c r="BO69" i="11"/>
  <c r="BO135" i="11" s="1"/>
  <c r="BO103" i="11"/>
  <c r="BO161" i="11"/>
  <c r="DD71" i="11"/>
  <c r="Y27" i="7"/>
  <c r="Z22" i="7"/>
  <c r="Z21" i="7"/>
  <c r="AA281" i="11"/>
  <c r="Z282" i="11"/>
  <c r="AB257" i="11" l="1"/>
  <c r="AB19" i="7" s="1"/>
  <c r="AA258" i="11"/>
  <c r="BP67" i="11"/>
  <c r="BP68" i="11"/>
  <c r="BP140" i="11" s="1"/>
  <c r="Z27" i="7"/>
  <c r="AA22" i="7"/>
  <c r="AA21" i="7"/>
  <c r="AB281" i="11"/>
  <c r="AA282" i="11"/>
  <c r="BN211" i="11"/>
  <c r="BN237" i="11"/>
  <c r="BN253" i="11"/>
  <c r="BO186" i="11" s="1"/>
  <c r="BO277" i="11" s="1"/>
  <c r="AC257" i="11" l="1"/>
  <c r="AC19" i="7" s="1"/>
  <c r="AB258" i="11"/>
  <c r="BP153" i="11"/>
  <c r="BP118" i="11"/>
  <c r="AA27" i="7"/>
  <c r="AB22" i="7"/>
  <c r="AB21" i="7"/>
  <c r="AC281" i="11"/>
  <c r="AB282" i="11"/>
  <c r="AC258" i="11" l="1"/>
  <c r="AD257" i="11"/>
  <c r="AD19" i="7" s="1"/>
  <c r="AB27" i="7"/>
  <c r="AC22" i="7"/>
  <c r="AC21" i="7"/>
  <c r="AD281" i="11"/>
  <c r="AC282" i="11"/>
  <c r="BO71" i="11"/>
  <c r="AE257" i="11" l="1"/>
  <c r="AE19" i="7" s="1"/>
  <c r="AD258" i="11"/>
  <c r="AC27" i="7"/>
  <c r="AD22" i="7"/>
  <c r="AD21" i="7"/>
  <c r="BP63" i="11"/>
  <c r="AE281" i="11"/>
  <c r="AD282" i="11"/>
  <c r="BO72" i="11"/>
  <c r="AF257" i="11" l="1"/>
  <c r="AF19" i="7" s="1"/>
  <c r="AE258" i="11"/>
  <c r="BP103" i="11"/>
  <c r="BP69" i="11"/>
  <c r="BP135" i="11" s="1"/>
  <c r="BP161" i="11"/>
  <c r="DE71" i="11"/>
  <c r="AD27" i="7"/>
  <c r="AE22" i="7"/>
  <c r="AE21" i="7"/>
  <c r="AF281" i="11"/>
  <c r="AE282" i="11"/>
  <c r="AF258" i="11" l="1"/>
  <c r="AG257" i="11"/>
  <c r="AG19" i="7" s="1"/>
  <c r="BQ68" i="11"/>
  <c r="BQ140" i="11" s="1"/>
  <c r="BQ67" i="11"/>
  <c r="AE27" i="7"/>
  <c r="AF22" i="7"/>
  <c r="AF21" i="7"/>
  <c r="AG281" i="11"/>
  <c r="I190" i="2" s="1"/>
  <c r="AF282" i="11"/>
  <c r="BO211" i="11"/>
  <c r="BO237" i="11"/>
  <c r="BO253" i="11"/>
  <c r="BP186" i="11" s="1"/>
  <c r="BP277" i="11" s="1"/>
  <c r="AG258" i="11" l="1"/>
  <c r="BQ153" i="11"/>
  <c r="BQ118" i="11"/>
  <c r="AF27" i="7"/>
  <c r="AG22" i="7"/>
  <c r="AG21" i="7"/>
  <c r="I191" i="2"/>
  <c r="I190" i="28"/>
  <c r="AG282" i="11"/>
  <c r="AG27" i="7" l="1"/>
  <c r="I191" i="28"/>
  <c r="BP71" i="11"/>
  <c r="BQ63" i="11" l="1"/>
  <c r="BP72" i="11"/>
  <c r="BQ103" i="11" l="1"/>
  <c r="BQ69" i="11"/>
  <c r="BQ135" i="11" s="1"/>
  <c r="BQ161" i="11"/>
  <c r="DF71" i="11"/>
  <c r="BR68" i="11" l="1"/>
  <c r="BR140" i="11" s="1"/>
  <c r="BR67" i="11"/>
  <c r="BR153" i="11" s="1"/>
  <c r="BP211" i="11"/>
  <c r="BP237" i="11"/>
  <c r="BP253" i="11"/>
  <c r="BQ186" i="11" s="1"/>
  <c r="BQ277" i="11" s="1"/>
  <c r="BR118" i="11" l="1"/>
  <c r="BQ71" i="11" l="1"/>
  <c r="BR63" i="11" l="1"/>
  <c r="I12" i="14"/>
  <c r="BQ72" i="11"/>
  <c r="BR103" i="11" l="1"/>
  <c r="BR69" i="11"/>
  <c r="BR135" i="11" s="1"/>
  <c r="BR161" i="11"/>
  <c r="DG71" i="11"/>
  <c r="BS68" i="11" l="1"/>
  <c r="BS140" i="11" s="1"/>
  <c r="BS67" i="11"/>
  <c r="BS153" i="11" s="1"/>
  <c r="O37" i="2"/>
  <c r="P37" i="2"/>
  <c r="BQ211" i="11"/>
  <c r="BQ237" i="11"/>
  <c r="BQ253" i="11"/>
  <c r="BS118" i="11" l="1"/>
  <c r="P37" i="28"/>
  <c r="O37" i="28"/>
  <c r="BR186" i="11"/>
  <c r="BR277" i="11" s="1"/>
  <c r="L186" i="2"/>
  <c r="L186" i="28" s="1"/>
  <c r="BR71" i="11" l="1"/>
  <c r="BS63" i="11" l="1"/>
  <c r="BR72" i="11"/>
  <c r="BS103" i="11" l="1"/>
  <c r="BS69" i="11"/>
  <c r="BS135" i="11" s="1"/>
  <c r="BS161" i="11"/>
  <c r="BT68" i="11" l="1"/>
  <c r="BT140" i="11" s="1"/>
  <c r="BT67" i="11"/>
  <c r="BT153" i="11" s="1"/>
  <c r="BR237" i="11"/>
  <c r="BR211" i="11"/>
  <c r="BR253" i="11"/>
  <c r="BT118" i="11" l="1"/>
  <c r="BS186" i="11"/>
  <c r="BS277" i="11" s="1"/>
  <c r="BS71" i="11" l="1"/>
  <c r="BT63" i="11" l="1"/>
  <c r="BS72" i="11"/>
  <c r="BT103" i="11" l="1"/>
  <c r="BT69" i="11"/>
  <c r="BT135" i="11" s="1"/>
  <c r="BT161" i="11"/>
  <c r="BU68" i="11" l="1"/>
  <c r="BU140" i="11" s="1"/>
  <c r="BU67" i="11"/>
  <c r="BU153" i="11" s="1"/>
  <c r="BS237" i="11"/>
  <c r="BS211" i="11"/>
  <c r="BS253" i="11"/>
  <c r="BU118" i="11" l="1"/>
  <c r="BT186" i="11"/>
  <c r="BT277" i="11" s="1"/>
  <c r="BT71" i="11" l="1"/>
  <c r="BU63" i="11" l="1"/>
  <c r="BT72" i="11"/>
  <c r="BU103" i="11" l="1"/>
  <c r="BU69" i="11"/>
  <c r="BU135" i="11" s="1"/>
  <c r="BU161" i="11"/>
  <c r="BV68" i="11" l="1"/>
  <c r="BV140" i="11" s="1"/>
  <c r="BV67" i="11"/>
  <c r="BV153" i="11" s="1"/>
  <c r="BT237" i="11"/>
  <c r="BT211" i="11"/>
  <c r="BT253" i="11"/>
  <c r="BU186" i="11" s="1"/>
  <c r="BU277" i="11" s="1"/>
  <c r="BV118" i="11" l="1"/>
  <c r="BU71" i="11" l="1"/>
  <c r="BV63" i="11" l="1"/>
  <c r="BU72" i="11"/>
  <c r="BV69" i="11" l="1"/>
  <c r="BV135" i="11" s="1"/>
  <c r="BV103" i="11"/>
  <c r="BV161" i="11"/>
  <c r="BW68" i="11" l="1"/>
  <c r="BW140" i="11" s="1"/>
  <c r="BW67" i="11"/>
  <c r="BU211" i="11"/>
  <c r="BU237" i="11"/>
  <c r="BU253" i="11"/>
  <c r="BV186" i="11" s="1"/>
  <c r="BV277" i="11" s="1"/>
  <c r="BW153" i="11" l="1"/>
  <c r="BW118" i="11"/>
  <c r="BV71" i="11" l="1"/>
  <c r="BW63" i="11" l="1"/>
  <c r="BV72" i="11"/>
  <c r="BW69" i="11" l="1"/>
  <c r="BW135" i="11" s="1"/>
  <c r="BW103" i="11"/>
  <c r="BW161" i="11"/>
  <c r="BX68" i="11" l="1"/>
  <c r="BX140" i="11" s="1"/>
  <c r="BX67" i="11"/>
  <c r="BV211" i="11"/>
  <c r="BV237" i="11"/>
  <c r="BV253" i="11"/>
  <c r="BW186" i="11" s="1"/>
  <c r="BW277" i="11" s="1"/>
  <c r="BX153" i="11" l="1"/>
  <c r="BX118" i="11"/>
  <c r="BW71" i="11" l="1"/>
  <c r="BX63" i="11" l="1"/>
  <c r="BW72" i="11"/>
  <c r="BX103" i="11" l="1"/>
  <c r="BX69" i="11"/>
  <c r="BX135" i="11" s="1"/>
  <c r="BX161" i="11"/>
  <c r="BY68" i="11" l="1"/>
  <c r="BY140" i="11" s="1"/>
  <c r="BY67" i="11"/>
  <c r="BW237" i="11"/>
  <c r="BW211" i="11"/>
  <c r="BW253" i="11"/>
  <c r="BX186" i="11" s="1"/>
  <c r="BX277" i="11" s="1"/>
  <c r="BY153" i="11" l="1"/>
  <c r="BY118" i="11"/>
  <c r="BX71" i="11" l="1"/>
  <c r="BY63" i="11" l="1"/>
  <c r="BX72" i="11"/>
  <c r="BY103" i="11" l="1"/>
  <c r="BY69" i="11"/>
  <c r="BY135" i="11" s="1"/>
  <c r="BY161" i="11"/>
  <c r="BZ68" i="11" l="1"/>
  <c r="BZ140" i="11" s="1"/>
  <c r="BZ67" i="11"/>
  <c r="BX237" i="11"/>
  <c r="BX211" i="11"/>
  <c r="BX253" i="11"/>
  <c r="BY186" i="11" s="1"/>
  <c r="BY277" i="11" s="1"/>
  <c r="BZ153" i="11" l="1"/>
  <c r="BZ118" i="11"/>
  <c r="BY71" i="11" l="1"/>
  <c r="BZ63" i="11" l="1"/>
  <c r="BY72" i="11"/>
  <c r="BZ103" i="11" l="1"/>
  <c r="BZ69" i="11"/>
  <c r="BZ135" i="11" s="1"/>
  <c r="BZ161" i="11"/>
  <c r="CA68" i="11" l="1"/>
  <c r="CA140" i="11" s="1"/>
  <c r="CA67" i="11"/>
  <c r="BY211" i="11"/>
  <c r="BY237" i="11"/>
  <c r="BY253" i="11"/>
  <c r="BZ186" i="11" s="1"/>
  <c r="BZ277" i="11" s="1"/>
  <c r="CA153" i="11" l="1"/>
  <c r="CA118" i="11"/>
  <c r="BZ71" i="11" l="1"/>
  <c r="CA63" i="11" l="1"/>
  <c r="BZ72" i="11"/>
  <c r="CA103" i="11" l="1"/>
  <c r="CA69" i="11"/>
  <c r="CA135" i="11" s="1"/>
  <c r="CA161" i="11"/>
  <c r="CB68" i="11" l="1"/>
  <c r="CB140" i="11" s="1"/>
  <c r="CB67" i="11"/>
  <c r="BZ211" i="11"/>
  <c r="BZ237" i="11"/>
  <c r="BZ253" i="11"/>
  <c r="CA186" i="11" s="1"/>
  <c r="CA277" i="11" s="1"/>
  <c r="CB153" i="11" l="1"/>
  <c r="CB118" i="11"/>
  <c r="CA71" i="11" l="1"/>
  <c r="CB63" i="11" l="1"/>
  <c r="CA72" i="11"/>
  <c r="CB103" i="11" l="1"/>
  <c r="CB69" i="11"/>
  <c r="CB135" i="11" s="1"/>
  <c r="CB161" i="11"/>
  <c r="CC68" i="11" l="1"/>
  <c r="CC140" i="11" s="1"/>
  <c r="CC67" i="11"/>
  <c r="CA211" i="11"/>
  <c r="CA237" i="11"/>
  <c r="CA253" i="11"/>
  <c r="CB186" i="11" s="1"/>
  <c r="CB277" i="11" s="1"/>
  <c r="CC153" i="11" l="1"/>
  <c r="CC118" i="11"/>
  <c r="CB71" i="11" l="1"/>
  <c r="CC63" i="11" l="1"/>
  <c r="CB72" i="11"/>
  <c r="CC103" i="11" l="1"/>
  <c r="CC69" i="11"/>
  <c r="CC135" i="11" s="1"/>
  <c r="CC161" i="11"/>
  <c r="H74" i="2"/>
  <c r="H74" i="28" s="1"/>
  <c r="CD68" i="11" l="1"/>
  <c r="CD140" i="11" s="1"/>
  <c r="CD67" i="11"/>
  <c r="CD153" i="11" s="1"/>
  <c r="H61" i="2"/>
  <c r="CB211" i="11"/>
  <c r="CB237" i="11"/>
  <c r="CB253" i="11"/>
  <c r="CD118" i="11" l="1"/>
  <c r="H61" i="28"/>
  <c r="H16" i="2"/>
  <c r="H17" i="2"/>
  <c r="CC186" i="11"/>
  <c r="CC277" i="11" s="1"/>
  <c r="H15" i="2" l="1"/>
  <c r="CC71" i="11"/>
  <c r="I108" i="2"/>
  <c r="I108" i="28" s="1"/>
  <c r="J108" i="2"/>
  <c r="J108" i="28" s="1"/>
  <c r="K108" i="2"/>
  <c r="K108" i="28" s="1"/>
  <c r="L108" i="2"/>
  <c r="L108" i="28" s="1"/>
  <c r="M108" i="2"/>
  <c r="M108" i="28" s="1"/>
  <c r="H206" i="28" l="1"/>
  <c r="CD63" i="11"/>
  <c r="H14" i="2"/>
  <c r="H94" i="2"/>
  <c r="H94" i="28" s="1"/>
  <c r="J12" i="14"/>
  <c r="H37" i="2"/>
  <c r="I37" i="2"/>
  <c r="J37" i="2"/>
  <c r="K37" i="2"/>
  <c r="L37" i="2"/>
  <c r="M37" i="2"/>
  <c r="K53" i="2"/>
  <c r="L53" i="2"/>
  <c r="M53" i="2"/>
  <c r="K30" i="2"/>
  <c r="L30" i="2"/>
  <c r="M30" i="2"/>
  <c r="K66" i="2"/>
  <c r="L66" i="2"/>
  <c r="M66" i="2"/>
  <c r="CC72" i="11"/>
  <c r="H20" i="2" l="1"/>
  <c r="H206" i="2" s="1"/>
  <c r="CD69" i="11"/>
  <c r="CD135" i="11" s="1"/>
  <c r="CD103" i="11"/>
  <c r="CD161" i="11"/>
  <c r="CD72" i="11"/>
  <c r="I12" i="28"/>
  <c r="L66" i="28"/>
  <c r="M66" i="28"/>
  <c r="K66" i="28"/>
  <c r="M53" i="28"/>
  <c r="L53" i="28"/>
  <c r="K53" i="28"/>
  <c r="I37" i="28"/>
  <c r="H40" i="2"/>
  <c r="H37" i="28"/>
  <c r="H40" i="28" s="1"/>
  <c r="M37" i="28"/>
  <c r="L37" i="28"/>
  <c r="K37" i="28"/>
  <c r="J37" i="28"/>
  <c r="M30" i="28"/>
  <c r="L30" i="28"/>
  <c r="K30" i="28"/>
  <c r="H97" i="28"/>
  <c r="H97" i="2"/>
  <c r="H130" i="2"/>
  <c r="H130" i="28" s="1"/>
  <c r="H88" i="2"/>
  <c r="H88" i="28" s="1"/>
  <c r="H87" i="2"/>
  <c r="H87" i="28" s="1"/>
  <c r="CE72" i="11" l="1"/>
  <c r="CE68" i="11"/>
  <c r="CE140" i="11" s="1"/>
  <c r="CE67" i="11"/>
  <c r="CE153" i="11" s="1"/>
  <c r="CE63" i="11"/>
  <c r="H155" i="2"/>
  <c r="H155" i="28" s="1"/>
  <c r="H41" i="2"/>
  <c r="H86" i="2"/>
  <c r="H86" i="28" s="1"/>
  <c r="K95" i="2"/>
  <c r="K95" i="28" s="1"/>
  <c r="L95" i="2"/>
  <c r="L95" i="28" s="1"/>
  <c r="M95" i="2"/>
  <c r="M95" i="28" s="1"/>
  <c r="CC237" i="11"/>
  <c r="CC211" i="11"/>
  <c r="H135" i="2"/>
  <c r="H135" i="28" s="1"/>
  <c r="I135" i="2"/>
  <c r="I135" i="28" s="1"/>
  <c r="J135" i="2"/>
  <c r="J135" i="28" s="1"/>
  <c r="K135" i="2"/>
  <c r="K135" i="28" s="1"/>
  <c r="L135" i="2"/>
  <c r="L135" i="28" s="1"/>
  <c r="M135" i="2"/>
  <c r="M135" i="28" s="1"/>
  <c r="CC253" i="11"/>
  <c r="CD186" i="11" s="1"/>
  <c r="H41" i="28" l="1"/>
  <c r="O164" i="2"/>
  <c r="O164" i="28" s="1"/>
  <c r="Q164" i="2"/>
  <c r="Q164" i="28" s="1"/>
  <c r="P164" i="2"/>
  <c r="P164" i="28" s="1"/>
  <c r="N164" i="2"/>
  <c r="N164" i="28" s="1"/>
  <c r="CF72" i="11"/>
  <c r="CE69" i="11"/>
  <c r="CE135" i="11" s="1"/>
  <c r="CE103" i="11"/>
  <c r="CE161" i="11"/>
  <c r="CE118" i="11"/>
  <c r="CD277" i="11"/>
  <c r="CD253" i="11"/>
  <c r="M186" i="2"/>
  <c r="M186" i="28" s="1"/>
  <c r="H164" i="2"/>
  <c r="H164" i="28" s="1"/>
  <c r="I164" i="2"/>
  <c r="I164" i="28" s="1"/>
  <c r="J164" i="2"/>
  <c r="J164" i="28" s="1"/>
  <c r="K164" i="2"/>
  <c r="K164" i="28" s="1"/>
  <c r="L164" i="2"/>
  <c r="L164" i="28" s="1"/>
  <c r="M164" i="2"/>
  <c r="M164" i="28" s="1"/>
  <c r="J136" i="2"/>
  <c r="H136" i="2"/>
  <c r="I136" i="2"/>
  <c r="M136" i="2"/>
  <c r="L136" i="2"/>
  <c r="K136" i="2"/>
  <c r="CG72" i="11" l="1"/>
  <c r="CF67" i="11"/>
  <c r="CF153" i="11" s="1"/>
  <c r="CF68" i="11"/>
  <c r="CF140" i="11" s="1"/>
  <c r="CE186" i="11"/>
  <c r="CE277" i="11" s="1"/>
  <c r="CF63" i="11"/>
  <c r="J136" i="28"/>
  <c r="L136" i="28"/>
  <c r="M136" i="28"/>
  <c r="K136" i="28"/>
  <c r="I136" i="28"/>
  <c r="H136" i="28"/>
  <c r="CH72" i="11" l="1"/>
  <c r="CE253" i="11"/>
  <c r="CF186" i="11" s="1"/>
  <c r="CF103" i="11"/>
  <c r="CF69" i="11"/>
  <c r="CF135" i="11" s="1"/>
  <c r="CF118" i="11"/>
  <c r="CF161" i="11"/>
  <c r="CI72" i="11" l="1"/>
  <c r="CF253" i="11"/>
  <c r="CG186" i="11" s="1"/>
  <c r="CG253" i="11" s="1"/>
  <c r="CF277" i="11"/>
  <c r="CG68" i="11"/>
  <c r="CG140" i="11" s="1"/>
  <c r="CG67" i="11"/>
  <c r="CG153" i="11" s="1"/>
  <c r="CG63" i="11"/>
  <c r="M79" i="2"/>
  <c r="M79" i="28" s="1"/>
  <c r="L79" i="2"/>
  <c r="L79" i="28" s="1"/>
  <c r="K79" i="2"/>
  <c r="K79" i="28" s="1"/>
  <c r="J79" i="2"/>
  <c r="J79" i="28" s="1"/>
  <c r="I79" i="2"/>
  <c r="I79" i="28" s="1"/>
  <c r="H79" i="2"/>
  <c r="H79" i="28" s="1"/>
  <c r="CJ72" i="11" l="1"/>
  <c r="CG277" i="11"/>
  <c r="CG103" i="11"/>
  <c r="CG69" i="11"/>
  <c r="CG135" i="11" s="1"/>
  <c r="CG161" i="11"/>
  <c r="CG118" i="11"/>
  <c r="CH186" i="11"/>
  <c r="CH253" i="11" s="1"/>
  <c r="M83" i="2"/>
  <c r="M83" i="28" s="1"/>
  <c r="K83" i="2"/>
  <c r="K83" i="28" s="1"/>
  <c r="U164" i="11"/>
  <c r="U169" i="11" s="1"/>
  <c r="U179" i="11" s="1"/>
  <c r="S164" i="11"/>
  <c r="S169" i="11" s="1"/>
  <c r="S179" i="11" s="1"/>
  <c r="M82" i="2"/>
  <c r="M82" i="28" s="1"/>
  <c r="O164" i="11"/>
  <c r="O169" i="11" s="1"/>
  <c r="O179" i="11" s="1"/>
  <c r="R164" i="11"/>
  <c r="R169" i="11" s="1"/>
  <c r="R179" i="11" s="1"/>
  <c r="R304" i="11" s="1"/>
  <c r="Q164" i="11"/>
  <c r="Q169" i="11" s="1"/>
  <c r="Q179" i="11" s="1"/>
  <c r="K81" i="2"/>
  <c r="K81" i="28" s="1"/>
  <c r="M164" i="11"/>
  <c r="M169" i="11" s="1"/>
  <c r="M179" i="11" s="1"/>
  <c r="P164" i="11"/>
  <c r="P169" i="11" s="1"/>
  <c r="P179" i="11" s="1"/>
  <c r="H83" i="2"/>
  <c r="H83" i="28" s="1"/>
  <c r="I81" i="2"/>
  <c r="I81" i="28" s="1"/>
  <c r="T164" i="11"/>
  <c r="T169" i="11" s="1"/>
  <c r="T179" i="11" s="1"/>
  <c r="N164" i="11"/>
  <c r="N169" i="11" s="1"/>
  <c r="N179" i="11" s="1"/>
  <c r="L83" i="2"/>
  <c r="L83" i="28" s="1"/>
  <c r="L81" i="2"/>
  <c r="L81" i="28" s="1"/>
  <c r="L82" i="2"/>
  <c r="L82" i="28" s="1"/>
  <c r="I82" i="2"/>
  <c r="I82" i="28" s="1"/>
  <c r="L164" i="11"/>
  <c r="L169" i="11" s="1"/>
  <c r="L179" i="11" s="1"/>
  <c r="J82" i="2"/>
  <c r="J82" i="28" s="1"/>
  <c r="K82" i="2"/>
  <c r="K82" i="28" s="1"/>
  <c r="I83" i="2"/>
  <c r="I83" i="28" s="1"/>
  <c r="H80" i="2"/>
  <c r="H80" i="28" s="1"/>
  <c r="H82" i="2"/>
  <c r="H82" i="28" s="1"/>
  <c r="K164" i="11"/>
  <c r="K169" i="11" s="1"/>
  <c r="K179" i="11" s="1"/>
  <c r="J83" i="2"/>
  <c r="J83" i="28" s="1"/>
  <c r="J81" i="2"/>
  <c r="J81" i="28" s="1"/>
  <c r="H81" i="2"/>
  <c r="H81" i="28" s="1"/>
  <c r="M81" i="2"/>
  <c r="M81" i="28" s="1"/>
  <c r="R303" i="11" l="1"/>
  <c r="Q181" i="11"/>
  <c r="Q301" i="11" s="1"/>
  <c r="Q182" i="11"/>
  <c r="N181" i="11"/>
  <c r="N188" i="11" s="1"/>
  <c r="N182" i="11"/>
  <c r="N189" i="11" s="1"/>
  <c r="R181" i="11"/>
  <c r="R182" i="11"/>
  <c r="T181" i="11"/>
  <c r="T301" i="11" s="1"/>
  <c r="T182" i="11"/>
  <c r="O181" i="11"/>
  <c r="O188" i="11" s="1"/>
  <c r="O182" i="11"/>
  <c r="L181" i="11"/>
  <c r="L182" i="11"/>
  <c r="S181" i="11"/>
  <c r="S188" i="11" s="1"/>
  <c r="S182" i="11"/>
  <c r="P181" i="11"/>
  <c r="P188" i="11" s="1"/>
  <c r="P182" i="11"/>
  <c r="U181" i="11"/>
  <c r="U188" i="11" s="1"/>
  <c r="U182" i="11"/>
  <c r="K181" i="11"/>
  <c r="K182" i="11"/>
  <c r="M181" i="11"/>
  <c r="M188" i="11" s="1"/>
  <c r="M182" i="11"/>
  <c r="CK72" i="11"/>
  <c r="CH277" i="11"/>
  <c r="CH68" i="11"/>
  <c r="CH140" i="11" s="1"/>
  <c r="CH67" i="11"/>
  <c r="CH153" i="11" s="1"/>
  <c r="CH63" i="11"/>
  <c r="CI186" i="11"/>
  <c r="U304" i="11"/>
  <c r="L304" i="11"/>
  <c r="Q304" i="11"/>
  <c r="N304" i="11"/>
  <c r="O304" i="11"/>
  <c r="P304" i="11"/>
  <c r="T304" i="11"/>
  <c r="K304" i="11"/>
  <c r="M304" i="11"/>
  <c r="S304" i="11"/>
  <c r="R235" i="11"/>
  <c r="O303" i="11"/>
  <c r="T303" i="11"/>
  <c r="K303" i="11"/>
  <c r="M235" i="11"/>
  <c r="S235" i="11"/>
  <c r="H84" i="2"/>
  <c r="H89" i="2" s="1"/>
  <c r="H99" i="2" s="1"/>
  <c r="O235" i="11"/>
  <c r="N303" i="11"/>
  <c r="N235" i="11"/>
  <c r="T235" i="11"/>
  <c r="U303" i="11"/>
  <c r="H213" i="28" s="1"/>
  <c r="Q235" i="11"/>
  <c r="J179" i="11"/>
  <c r="P303" i="11"/>
  <c r="Q303" i="11"/>
  <c r="P235" i="11"/>
  <c r="U235" i="11"/>
  <c r="M303" i="11"/>
  <c r="S303" i="11"/>
  <c r="L303" i="11"/>
  <c r="L235" i="11"/>
  <c r="K235" i="11"/>
  <c r="J303" i="11" l="1"/>
  <c r="J304" i="11"/>
  <c r="N192" i="11"/>
  <c r="H214" i="28"/>
  <c r="CL72" i="11"/>
  <c r="CI277" i="11"/>
  <c r="CI253" i="11"/>
  <c r="CJ186" i="11" s="1"/>
  <c r="CH103" i="11"/>
  <c r="CH69" i="11"/>
  <c r="CH135" i="11" s="1"/>
  <c r="CH161" i="11"/>
  <c r="CH118" i="11"/>
  <c r="H214" i="2"/>
  <c r="H213" i="2"/>
  <c r="U301" i="11"/>
  <c r="P301" i="11"/>
  <c r="Q188" i="11"/>
  <c r="Q191" i="11" s="1"/>
  <c r="U191" i="11"/>
  <c r="O191" i="11"/>
  <c r="M191" i="11"/>
  <c r="N191" i="11"/>
  <c r="N194" i="11" s="1"/>
  <c r="N305" i="11" s="1"/>
  <c r="P191" i="11"/>
  <c r="S191" i="11"/>
  <c r="T189" i="11"/>
  <c r="S189" i="11"/>
  <c r="M189" i="11"/>
  <c r="O189" i="11"/>
  <c r="K189" i="11"/>
  <c r="K188" i="11"/>
  <c r="R189" i="11"/>
  <c r="O301" i="11"/>
  <c r="U189" i="11"/>
  <c r="H84" i="28"/>
  <c r="N301" i="11"/>
  <c r="T188" i="11"/>
  <c r="Q189" i="11"/>
  <c r="R301" i="11"/>
  <c r="R188" i="11"/>
  <c r="S301" i="11"/>
  <c r="J235" i="11"/>
  <c r="M301" i="11"/>
  <c r="P189" i="11"/>
  <c r="L189" i="11"/>
  <c r="L188" i="11"/>
  <c r="L301" i="11"/>
  <c r="K301" i="11"/>
  <c r="T192" i="11" l="1"/>
  <c r="L192" i="11"/>
  <c r="U192" i="11"/>
  <c r="R192" i="11"/>
  <c r="P192" i="11"/>
  <c r="M192" i="11"/>
  <c r="N197" i="11"/>
  <c r="Q192" i="11"/>
  <c r="O192" i="11"/>
  <c r="S192" i="11"/>
  <c r="K192" i="11"/>
  <c r="CM72" i="11"/>
  <c r="CJ277" i="11"/>
  <c r="CI68" i="11"/>
  <c r="CI140" i="11" s="1"/>
  <c r="CI67" i="11"/>
  <c r="CI63" i="11"/>
  <c r="CJ253" i="11"/>
  <c r="H162" i="2"/>
  <c r="H162" i="28" s="1"/>
  <c r="M194" i="11"/>
  <c r="M305" i="11" s="1"/>
  <c r="O194" i="11"/>
  <c r="O305" i="11" s="1"/>
  <c r="S194" i="11"/>
  <c r="S305" i="11" s="1"/>
  <c r="N196" i="11"/>
  <c r="N239" i="11"/>
  <c r="K191" i="11"/>
  <c r="K194" i="11" s="1"/>
  <c r="K305" i="11" s="1"/>
  <c r="T191" i="11"/>
  <c r="T194" i="11" s="1"/>
  <c r="T305" i="11" s="1"/>
  <c r="L191" i="11"/>
  <c r="L194" i="11" s="1"/>
  <c r="L305" i="11" s="1"/>
  <c r="U194" i="11"/>
  <c r="U305" i="11" s="1"/>
  <c r="H215" i="28" s="1"/>
  <c r="Q194" i="11"/>
  <c r="Q305" i="11" s="1"/>
  <c r="P194" i="11"/>
  <c r="P305" i="11" s="1"/>
  <c r="R191" i="11"/>
  <c r="R194" i="11" s="1"/>
  <c r="R305" i="11" s="1"/>
  <c r="H89" i="28"/>
  <c r="H99" i="28" s="1"/>
  <c r="Q197" i="11" l="1"/>
  <c r="U197" i="11"/>
  <c r="M197" i="11"/>
  <c r="L197" i="11"/>
  <c r="S197" i="11"/>
  <c r="P197" i="11"/>
  <c r="T197" i="11"/>
  <c r="O197" i="11"/>
  <c r="R197" i="11"/>
  <c r="K197" i="11"/>
  <c r="CN72" i="11"/>
  <c r="CI153" i="11"/>
  <c r="CI103" i="11"/>
  <c r="CI69" i="11"/>
  <c r="CI135" i="11" s="1"/>
  <c r="CI161" i="11"/>
  <c r="CI118" i="11"/>
  <c r="H215" i="2"/>
  <c r="CK186" i="11"/>
  <c r="CK277" i="11" s="1"/>
  <c r="N302" i="11"/>
  <c r="M196" i="11"/>
  <c r="M239" i="11"/>
  <c r="O196" i="11"/>
  <c r="S239" i="11"/>
  <c r="S196" i="11"/>
  <c r="O239" i="11"/>
  <c r="Q239" i="11"/>
  <c r="U239" i="11"/>
  <c r="P239" i="11"/>
  <c r="T239" i="11"/>
  <c r="L239" i="11"/>
  <c r="R239" i="11"/>
  <c r="K239" i="11"/>
  <c r="Q196" i="11"/>
  <c r="T196" i="11"/>
  <c r="K196" i="11"/>
  <c r="U196" i="11"/>
  <c r="R196" i="11"/>
  <c r="P196" i="11"/>
  <c r="L196" i="11"/>
  <c r="N204" i="11"/>
  <c r="N222" i="11" s="1"/>
  <c r="CO72" i="11" l="1"/>
  <c r="CK253" i="11"/>
  <c r="CL186" i="11" s="1"/>
  <c r="CL253" i="11" s="1"/>
  <c r="CJ68" i="11"/>
  <c r="CJ140" i="11" s="1"/>
  <c r="CJ67" i="11"/>
  <c r="CJ63" i="11"/>
  <c r="L204" i="11"/>
  <c r="L222" i="11" s="1"/>
  <c r="S204" i="11"/>
  <c r="M204" i="11"/>
  <c r="M222" i="11" s="1"/>
  <c r="T204" i="11"/>
  <c r="O204" i="11"/>
  <c r="O222" i="11" s="1"/>
  <c r="K204" i="11"/>
  <c r="K222" i="11" s="1"/>
  <c r="M302" i="11"/>
  <c r="O302" i="11"/>
  <c r="S302" i="11"/>
  <c r="K302" i="11"/>
  <c r="L302" i="11"/>
  <c r="T302" i="11"/>
  <c r="P302" i="11"/>
  <c r="P204" i="11"/>
  <c r="P222" i="11" s="1"/>
  <c r="Q204" i="11"/>
  <c r="Q222" i="11" s="1"/>
  <c r="Q302" i="11"/>
  <c r="U204" i="11"/>
  <c r="U302" i="11"/>
  <c r="R302" i="11"/>
  <c r="R204" i="11"/>
  <c r="R222" i="11" s="1"/>
  <c r="N207" i="11"/>
  <c r="CP72" i="11" l="1"/>
  <c r="CJ153" i="11"/>
  <c r="CL277" i="11"/>
  <c r="CJ103" i="11"/>
  <c r="CJ69" i="11"/>
  <c r="CJ135" i="11" s="1"/>
  <c r="CJ161" i="11"/>
  <c r="CJ118" i="11"/>
  <c r="CM186" i="11"/>
  <c r="CM253" i="11" s="1"/>
  <c r="L207" i="11"/>
  <c r="M207" i="11"/>
  <c r="O207" i="11"/>
  <c r="K207" i="11"/>
  <c r="P207" i="11"/>
  <c r="Q207" i="11"/>
  <c r="R207" i="11"/>
  <c r="CQ72" i="11" l="1"/>
  <c r="CM277" i="11"/>
  <c r="CK68" i="11"/>
  <c r="CK140" i="11" s="1"/>
  <c r="CK67" i="11"/>
  <c r="CK63" i="11"/>
  <c r="CN186" i="11"/>
  <c r="CN253" i="11" s="1"/>
  <c r="CR72" i="11" l="1"/>
  <c r="CK153" i="11"/>
  <c r="CN277" i="11"/>
  <c r="CK103" i="11"/>
  <c r="CK69" i="11"/>
  <c r="CK135" i="11" s="1"/>
  <c r="CK161" i="11"/>
  <c r="CK118" i="11"/>
  <c r="CO186" i="11"/>
  <c r="CO253" i="11" s="1"/>
  <c r="N186" i="2" s="1"/>
  <c r="N186" i="28" s="1"/>
  <c r="CS72" i="11" l="1"/>
  <c r="CO277" i="11"/>
  <c r="CL68" i="11"/>
  <c r="CL140" i="11" s="1"/>
  <c r="CL67" i="11"/>
  <c r="CL63" i="11"/>
  <c r="CP186" i="11"/>
  <c r="CP253" i="11" s="1"/>
  <c r="CT72" i="11" l="1"/>
  <c r="CL153" i="11"/>
  <c r="CP277" i="11"/>
  <c r="CL69" i="11"/>
  <c r="CL135" i="11" s="1"/>
  <c r="CL103" i="11"/>
  <c r="CL161" i="11"/>
  <c r="CL118" i="11"/>
  <c r="CQ186" i="11"/>
  <c r="CU72" i="11" l="1"/>
  <c r="CQ277" i="11"/>
  <c r="CQ253" i="11"/>
  <c r="CR186" i="11" s="1"/>
  <c r="CM68" i="11"/>
  <c r="CM140" i="11" s="1"/>
  <c r="CM67" i="11"/>
  <c r="CM63" i="11"/>
  <c r="CV72" i="11" l="1"/>
  <c r="CM153" i="11"/>
  <c r="CR253" i="11"/>
  <c r="CS186" i="11" s="1"/>
  <c r="CS253" i="11" s="1"/>
  <c r="CR277" i="11"/>
  <c r="CM69" i="11"/>
  <c r="CM135" i="11" s="1"/>
  <c r="CM103" i="11"/>
  <c r="CM161" i="11"/>
  <c r="CM118" i="11"/>
  <c r="CW72" i="11" l="1"/>
  <c r="CS277" i="11"/>
  <c r="CN67" i="11"/>
  <c r="CN68" i="11"/>
  <c r="CN140" i="11" s="1"/>
  <c r="CN63" i="11"/>
  <c r="CT186" i="11"/>
  <c r="CT253" i="11" s="1"/>
  <c r="CX72" i="11" l="1"/>
  <c r="CN153" i="11"/>
  <c r="CT277" i="11"/>
  <c r="CN103" i="11"/>
  <c r="CN69" i="11"/>
  <c r="CN135" i="11" s="1"/>
  <c r="CN118" i="11"/>
  <c r="CN161" i="11"/>
  <c r="CU186" i="11"/>
  <c r="CU253" i="11" s="1"/>
  <c r="CY72" i="11" l="1"/>
  <c r="CU277" i="11"/>
  <c r="CO68" i="11"/>
  <c r="CO140" i="11" s="1"/>
  <c r="CO67" i="11"/>
  <c r="CO63" i="11"/>
  <c r="CV186" i="11"/>
  <c r="CV253" i="11" s="1"/>
  <c r="CZ72" i="11" l="1"/>
  <c r="CO153" i="11"/>
  <c r="CV277" i="11"/>
  <c r="CO103" i="11"/>
  <c r="CO69" i="11"/>
  <c r="CO135" i="11" s="1"/>
  <c r="CO161" i="11"/>
  <c r="CO118" i="11"/>
  <c r="CW186" i="11"/>
  <c r="CW253" i="11" s="1"/>
  <c r="DA72" i="11" l="1"/>
  <c r="CW277" i="11"/>
  <c r="CP68" i="11"/>
  <c r="CP140" i="11" s="1"/>
  <c r="CP67" i="11"/>
  <c r="CP153" i="11" s="1"/>
  <c r="CP63" i="11"/>
  <c r="CX186" i="11"/>
  <c r="CX253" i="11" s="1"/>
  <c r="DB72" i="11" l="1"/>
  <c r="CX277" i="11"/>
  <c r="CP103" i="11"/>
  <c r="CP69" i="11"/>
  <c r="CP135" i="11" s="1"/>
  <c r="CP161" i="11"/>
  <c r="CP118" i="11"/>
  <c r="CY186" i="11"/>
  <c r="DC72" i="11" l="1"/>
  <c r="CY277" i="11"/>
  <c r="CQ68" i="11"/>
  <c r="CQ140" i="11" s="1"/>
  <c r="CQ67" i="11"/>
  <c r="CQ153" i="11" s="1"/>
  <c r="CQ63" i="11"/>
  <c r="CY253" i="11"/>
  <c r="DD72" i="11" l="1"/>
  <c r="CQ103" i="11"/>
  <c r="CQ69" i="11"/>
  <c r="CQ135" i="11" s="1"/>
  <c r="CQ161" i="11"/>
  <c r="CQ118" i="11"/>
  <c r="CZ186" i="11"/>
  <c r="CZ277" i="11" s="1"/>
  <c r="DE72" i="11" l="1"/>
  <c r="DF72" i="11" s="1"/>
  <c r="CZ253" i="11"/>
  <c r="DA186" i="11" s="1"/>
  <c r="DA277" i="11" s="1"/>
  <c r="CR68" i="11"/>
  <c r="CR140" i="11" s="1"/>
  <c r="CR67" i="11"/>
  <c r="CR153" i="11" s="1"/>
  <c r="CR63" i="11"/>
  <c r="CR103" i="11" l="1"/>
  <c r="CR69" i="11"/>
  <c r="CR135" i="11" s="1"/>
  <c r="CR161" i="11"/>
  <c r="CR118" i="11"/>
  <c r="DA253" i="11"/>
  <c r="O186" i="2" s="1"/>
  <c r="O186" i="28" s="1"/>
  <c r="DG72" i="11"/>
  <c r="CS63" i="11" l="1"/>
  <c r="CS103" i="11" s="1"/>
  <c r="CS68" i="11"/>
  <c r="CS140" i="11" s="1"/>
  <c r="CS67" i="11"/>
  <c r="CS153" i="11" s="1"/>
  <c r="DB186" i="11"/>
  <c r="DH72" i="11"/>
  <c r="DB277" i="11" l="1"/>
  <c r="DB253" i="11"/>
  <c r="DC186" i="11" s="1"/>
  <c r="CS118" i="11"/>
  <c r="CS161" i="11"/>
  <c r="CS69" i="11"/>
  <c r="CS135" i="11" s="1"/>
  <c r="DI72" i="11"/>
  <c r="CT63" i="11" l="1"/>
  <c r="DC277" i="11"/>
  <c r="CT68" i="11"/>
  <c r="CT140" i="11" s="1"/>
  <c r="CT67" i="11"/>
  <c r="CT153" i="11" s="1"/>
  <c r="DC253" i="11"/>
  <c r="DJ72" i="11"/>
  <c r="CT103" i="11" l="1"/>
  <c r="CT161" i="11"/>
  <c r="CT118" i="11"/>
  <c r="CT69" i="11"/>
  <c r="CT135" i="11" s="1"/>
  <c r="DD186" i="11"/>
  <c r="DK72" i="11"/>
  <c r="DD277" i="11" l="1"/>
  <c r="CU68" i="11"/>
  <c r="CU140" i="11" s="1"/>
  <c r="CU67" i="11"/>
  <c r="CU63" i="11"/>
  <c r="DD253" i="11"/>
  <c r="DL72" i="11"/>
  <c r="CU153" i="11" l="1"/>
  <c r="CU69" i="11"/>
  <c r="CU135" i="11" s="1"/>
  <c r="CU103" i="11"/>
  <c r="CU161" i="11"/>
  <c r="CU118" i="11"/>
  <c r="DE186" i="11"/>
  <c r="DE253" i="11" s="1"/>
  <c r="DM72" i="11"/>
  <c r="CV63" i="11" l="1"/>
  <c r="CV103" i="11" s="1"/>
  <c r="DE277" i="11"/>
  <c r="CV68" i="11"/>
  <c r="CV140" i="11" s="1"/>
  <c r="CV67" i="11"/>
  <c r="DF186" i="11"/>
  <c r="DF253" i="11" s="1"/>
  <c r="DN72" i="11"/>
  <c r="CV153" i="11" l="1"/>
  <c r="DF277" i="11"/>
  <c r="CV161" i="11"/>
  <c r="CV118" i="11"/>
  <c r="CV69" i="11"/>
  <c r="CV135" i="11" s="1"/>
  <c r="DG186" i="11"/>
  <c r="DO72" i="11"/>
  <c r="DG277" i="11" l="1"/>
  <c r="CW63" i="11"/>
  <c r="CW103" i="11" s="1"/>
  <c r="CW68" i="11"/>
  <c r="CW140" i="11" s="1"/>
  <c r="CW67" i="11"/>
  <c r="DG253" i="11"/>
  <c r="DP72" i="11"/>
  <c r="CW153" i="11" l="1"/>
  <c r="CW118" i="11"/>
  <c r="CW69" i="11"/>
  <c r="CW135" i="11" s="1"/>
  <c r="CW161" i="11"/>
  <c r="DH186" i="11"/>
  <c r="DH277" i="11" s="1"/>
  <c r="DQ72" i="11"/>
  <c r="CX63" i="11" l="1"/>
  <c r="CX68" i="11"/>
  <c r="CX140" i="11" s="1"/>
  <c r="CX67" i="11"/>
  <c r="DH253" i="11"/>
  <c r="DR72" i="11"/>
  <c r="CX153" i="11" l="1"/>
  <c r="CX103" i="11"/>
  <c r="CX161" i="11"/>
  <c r="CX118" i="11"/>
  <c r="CX69" i="11"/>
  <c r="CX135" i="11" s="1"/>
  <c r="DI186" i="11"/>
  <c r="DI277" i="11" s="1"/>
  <c r="DS72" i="11"/>
  <c r="CY63" i="11" l="1"/>
  <c r="CY68" i="11"/>
  <c r="CY140" i="11" s="1"/>
  <c r="CY67" i="11"/>
  <c r="DI253" i="11"/>
  <c r="DT72" i="11"/>
  <c r="CY153" i="11" l="1"/>
  <c r="CY103" i="11"/>
  <c r="CY161" i="11"/>
  <c r="CY118" i="11"/>
  <c r="CY69" i="11"/>
  <c r="CY135" i="11" s="1"/>
  <c r="DJ186" i="11"/>
  <c r="DJ277" i="11" s="1"/>
  <c r="DU72" i="11"/>
  <c r="DJ253" i="11" l="1"/>
  <c r="DK186" i="11" s="1"/>
  <c r="DK253" i="11" s="1"/>
  <c r="CZ68" i="11"/>
  <c r="CZ140" i="11" s="1"/>
  <c r="CZ67" i="11"/>
  <c r="CZ63" i="11"/>
  <c r="DV72" i="11"/>
  <c r="CZ153" i="11" l="1"/>
  <c r="CZ118" i="11"/>
  <c r="CZ103" i="11"/>
  <c r="CZ69" i="11"/>
  <c r="CZ135" i="11" s="1"/>
  <c r="CZ161" i="11"/>
  <c r="DL186" i="11"/>
  <c r="DL253" i="11" s="1"/>
  <c r="DK277" i="11"/>
  <c r="DW72" i="11"/>
  <c r="DA63" i="11" l="1"/>
  <c r="DA103" i="11" s="1"/>
  <c r="DL277" i="11"/>
  <c r="DA68" i="11"/>
  <c r="DA140" i="11" s="1"/>
  <c r="DA67" i="11"/>
  <c r="DM186" i="11"/>
  <c r="DM253" i="11" s="1"/>
  <c r="P186" i="2" s="1"/>
  <c r="P186" i="28" s="1"/>
  <c r="DX72" i="11"/>
  <c r="DA153" i="11" l="1"/>
  <c r="DM277" i="11"/>
  <c r="DA69" i="11"/>
  <c r="DA135" i="11" s="1"/>
  <c r="DA161" i="11"/>
  <c r="DA118" i="11"/>
  <c r="DN186" i="11"/>
  <c r="DN253" i="11" s="1"/>
  <c r="DY72" i="11"/>
  <c r="DN277" i="11" l="1"/>
  <c r="DB63" i="11"/>
  <c r="DB103" i="11" s="1"/>
  <c r="DB67" i="11"/>
  <c r="DB153" i="11" s="1"/>
  <c r="DB68" i="11"/>
  <c r="DB140" i="11" s="1"/>
  <c r="DO186" i="11"/>
  <c r="DO277" i="11" l="1"/>
  <c r="DB161" i="11"/>
  <c r="DB69" i="11"/>
  <c r="DB135" i="11" s="1"/>
  <c r="DB118" i="11"/>
  <c r="DO253" i="11"/>
  <c r="DC68" i="11" l="1"/>
  <c r="DC140" i="11" s="1"/>
  <c r="DC63" i="11"/>
  <c r="DC67" i="11"/>
  <c r="DC153" i="11" s="1"/>
  <c r="DP186" i="11"/>
  <c r="DC103" i="11" l="1"/>
  <c r="DP277" i="11"/>
  <c r="DP253" i="11"/>
  <c r="DQ186" i="11" s="1"/>
  <c r="DQ253" i="11" s="1"/>
  <c r="DC118" i="11"/>
  <c r="DC69" i="11"/>
  <c r="DC135" i="11" s="1"/>
  <c r="DC161" i="11"/>
  <c r="DD67" i="11" l="1"/>
  <c r="DQ277" i="11"/>
  <c r="DD63" i="11"/>
  <c r="DD68" i="11"/>
  <c r="DD140" i="11" s="1"/>
  <c r="DR186" i="11"/>
  <c r="DR253" i="11" s="1"/>
  <c r="DD153" i="11" l="1"/>
  <c r="DD161" i="11"/>
  <c r="DR277" i="11"/>
  <c r="DD118" i="11"/>
  <c r="DD69" i="11"/>
  <c r="DD135" i="11" s="1"/>
  <c r="DD103" i="11"/>
  <c r="DS186" i="11"/>
  <c r="DS253" i="11" s="1"/>
  <c r="DE63" i="11" l="1"/>
  <c r="DE103" i="11" s="1"/>
  <c r="DS277" i="11"/>
  <c r="DE67" i="11"/>
  <c r="DE153" i="11" s="1"/>
  <c r="DE68" i="11"/>
  <c r="DE140" i="11" s="1"/>
  <c r="DT186" i="11"/>
  <c r="DT253" i="11" s="1"/>
  <c r="DE161" i="11" l="1"/>
  <c r="DT277" i="11"/>
  <c r="DE69" i="11"/>
  <c r="DE135" i="11" s="1"/>
  <c r="DE118" i="11"/>
  <c r="DU186" i="11"/>
  <c r="DU253" i="11" s="1"/>
  <c r="DU277" i="11" l="1"/>
  <c r="DF63" i="11"/>
  <c r="DF103" i="11" s="1"/>
  <c r="DF67" i="11"/>
  <c r="DF153" i="11" s="1"/>
  <c r="DF68" i="11"/>
  <c r="DF140" i="11" s="1"/>
  <c r="DV186" i="11"/>
  <c r="DV253" i="11" s="1"/>
  <c r="DF161" i="11" l="1"/>
  <c r="DF118" i="11"/>
  <c r="DV277" i="11"/>
  <c r="DF69" i="11"/>
  <c r="DF135" i="11" s="1"/>
  <c r="DW186" i="11"/>
  <c r="DW253" i="11" s="1"/>
  <c r="DW277" i="11" l="1"/>
  <c r="DG63" i="11"/>
  <c r="DG103" i="11" s="1"/>
  <c r="DG67" i="11"/>
  <c r="DG153" i="11" s="1"/>
  <c r="DG68" i="11"/>
  <c r="DG140" i="11" s="1"/>
  <c r="DX186" i="11"/>
  <c r="DX253" i="11" s="1"/>
  <c r="DX277" i="11" l="1"/>
  <c r="DG161" i="11"/>
  <c r="DG118" i="11"/>
  <c r="DG69" i="11"/>
  <c r="DG135" i="11" s="1"/>
  <c r="DY186" i="11"/>
  <c r="DY277" i="11" l="1"/>
  <c r="DH63" i="11"/>
  <c r="DY253" i="11"/>
  <c r="Q186" i="2" s="1"/>
  <c r="Q186" i="28" s="1"/>
  <c r="N108" i="2"/>
  <c r="N108" i="28" s="1"/>
  <c r="O108" i="2"/>
  <c r="O108" i="28" s="1"/>
  <c r="P108" i="2"/>
  <c r="P108" i="28" s="1"/>
  <c r="Q108" i="2"/>
  <c r="Q108" i="28" s="1"/>
  <c r="DH67" i="11"/>
  <c r="DH153" i="11" s="1"/>
  <c r="DH68" i="11"/>
  <c r="DH140" i="11" s="1"/>
  <c r="DH161" i="11" l="1"/>
  <c r="DH103" i="11"/>
  <c r="DH69" i="11"/>
  <c r="DH135" i="11" s="1"/>
  <c r="DH118" i="11"/>
  <c r="DI68" i="11" l="1"/>
  <c r="DI140" i="11" s="1"/>
  <c r="DI63" i="11"/>
  <c r="DI103" i="11" s="1"/>
  <c r="DI67" i="11"/>
  <c r="DI153" i="11" l="1"/>
  <c r="DI161" i="11"/>
  <c r="DI69" i="11"/>
  <c r="DI135" i="11" s="1"/>
  <c r="DI118" i="11"/>
  <c r="DJ67" i="11" l="1"/>
  <c r="DJ153" i="11" s="1"/>
  <c r="DJ63" i="11"/>
  <c r="DJ68" i="11"/>
  <c r="DJ140" i="11" s="1"/>
  <c r="DJ161" i="11" l="1"/>
  <c r="DJ118" i="11"/>
  <c r="DJ103" i="11"/>
  <c r="DJ69" i="11"/>
  <c r="DJ135" i="11" s="1"/>
  <c r="DK67" i="11" l="1"/>
  <c r="DK68" i="11"/>
  <c r="DK140" i="11" s="1"/>
  <c r="DK63" i="11"/>
  <c r="DK103" i="11" s="1"/>
  <c r="DK153" i="11" l="1"/>
  <c r="DK161" i="11"/>
  <c r="DK118" i="11"/>
  <c r="DK69" i="11"/>
  <c r="DK135" i="11" s="1"/>
  <c r="DL63" i="11" l="1"/>
  <c r="DL103" i="11" s="1"/>
  <c r="DL67" i="11"/>
  <c r="DL68" i="11"/>
  <c r="DL140" i="11" s="1"/>
  <c r="DL153" i="11" l="1"/>
  <c r="DL118" i="11"/>
  <c r="DL69" i="11"/>
  <c r="DL135" i="11" s="1"/>
  <c r="DL161" i="11"/>
  <c r="DM67" i="11" l="1"/>
  <c r="DM63" i="11"/>
  <c r="DM103" i="11" s="1"/>
  <c r="DM68" i="11"/>
  <c r="DM140" i="11" s="1"/>
  <c r="DM153" i="11" l="1"/>
  <c r="DM118" i="11"/>
  <c r="DM69" i="11"/>
  <c r="DM135" i="11" s="1"/>
  <c r="DM161" i="11"/>
  <c r="DN63" i="11" l="1"/>
  <c r="DN103" i="11" s="1"/>
  <c r="DN67" i="11"/>
  <c r="DN153" i="11" s="1"/>
  <c r="DN68" i="11"/>
  <c r="DN140" i="11" s="1"/>
  <c r="DN118" i="11" l="1"/>
  <c r="DN69" i="11"/>
  <c r="DN135" i="11" s="1"/>
  <c r="DN161" i="11"/>
  <c r="DO67" i="11" l="1"/>
  <c r="DO153" i="11" s="1"/>
  <c r="DO63" i="11"/>
  <c r="DO103" i="11" s="1"/>
  <c r="DO68" i="11"/>
  <c r="DO140" i="11" s="1"/>
  <c r="DO118" i="11" l="1"/>
  <c r="DO69" i="11"/>
  <c r="DO135" i="11" s="1"/>
  <c r="DO161" i="11"/>
  <c r="DP67" i="11" l="1"/>
  <c r="DP153" i="11" s="1"/>
  <c r="DP68" i="11"/>
  <c r="DP140" i="11" s="1"/>
  <c r="DP63" i="11"/>
  <c r="DP69" i="11" l="1"/>
  <c r="DP135" i="11" s="1"/>
  <c r="DP118" i="11"/>
  <c r="DP161" i="11"/>
  <c r="DP103" i="11"/>
  <c r="DQ63" i="11" l="1"/>
  <c r="DQ67" i="11"/>
  <c r="DQ68" i="11"/>
  <c r="DQ140" i="11" s="1"/>
  <c r="DQ153" i="11" l="1"/>
  <c r="DQ161" i="11"/>
  <c r="DQ103" i="11"/>
  <c r="DQ69" i="11"/>
  <c r="DQ135" i="11" s="1"/>
  <c r="DQ118" i="11"/>
  <c r="DR67" i="11" l="1"/>
  <c r="DR153" i="11" s="1"/>
  <c r="DR68" i="11"/>
  <c r="DR140" i="11" s="1"/>
  <c r="DR63" i="11"/>
  <c r="DR103" i="11" s="1"/>
  <c r="DR161" i="11" l="1"/>
  <c r="DR118" i="11"/>
  <c r="DR69" i="11"/>
  <c r="DR135" i="11" s="1"/>
  <c r="DS67" i="11" l="1"/>
  <c r="DS153" i="11" s="1"/>
  <c r="DS63" i="11"/>
  <c r="DS103" i="11" s="1"/>
  <c r="DS68" i="11"/>
  <c r="DS140" i="11" s="1"/>
  <c r="DS161" i="11" l="1"/>
  <c r="DS118" i="11"/>
  <c r="DS69" i="11"/>
  <c r="DS135" i="11" s="1"/>
  <c r="DT63" i="11" l="1"/>
  <c r="DT103" i="11" s="1"/>
  <c r="DT67" i="11"/>
  <c r="DT153" i="11" s="1"/>
  <c r="DT68" i="11"/>
  <c r="DT140" i="11" s="1"/>
  <c r="DT161" i="11" l="1"/>
  <c r="DT118" i="11"/>
  <c r="DT69" i="11"/>
  <c r="DT135" i="11" s="1"/>
  <c r="DU67" i="11" l="1"/>
  <c r="DU153" i="11" s="1"/>
  <c r="DU68" i="11"/>
  <c r="DU140" i="11" s="1"/>
  <c r="DU63" i="11"/>
  <c r="DU103" i="11" s="1"/>
  <c r="DU118" i="11" l="1"/>
  <c r="DU161" i="11"/>
  <c r="DU69" i="11"/>
  <c r="DU135" i="11" s="1"/>
  <c r="DV63" i="11" l="1"/>
  <c r="DV103" i="11" s="1"/>
  <c r="DV67" i="11"/>
  <c r="DV153" i="11" s="1"/>
  <c r="DV68" i="11"/>
  <c r="DV140" i="11" s="1"/>
  <c r="DV118" i="11" l="1"/>
  <c r="DV161" i="11"/>
  <c r="DV69" i="11"/>
  <c r="DV135" i="11" s="1"/>
  <c r="DW63" i="11" l="1"/>
  <c r="DW103" i="11" s="1"/>
  <c r="DW67" i="11"/>
  <c r="DW153" i="11" s="1"/>
  <c r="DW68" i="11"/>
  <c r="DW140" i="11" s="1"/>
  <c r="DW161" i="11" l="1"/>
  <c r="DW69" i="11"/>
  <c r="DW135" i="11" s="1"/>
  <c r="DW118" i="11"/>
  <c r="DX63" i="11" l="1"/>
  <c r="DX103" i="11" s="1"/>
  <c r="DX67" i="11"/>
  <c r="DX153" i="11" s="1"/>
  <c r="DX68" i="11"/>
  <c r="DX140" i="11" s="1"/>
  <c r="DX118" i="11" l="1"/>
  <c r="DX69" i="11"/>
  <c r="DX135" i="11" s="1"/>
  <c r="DX161" i="11"/>
  <c r="DY63" i="11" l="1"/>
  <c r="DY103" i="11" s="1"/>
  <c r="H30" i="2" s="1"/>
  <c r="DY67" i="11"/>
  <c r="DY153" i="11" s="1"/>
  <c r="DY68" i="11"/>
  <c r="DY140" i="11" s="1"/>
  <c r="H30" i="28" l="1"/>
  <c r="H33" i="28" s="1"/>
  <c r="H33" i="2"/>
  <c r="H71" i="2"/>
  <c r="H75" i="2" s="1"/>
  <c r="I71" i="2"/>
  <c r="J71" i="2"/>
  <c r="K71" i="2"/>
  <c r="L71" i="2"/>
  <c r="M71" i="2"/>
  <c r="N71" i="2"/>
  <c r="N71" i="28" s="1"/>
  <c r="O71" i="2"/>
  <c r="O71" i="28" s="1"/>
  <c r="P71" i="2"/>
  <c r="P71" i="28" s="1"/>
  <c r="Q71" i="2"/>
  <c r="Q71" i="28" s="1"/>
  <c r="H58" i="2"/>
  <c r="H62" i="2" s="1"/>
  <c r="I58" i="2"/>
  <c r="J58" i="2"/>
  <c r="K58" i="2"/>
  <c r="L58" i="2"/>
  <c r="M58" i="2"/>
  <c r="N58" i="2"/>
  <c r="N58" i="28" s="1"/>
  <c r="O58" i="2"/>
  <c r="O58" i="28" s="1"/>
  <c r="P58" i="2"/>
  <c r="P58" i="28" s="1"/>
  <c r="Q58" i="2"/>
  <c r="Q58" i="28" s="1"/>
  <c r="DY161" i="11"/>
  <c r="Q81" i="2" s="1"/>
  <c r="DY69" i="11"/>
  <c r="DY135" i="11" s="1"/>
  <c r="DY118" i="11"/>
  <c r="N81" i="2"/>
  <c r="O81" i="2"/>
  <c r="P81" i="2"/>
  <c r="N30" i="2"/>
  <c r="O30" i="2"/>
  <c r="P30" i="2"/>
  <c r="Q30" i="2"/>
  <c r="N66" i="2"/>
  <c r="O66" i="2"/>
  <c r="P66" i="2"/>
  <c r="Q66" i="2"/>
  <c r="N53" i="2"/>
  <c r="O53" i="2"/>
  <c r="P53" i="2"/>
  <c r="H17" i="28" l="1"/>
  <c r="H16" i="28"/>
  <c r="M71" i="28"/>
  <c r="L71" i="28"/>
  <c r="K71" i="28"/>
  <c r="J71" i="28"/>
  <c r="I71" i="28"/>
  <c r="H71" i="28"/>
  <c r="M58" i="28"/>
  <c r="L58" i="28"/>
  <c r="K58" i="28"/>
  <c r="J58" i="28"/>
  <c r="I58" i="28"/>
  <c r="H58" i="28"/>
  <c r="H62" i="28" s="1"/>
  <c r="Q53" i="2"/>
  <c r="Q53" i="28" s="1"/>
  <c r="P81" i="28"/>
  <c r="N66" i="28"/>
  <c r="O81" i="28"/>
  <c r="Q30" i="28"/>
  <c r="N81" i="28"/>
  <c r="O66" i="28"/>
  <c r="P53" i="28"/>
  <c r="P30" i="28"/>
  <c r="O53" i="28"/>
  <c r="O30" i="28"/>
  <c r="N53" i="28"/>
  <c r="N30" i="28"/>
  <c r="Q66" i="28"/>
  <c r="P66" i="28"/>
  <c r="Q81" i="28"/>
  <c r="H75" i="28" l="1"/>
  <c r="AF28" i="11" l="1"/>
  <c r="AG28" i="11"/>
  <c r="W28" i="11"/>
  <c r="Y28" i="11"/>
  <c r="AC28" i="11"/>
  <c r="AE28" i="11"/>
  <c r="V28" i="11"/>
  <c r="X28" i="11"/>
  <c r="AD28" i="11"/>
  <c r="AB28" i="11"/>
  <c r="AQ54" i="11"/>
  <c r="AQ53" i="11" s="1"/>
  <c r="AJ54" i="11"/>
  <c r="AJ53" i="11" s="1"/>
  <c r="AK54" i="11"/>
  <c r="AK53" i="11" s="1"/>
  <c r="AR54" i="11"/>
  <c r="AR53" i="11" s="1"/>
  <c r="AI54" i="11"/>
  <c r="AI53" i="11" s="1"/>
  <c r="AL54" i="11"/>
  <c r="AL53" i="11" s="1"/>
  <c r="AS54" i="11"/>
  <c r="AS53" i="11" s="1"/>
  <c r="AO54" i="11"/>
  <c r="AO53" i="11" s="1"/>
  <c r="Z28" i="11"/>
  <c r="AM54" i="11"/>
  <c r="AM53" i="11" s="1"/>
  <c r="AP54" i="11"/>
  <c r="AP53" i="11" s="1"/>
  <c r="AN54" i="11"/>
  <c r="AN53" i="11" s="1"/>
  <c r="AH54" i="11"/>
  <c r="AH53" i="11" s="1"/>
  <c r="AA28" i="11"/>
  <c r="I15" i="2" l="1"/>
  <c r="AB109" i="11"/>
  <c r="AB113" i="11" s="1"/>
  <c r="Y59" i="11"/>
  <c r="Y33" i="11" s="1"/>
  <c r="Y297" i="11" s="1"/>
  <c r="W147" i="11"/>
  <c r="U206" i="11"/>
  <c r="U222" i="11" s="1"/>
  <c r="Z147" i="11"/>
  <c r="AE59" i="11"/>
  <c r="AE33" i="11" s="1"/>
  <c r="AE297" i="11" s="1"/>
  <c r="AF109" i="11"/>
  <c r="AF113" i="11" s="1"/>
  <c r="AC59" i="11"/>
  <c r="AC33" i="11" s="1"/>
  <c r="AC297" i="11" s="1"/>
  <c r="AG147" i="11"/>
  <c r="I15" i="28"/>
  <c r="AF147" i="11"/>
  <c r="AE27" i="11"/>
  <c r="V160" i="11"/>
  <c r="V147" i="11"/>
  <c r="V57" i="11"/>
  <c r="S206" i="11"/>
  <c r="Y109" i="11"/>
  <c r="Y113" i="11" s="1"/>
  <c r="AC109" i="11"/>
  <c r="AC113" i="11" s="1"/>
  <c r="V102" i="11"/>
  <c r="V27" i="11"/>
  <c r="AC206" i="11"/>
  <c r="AC236" i="11" s="1"/>
  <c r="V59" i="11"/>
  <c r="V206" i="11"/>
  <c r="AA27" i="11"/>
  <c r="T206" i="11"/>
  <c r="W109" i="11"/>
  <c r="W113" i="11" s="1"/>
  <c r="X59" i="11"/>
  <c r="X147" i="11"/>
  <c r="Z27" i="11"/>
  <c r="X206" i="11"/>
  <c r="X236" i="11" s="1"/>
  <c r="AG59" i="11"/>
  <c r="AD206" i="11"/>
  <c r="AD236" i="11" s="1"/>
  <c r="AA147" i="11"/>
  <c r="Z206" i="11"/>
  <c r="Z236" i="11" s="1"/>
  <c r="W27" i="11"/>
  <c r="AC147" i="11"/>
  <c r="AA59" i="11"/>
  <c r="X27" i="11"/>
  <c r="Y206" i="11"/>
  <c r="Y236" i="11" s="1"/>
  <c r="AF27" i="11"/>
  <c r="AC27" i="11"/>
  <c r="AA109" i="11"/>
  <c r="AA113" i="11" s="1"/>
  <c r="AE147" i="11"/>
  <c r="AD147" i="11"/>
  <c r="AG109" i="11"/>
  <c r="AG113" i="11" s="1"/>
  <c r="AA206" i="11"/>
  <c r="AA236" i="11" s="1"/>
  <c r="V109" i="11"/>
  <c r="AE109" i="11"/>
  <c r="AE113" i="11" s="1"/>
  <c r="Y147" i="11"/>
  <c r="AF59" i="11"/>
  <c r="Z59" i="11"/>
  <c r="W206" i="11"/>
  <c r="W236" i="11" s="1"/>
  <c r="AB206" i="11"/>
  <c r="AB236" i="11" s="1"/>
  <c r="AD27" i="11"/>
  <c r="AD109" i="11"/>
  <c r="AD113" i="11" s="1"/>
  <c r="AB147" i="11"/>
  <c r="Y27" i="11"/>
  <c r="AD59" i="11"/>
  <c r="X109" i="11"/>
  <c r="X113" i="11" s="1"/>
  <c r="W59" i="11"/>
  <c r="AB27" i="11"/>
  <c r="AB59" i="11"/>
  <c r="AG27" i="11"/>
  <c r="Z109" i="11"/>
  <c r="Z113" i="11" s="1"/>
  <c r="Y165" i="11" l="1"/>
  <c r="AE165" i="11"/>
  <c r="U236" i="11"/>
  <c r="U207" i="11"/>
  <c r="AC165" i="11"/>
  <c r="I36" i="2"/>
  <c r="V113" i="11"/>
  <c r="AR28" i="11"/>
  <c r="BD54" i="11"/>
  <c r="BD53" i="11" s="1"/>
  <c r="V134" i="11"/>
  <c r="V36" i="11"/>
  <c r="W56" i="11"/>
  <c r="W55" i="11"/>
  <c r="W51" i="11"/>
  <c r="AJ28" i="11"/>
  <c r="AV54" i="11"/>
  <c r="AV53" i="11" s="1"/>
  <c r="AU54" i="11"/>
  <c r="AU53" i="11" s="1"/>
  <c r="AI28" i="11"/>
  <c r="AM28" i="11"/>
  <c r="AY54" i="11"/>
  <c r="AY53" i="11" s="1"/>
  <c r="I65" i="2"/>
  <c r="V156" i="11"/>
  <c r="X33" i="11"/>
  <c r="X297" i="11" s="1"/>
  <c r="X165" i="11"/>
  <c r="AB33" i="11"/>
  <c r="AB297" i="11" s="1"/>
  <c r="AB165" i="11"/>
  <c r="BE54" i="11"/>
  <c r="BE53" i="11" s="1"/>
  <c r="AS28" i="11"/>
  <c r="I14" i="2"/>
  <c r="I20" i="2" s="1"/>
  <c r="I206" i="2" s="1"/>
  <c r="I14" i="28"/>
  <c r="I20" i="28" s="1"/>
  <c r="I206" i="28" s="1"/>
  <c r="V31" i="11"/>
  <c r="V327" i="11" s="1"/>
  <c r="V328" i="11" s="1"/>
  <c r="AH28" i="11"/>
  <c r="AT54" i="11"/>
  <c r="AT53" i="11" s="1"/>
  <c r="V164" i="11"/>
  <c r="AX54" i="11"/>
  <c r="AX53" i="11" s="1"/>
  <c r="AL28" i="11"/>
  <c r="Z33" i="11"/>
  <c r="Z297" i="11" s="1"/>
  <c r="Z165" i="11"/>
  <c r="AG165" i="11"/>
  <c r="AG33" i="11"/>
  <c r="AG297" i="11" s="1"/>
  <c r="T207" i="11"/>
  <c r="T236" i="11"/>
  <c r="T222" i="11"/>
  <c r="V106" i="11"/>
  <c r="W33" i="11"/>
  <c r="W297" i="11" s="1"/>
  <c r="W165" i="11"/>
  <c r="AF33" i="11"/>
  <c r="AF297" i="11" s="1"/>
  <c r="AF165" i="11"/>
  <c r="BC54" i="11"/>
  <c r="BC53" i="11" s="1"/>
  <c r="AQ28" i="11"/>
  <c r="BA54" i="11"/>
  <c r="BA53" i="11" s="1"/>
  <c r="AO28" i="11"/>
  <c r="AN28" i="11"/>
  <c r="AZ54" i="11"/>
  <c r="AZ53" i="11" s="1"/>
  <c r="AA33" i="11"/>
  <c r="AA297" i="11" s="1"/>
  <c r="AA165" i="11"/>
  <c r="V236" i="11"/>
  <c r="AD165" i="11"/>
  <c r="AD33" i="11"/>
  <c r="AD297" i="11" s="1"/>
  <c r="AK28" i="11"/>
  <c r="AW54" i="11"/>
  <c r="AW53" i="11" s="1"/>
  <c r="AP28" i="11"/>
  <c r="BB54" i="11"/>
  <c r="BB53" i="11" s="1"/>
  <c r="V165" i="11"/>
  <c r="V33" i="11"/>
  <c r="V325" i="11" s="1"/>
  <c r="V60" i="11"/>
  <c r="H131" i="2"/>
  <c r="S222" i="11"/>
  <c r="S236" i="11"/>
  <c r="S207" i="11"/>
  <c r="S250" i="11"/>
  <c r="S274" i="11"/>
  <c r="V125" i="11" l="1"/>
  <c r="S320" i="11"/>
  <c r="V326" i="11"/>
  <c r="V329" i="11"/>
  <c r="W325" i="11"/>
  <c r="I85" i="2"/>
  <c r="I85" i="28" s="1"/>
  <c r="AO109" i="11"/>
  <c r="AO113" i="11" s="1"/>
  <c r="AL206" i="11"/>
  <c r="AL236" i="11" s="1"/>
  <c r="AO59" i="11"/>
  <c r="AO27" i="11"/>
  <c r="AO147" i="11"/>
  <c r="W29" i="11"/>
  <c r="W152" i="11"/>
  <c r="W160" i="11"/>
  <c r="AL109" i="11"/>
  <c r="AL113" i="11" s="1"/>
  <c r="AL27" i="11"/>
  <c r="AI206" i="11"/>
  <c r="AI236" i="11" s="1"/>
  <c r="AL59" i="11"/>
  <c r="AL147" i="11"/>
  <c r="S292" i="11"/>
  <c r="T274" i="11"/>
  <c r="S268" i="11"/>
  <c r="T250" i="11"/>
  <c r="AP147" i="11"/>
  <c r="AP27" i="11"/>
  <c r="AP59" i="11"/>
  <c r="AP109" i="11"/>
  <c r="AP113" i="11" s="1"/>
  <c r="AM206" i="11"/>
  <c r="AM236" i="11" s="1"/>
  <c r="AP206" i="11"/>
  <c r="AP236" i="11" s="1"/>
  <c r="AS27" i="11"/>
  <c r="AS147" i="11"/>
  <c r="AS59" i="11"/>
  <c r="AS109" i="11"/>
  <c r="AS113" i="11" s="1"/>
  <c r="W30" i="11"/>
  <c r="W139" i="11"/>
  <c r="W117" i="11"/>
  <c r="W121" i="11" s="1"/>
  <c r="W123" i="11" s="1"/>
  <c r="AN59" i="11"/>
  <c r="AN27" i="11"/>
  <c r="AN147" i="11"/>
  <c r="AN109" i="11"/>
  <c r="AN113" i="11" s="1"/>
  <c r="AK206" i="11"/>
  <c r="AK236" i="11" s="1"/>
  <c r="AQ109" i="11"/>
  <c r="AQ113" i="11" s="1"/>
  <c r="AQ59" i="11"/>
  <c r="AN206" i="11"/>
  <c r="AN236" i="11" s="1"/>
  <c r="AQ147" i="11"/>
  <c r="AQ27" i="11"/>
  <c r="V167" i="11"/>
  <c r="V168" i="11"/>
  <c r="V228" i="11"/>
  <c r="V166" i="11"/>
  <c r="V177" i="11"/>
  <c r="V172" i="11"/>
  <c r="V173" i="11"/>
  <c r="V174" i="11"/>
  <c r="AH147" i="11"/>
  <c r="AH109" i="11"/>
  <c r="AH59" i="11"/>
  <c r="AH27" i="11"/>
  <c r="AE206" i="11"/>
  <c r="V311" i="11"/>
  <c r="H131" i="28"/>
  <c r="W60" i="11"/>
  <c r="V34" i="11"/>
  <c r="V298" i="11" s="1"/>
  <c r="H163" i="2"/>
  <c r="AH206" i="11"/>
  <c r="AK27" i="11"/>
  <c r="AK147" i="11"/>
  <c r="AK59" i="11"/>
  <c r="AK109" i="11"/>
  <c r="AK113" i="11" s="1"/>
  <c r="J15" i="28"/>
  <c r="J15" i="2"/>
  <c r="V143" i="11"/>
  <c r="V144" i="11" s="1"/>
  <c r="AI27" i="11"/>
  <c r="AI109" i="11"/>
  <c r="AI113" i="11" s="1"/>
  <c r="AI59" i="11"/>
  <c r="AF206" i="11"/>
  <c r="AF236" i="11" s="1"/>
  <c r="AI147" i="11"/>
  <c r="AO206" i="11"/>
  <c r="AO236" i="11" s="1"/>
  <c r="AR27" i="11"/>
  <c r="AR109" i="11"/>
  <c r="AR113" i="11" s="1"/>
  <c r="AR147" i="11"/>
  <c r="AR59" i="11"/>
  <c r="V157" i="11"/>
  <c r="AJ59" i="11"/>
  <c r="AJ27" i="11"/>
  <c r="AJ147" i="11"/>
  <c r="AJ109" i="11"/>
  <c r="AJ113" i="11" s="1"/>
  <c r="AG206" i="11"/>
  <c r="AG236" i="11" s="1"/>
  <c r="I65" i="28"/>
  <c r="V275" i="11"/>
  <c r="V123" i="11"/>
  <c r="V297" i="11"/>
  <c r="AM109" i="11"/>
  <c r="AM113" i="11" s="1"/>
  <c r="AM147" i="11"/>
  <c r="AM59" i="11"/>
  <c r="AM27" i="11"/>
  <c r="AJ206" i="11"/>
  <c r="AJ236" i="11" s="1"/>
  <c r="W57" i="11"/>
  <c r="W25" i="11"/>
  <c r="W102" i="11"/>
  <c r="I36" i="28"/>
  <c r="I40" i="28" s="1"/>
  <c r="I40" i="2"/>
  <c r="W329" i="11" l="1"/>
  <c r="X325" i="11"/>
  <c r="W326" i="11"/>
  <c r="W31" i="11"/>
  <c r="W327" i="11" s="1"/>
  <c r="W328" i="11" s="1"/>
  <c r="V205" i="11"/>
  <c r="AT28" i="11"/>
  <c r="BF54" i="11"/>
  <c r="BF53" i="11" s="1"/>
  <c r="BI54" i="11"/>
  <c r="BI53" i="11" s="1"/>
  <c r="AW28" i="11"/>
  <c r="BE28" i="11"/>
  <c r="BQ54" i="11"/>
  <c r="BQ53" i="11" s="1"/>
  <c r="U250" i="11"/>
  <c r="T268" i="11"/>
  <c r="AE236" i="11"/>
  <c r="I163" i="2" s="1"/>
  <c r="I163" i="28" s="1"/>
  <c r="I131" i="2"/>
  <c r="I131" i="28" s="1"/>
  <c r="V175" i="11"/>
  <c r="V178" i="11" s="1"/>
  <c r="AO33" i="11"/>
  <c r="AO297" i="11" s="1"/>
  <c r="AO165" i="11"/>
  <c r="AM165" i="11"/>
  <c r="AM33" i="11"/>
  <c r="AM297" i="11" s="1"/>
  <c r="H163" i="28"/>
  <c r="J14" i="28"/>
  <c r="J20" i="28" s="1"/>
  <c r="J206" i="28" s="1"/>
  <c r="J14" i="2"/>
  <c r="J20" i="2" s="1"/>
  <c r="J206" i="2" s="1"/>
  <c r="AQ33" i="11"/>
  <c r="AQ297" i="11" s="1"/>
  <c r="AQ165" i="11"/>
  <c r="AN33" i="11"/>
  <c r="AN297" i="11" s="1"/>
  <c r="AN165" i="11"/>
  <c r="U274" i="11"/>
  <c r="T292" i="11"/>
  <c r="AX28" i="11"/>
  <c r="BJ54" i="11"/>
  <c r="BJ53" i="11" s="1"/>
  <c r="BB28" i="11"/>
  <c r="BN54" i="11"/>
  <c r="BN53" i="11" s="1"/>
  <c r="V127" i="11"/>
  <c r="AJ165" i="11"/>
  <c r="AJ33" i="11"/>
  <c r="AJ297" i="11" s="1"/>
  <c r="BG54" i="11"/>
  <c r="BG53" i="11" s="1"/>
  <c r="AU28" i="11"/>
  <c r="AV28" i="11"/>
  <c r="BH54" i="11"/>
  <c r="BH53" i="11" s="1"/>
  <c r="AK33" i="11"/>
  <c r="AK297" i="11" s="1"/>
  <c r="AK165" i="11"/>
  <c r="AH33" i="11"/>
  <c r="AH297" i="11" s="1"/>
  <c r="AH165" i="11"/>
  <c r="AS33" i="11"/>
  <c r="AS297" i="11" s="1"/>
  <c r="AS165" i="11"/>
  <c r="AP33" i="11"/>
  <c r="AP297" i="11" s="1"/>
  <c r="AP165" i="11"/>
  <c r="W164" i="11"/>
  <c r="W36" i="11"/>
  <c r="X56" i="11"/>
  <c r="X51" i="11"/>
  <c r="W134" i="11"/>
  <c r="X55" i="11"/>
  <c r="V310" i="11"/>
  <c r="V308" i="11"/>
  <c r="V309" i="11" s="1"/>
  <c r="V312" i="11" s="1"/>
  <c r="V313" i="11" s="1"/>
  <c r="BP54" i="11"/>
  <c r="BP53" i="11" s="1"/>
  <c r="BD28" i="11"/>
  <c r="X60" i="11"/>
  <c r="W34" i="11"/>
  <c r="W298" i="11" s="1"/>
  <c r="J36" i="2"/>
  <c r="AH113" i="11"/>
  <c r="AZ28" i="11"/>
  <c r="BL54" i="11"/>
  <c r="BL53" i="11" s="1"/>
  <c r="W156" i="11"/>
  <c r="W106" i="11"/>
  <c r="AR33" i="11"/>
  <c r="AR297" i="11" s="1"/>
  <c r="AR165" i="11"/>
  <c r="J65" i="2"/>
  <c r="BC28" i="11"/>
  <c r="BO54" i="11"/>
  <c r="BO53" i="11" s="1"/>
  <c r="AL165" i="11"/>
  <c r="AL33" i="11"/>
  <c r="AL297" i="11" s="1"/>
  <c r="BM54" i="11"/>
  <c r="BM53" i="11" s="1"/>
  <c r="BA28" i="11"/>
  <c r="BK54" i="11"/>
  <c r="BK53" i="11" s="1"/>
  <c r="AY28" i="11"/>
  <c r="AI165" i="11"/>
  <c r="AI33" i="11"/>
  <c r="AI297" i="11" s="1"/>
  <c r="AH236" i="11"/>
  <c r="V169" i="11"/>
  <c r="W125" i="11" l="1"/>
  <c r="W127" i="11" s="1"/>
  <c r="T320" i="11"/>
  <c r="W275" i="11"/>
  <c r="V128" i="11"/>
  <c r="X329" i="11"/>
  <c r="X326" i="11"/>
  <c r="Y325" i="11"/>
  <c r="V179" i="11"/>
  <c r="V303" i="11" s="1"/>
  <c r="AZ206" i="11"/>
  <c r="AZ236" i="11" s="1"/>
  <c r="BC147" i="11"/>
  <c r="BC59" i="11"/>
  <c r="BC109" i="11"/>
  <c r="BC113" i="11" s="1"/>
  <c r="BC27" i="11"/>
  <c r="J36" i="28"/>
  <c r="J40" i="28" s="1"/>
  <c r="J40" i="2"/>
  <c r="AU109" i="11"/>
  <c r="AU113" i="11" s="1"/>
  <c r="AR206" i="11"/>
  <c r="AR236" i="11" s="1"/>
  <c r="AU59" i="11"/>
  <c r="AU27" i="11"/>
  <c r="AU147" i="11"/>
  <c r="V250" i="11"/>
  <c r="U268" i="11"/>
  <c r="H183" i="2"/>
  <c r="H183" i="28" s="1"/>
  <c r="X29" i="11"/>
  <c r="X152" i="11"/>
  <c r="X160" i="11"/>
  <c r="J85" i="2"/>
  <c r="J85" i="28" s="1"/>
  <c r="AX109" i="11"/>
  <c r="AX113" i="11" s="1"/>
  <c r="AU206" i="11"/>
  <c r="AU236" i="11" s="1"/>
  <c r="AX147" i="11"/>
  <c r="AX59" i="11"/>
  <c r="AX27" i="11"/>
  <c r="BE59" i="11"/>
  <c r="BE147" i="11"/>
  <c r="BE109" i="11"/>
  <c r="BE113" i="11" s="1"/>
  <c r="BE27" i="11"/>
  <c r="BB206" i="11"/>
  <c r="BB236" i="11" s="1"/>
  <c r="AY109" i="11"/>
  <c r="AY113" i="11" s="1"/>
  <c r="AV206" i="11"/>
  <c r="AV236" i="11" s="1"/>
  <c r="AY59" i="11"/>
  <c r="AY27" i="11"/>
  <c r="AY147" i="11"/>
  <c r="J65" i="28"/>
  <c r="Y60" i="11"/>
  <c r="X34" i="11"/>
  <c r="X298" i="11" s="1"/>
  <c r="BD109" i="11"/>
  <c r="BD113" i="11" s="1"/>
  <c r="BD147" i="11"/>
  <c r="BA206" i="11"/>
  <c r="BA236" i="11" s="1"/>
  <c r="BD59" i="11"/>
  <c r="BD27" i="11"/>
  <c r="W143" i="11"/>
  <c r="AW109" i="11"/>
  <c r="AW113" i="11" s="1"/>
  <c r="AW147" i="11"/>
  <c r="AW59" i="11"/>
  <c r="AT206" i="11"/>
  <c r="AW27" i="11"/>
  <c r="AZ109" i="11"/>
  <c r="AZ113" i="11" s="1"/>
  <c r="AZ27" i="11"/>
  <c r="AZ59" i="11"/>
  <c r="AW206" i="11"/>
  <c r="AW236" i="11" s="1"/>
  <c r="AZ147" i="11"/>
  <c r="X57" i="11"/>
  <c r="X25" i="11"/>
  <c r="X102" i="11"/>
  <c r="V233" i="11"/>
  <c r="AT147" i="11"/>
  <c r="AQ206" i="11"/>
  <c r="AT109" i="11"/>
  <c r="AT59" i="11"/>
  <c r="AT27" i="11"/>
  <c r="BA27" i="11"/>
  <c r="BA147" i="11"/>
  <c r="AX206" i="11"/>
  <c r="AX236" i="11" s="1"/>
  <c r="BA109" i="11"/>
  <c r="BA113" i="11" s="1"/>
  <c r="BA59" i="11"/>
  <c r="W166" i="11"/>
  <c r="W172" i="11"/>
  <c r="W228" i="11"/>
  <c r="W168" i="11"/>
  <c r="W174" i="11"/>
  <c r="W173" i="11"/>
  <c r="W177" i="11"/>
  <c r="W167" i="11"/>
  <c r="W157" i="11"/>
  <c r="X117" i="11"/>
  <c r="X121" i="11" s="1"/>
  <c r="X123" i="11" s="1"/>
  <c r="X139" i="11"/>
  <c r="X30" i="11"/>
  <c r="U292" i="11"/>
  <c r="V274" i="11"/>
  <c r="K15" i="2"/>
  <c r="K15" i="28"/>
  <c r="W311" i="11"/>
  <c r="AV27" i="11"/>
  <c r="AS206" i="11"/>
  <c r="AS236" i="11" s="1"/>
  <c r="AV147" i="11"/>
  <c r="AV59" i="11"/>
  <c r="AV109" i="11"/>
  <c r="AV113" i="11" s="1"/>
  <c r="BB109" i="11"/>
  <c r="BB113" i="11" s="1"/>
  <c r="BB27" i="11"/>
  <c r="AY206" i="11"/>
  <c r="AY236" i="11" s="1"/>
  <c r="BB59" i="11"/>
  <c r="BB147" i="11"/>
  <c r="W308" i="11" l="1"/>
  <c r="W309" i="11" s="1"/>
  <c r="W312" i="11" s="1"/>
  <c r="W313" i="11" s="1"/>
  <c r="V182" i="11"/>
  <c r="V189" i="11" s="1"/>
  <c r="V181" i="11"/>
  <c r="V301" i="11" s="1"/>
  <c r="W310" i="11"/>
  <c r="W233" i="11"/>
  <c r="W128" i="11"/>
  <c r="Y329" i="11"/>
  <c r="Z325" i="11"/>
  <c r="Y326" i="11"/>
  <c r="V235" i="11"/>
  <c r="V304" i="11"/>
  <c r="W169" i="11"/>
  <c r="X31" i="11"/>
  <c r="X327" i="11" s="1"/>
  <c r="X328" i="11" s="1"/>
  <c r="W175" i="11"/>
  <c r="W178" i="11" s="1"/>
  <c r="BF28" i="11"/>
  <c r="BR54" i="11"/>
  <c r="BR53" i="11" s="1"/>
  <c r="X36" i="11"/>
  <c r="X134" i="11"/>
  <c r="Y55" i="11"/>
  <c r="Y56" i="11"/>
  <c r="Y51" i="11"/>
  <c r="CB54" i="11"/>
  <c r="CB53" i="11" s="1"/>
  <c r="BP28" i="11"/>
  <c r="AU165" i="11"/>
  <c r="AU33" i="11"/>
  <c r="AU297" i="11" s="1"/>
  <c r="BM28" i="11"/>
  <c r="BY54" i="11"/>
  <c r="BY53" i="11" s="1"/>
  <c r="AT236" i="11"/>
  <c r="W144" i="11"/>
  <c r="W250" i="11" s="1"/>
  <c r="BE33" i="11"/>
  <c r="BE297" i="11" s="1"/>
  <c r="BE165" i="11"/>
  <c r="BO28" i="11"/>
  <c r="CA54" i="11"/>
  <c r="CA53" i="11" s="1"/>
  <c r="BL28" i="11"/>
  <c r="BX54" i="11"/>
  <c r="BX53" i="11" s="1"/>
  <c r="K14" i="28"/>
  <c r="K20" i="28" s="1"/>
  <c r="K206" i="28" s="1"/>
  <c r="K14" i="2"/>
  <c r="K20" i="2" s="1"/>
  <c r="K206" i="2" s="1"/>
  <c r="AW165" i="11"/>
  <c r="AW33" i="11"/>
  <c r="AW297" i="11" s="1"/>
  <c r="Y34" i="11"/>
  <c r="Y298" i="11" s="1"/>
  <c r="Z60" i="11"/>
  <c r="BJ28" i="11"/>
  <c r="BV54" i="11"/>
  <c r="BV53" i="11" s="1"/>
  <c r="BB33" i="11"/>
  <c r="BB297" i="11" s="1"/>
  <c r="BB165" i="11"/>
  <c r="AV33" i="11"/>
  <c r="AV297" i="11" s="1"/>
  <c r="AV165" i="11"/>
  <c r="V292" i="11"/>
  <c r="W274" i="11"/>
  <c r="BA33" i="11"/>
  <c r="BA297" i="11" s="1"/>
  <c r="BA165" i="11"/>
  <c r="AT33" i="11"/>
  <c r="AT297" i="11" s="1"/>
  <c r="AT165" i="11"/>
  <c r="AZ33" i="11"/>
  <c r="AZ297" i="11" s="1"/>
  <c r="AZ165" i="11"/>
  <c r="BD165" i="11"/>
  <c r="BD33" i="11"/>
  <c r="BD297" i="11" s="1"/>
  <c r="BW54" i="11"/>
  <c r="BW53" i="11" s="1"/>
  <c r="BK28" i="11"/>
  <c r="BQ28" i="11"/>
  <c r="CC54" i="11"/>
  <c r="CC53" i="11" s="1"/>
  <c r="V268" i="11"/>
  <c r="K36" i="2"/>
  <c r="AT113" i="11"/>
  <c r="X164" i="11"/>
  <c r="BS54" i="11"/>
  <c r="BS53" i="11" s="1"/>
  <c r="BG28" i="11"/>
  <c r="AY33" i="11"/>
  <c r="AY297" i="11" s="1"/>
  <c r="AY165" i="11"/>
  <c r="BN28" i="11"/>
  <c r="BZ54" i="11"/>
  <c r="BZ53" i="11" s="1"/>
  <c r="BH28" i="11"/>
  <c r="BT54" i="11"/>
  <c r="BT53" i="11" s="1"/>
  <c r="AQ236" i="11"/>
  <c r="J163" i="2" s="1"/>
  <c r="J163" i="28" s="1"/>
  <c r="J131" i="2"/>
  <c r="J131" i="28" s="1"/>
  <c r="BI28" i="11"/>
  <c r="BU54" i="11"/>
  <c r="BU53" i="11" s="1"/>
  <c r="AX165" i="11"/>
  <c r="AX33" i="11"/>
  <c r="AX297" i="11" s="1"/>
  <c r="X156" i="11"/>
  <c r="X157" i="11" s="1"/>
  <c r="BC33" i="11"/>
  <c r="BC297" i="11" s="1"/>
  <c r="BC165" i="11"/>
  <c r="K65" i="2"/>
  <c r="X106" i="11"/>
  <c r="X125" i="11" l="1"/>
  <c r="U320" i="11"/>
  <c r="H229" i="28" s="1"/>
  <c r="V192" i="11"/>
  <c r="X275" i="11"/>
  <c r="AA325" i="11"/>
  <c r="Z326" i="11"/>
  <c r="Z329" i="11"/>
  <c r="V188" i="11"/>
  <c r="V191" i="11" s="1"/>
  <c r="V194" i="11" s="1"/>
  <c r="V196" i="11" s="1"/>
  <c r="W179" i="11"/>
  <c r="W235" i="11" s="1"/>
  <c r="X143" i="11"/>
  <c r="X144" i="11" s="1"/>
  <c r="X205" i="11" s="1"/>
  <c r="X177" i="11"/>
  <c r="X174" i="11"/>
  <c r="X168" i="11"/>
  <c r="X228" i="11"/>
  <c r="X167" i="11"/>
  <c r="X172" i="11"/>
  <c r="X166" i="11"/>
  <c r="X173" i="11"/>
  <c r="K85" i="2"/>
  <c r="K85" i="28" s="1"/>
  <c r="AA60" i="11"/>
  <c r="Z34" i="11"/>
  <c r="Z298" i="11" s="1"/>
  <c r="X311" i="11"/>
  <c r="BI109" i="11"/>
  <c r="BI113" i="11" s="1"/>
  <c r="BI27" i="11"/>
  <c r="BI147" i="11"/>
  <c r="BI59" i="11"/>
  <c r="BF206" i="11"/>
  <c r="W268" i="11"/>
  <c r="BO59" i="11"/>
  <c r="BO27" i="11"/>
  <c r="BL206" i="11"/>
  <c r="BL236" i="11" s="1"/>
  <c r="BO109" i="11"/>
  <c r="BO113" i="11" s="1"/>
  <c r="BO147" i="11"/>
  <c r="BF27" i="11"/>
  <c r="BF147" i="11"/>
  <c r="BF109" i="11"/>
  <c r="BC206" i="11"/>
  <c r="BF59" i="11"/>
  <c r="BH109" i="11"/>
  <c r="BH113" i="11" s="1"/>
  <c r="BH147" i="11"/>
  <c r="BE206" i="11"/>
  <c r="BE236" i="11" s="1"/>
  <c r="BH27" i="11"/>
  <c r="BH59" i="11"/>
  <c r="BD206" i="11"/>
  <c r="BD236" i="11" s="1"/>
  <c r="BG109" i="11"/>
  <c r="BG113" i="11" s="1"/>
  <c r="BG147" i="11"/>
  <c r="BG59" i="11"/>
  <c r="BG27" i="11"/>
  <c r="BM206" i="11"/>
  <c r="BM236" i="11" s="1"/>
  <c r="BP147" i="11"/>
  <c r="BP59" i="11"/>
  <c r="BP109" i="11"/>
  <c r="BP113" i="11" s="1"/>
  <c r="BP27" i="11"/>
  <c r="L15" i="28"/>
  <c r="L15" i="2"/>
  <c r="BN206" i="11"/>
  <c r="BN236" i="11" s="1"/>
  <c r="BQ59" i="11"/>
  <c r="BQ27" i="11"/>
  <c r="BQ147" i="11"/>
  <c r="BQ109" i="11"/>
  <c r="BQ113" i="11" s="1"/>
  <c r="K36" i="28"/>
  <c r="K40" i="28" s="1"/>
  <c r="K40" i="2"/>
  <c r="W292" i="11"/>
  <c r="X274" i="11"/>
  <c r="Y102" i="11"/>
  <c r="Y25" i="11"/>
  <c r="Y57" i="11"/>
  <c r="BL147" i="11"/>
  <c r="BL109" i="11"/>
  <c r="BL113" i="11" s="1"/>
  <c r="BL59" i="11"/>
  <c r="BL27" i="11"/>
  <c r="BI206" i="11"/>
  <c r="BI236" i="11" s="1"/>
  <c r="Y117" i="11"/>
  <c r="Y121" i="11" s="1"/>
  <c r="Y123" i="11" s="1"/>
  <c r="Y30" i="11"/>
  <c r="Y139" i="11"/>
  <c r="K65" i="28"/>
  <c r="BN109" i="11"/>
  <c r="BN113" i="11" s="1"/>
  <c r="BN59" i="11"/>
  <c r="BN147" i="11"/>
  <c r="BN27" i="11"/>
  <c r="BK206" i="11"/>
  <c r="BK236" i="11" s="1"/>
  <c r="BK147" i="11"/>
  <c r="BH206" i="11"/>
  <c r="BH236" i="11" s="1"/>
  <c r="BK27" i="11"/>
  <c r="BK109" i="11"/>
  <c r="BK113" i="11" s="1"/>
  <c r="BK59" i="11"/>
  <c r="BJ59" i="11"/>
  <c r="BG206" i="11"/>
  <c r="BG236" i="11" s="1"/>
  <c r="BJ27" i="11"/>
  <c r="BJ147" i="11"/>
  <c r="BJ109" i="11"/>
  <c r="BJ113" i="11" s="1"/>
  <c r="W205" i="11"/>
  <c r="BM59" i="11"/>
  <c r="BM147" i="11"/>
  <c r="BM27" i="11"/>
  <c r="BJ206" i="11"/>
  <c r="BJ236" i="11" s="1"/>
  <c r="BM109" i="11"/>
  <c r="BM113" i="11" s="1"/>
  <c r="Y29" i="11"/>
  <c r="Y152" i="11"/>
  <c r="Y160" i="11"/>
  <c r="V197" i="11" l="1"/>
  <c r="X310" i="11"/>
  <c r="X308" i="11"/>
  <c r="X309" i="11" s="1"/>
  <c r="X312" i="11" s="1"/>
  <c r="X313" i="11" s="1"/>
  <c r="W182" i="11"/>
  <c r="W189" i="11" s="1"/>
  <c r="W181" i="11"/>
  <c r="W188" i="11" s="1"/>
  <c r="X233" i="11"/>
  <c r="X128" i="11"/>
  <c r="X127" i="11"/>
  <c r="AB325" i="11"/>
  <c r="AA326" i="11"/>
  <c r="AA329" i="11"/>
  <c r="W303" i="11"/>
  <c r="W304" i="11"/>
  <c r="X169" i="11"/>
  <c r="Y31" i="11"/>
  <c r="Y327" i="11" s="1"/>
  <c r="Y328" i="11" s="1"/>
  <c r="BU28" i="11"/>
  <c r="CG54" i="11"/>
  <c r="CG53" i="11" s="1"/>
  <c r="H229" i="2"/>
  <c r="BZ28" i="11"/>
  <c r="CL54" i="11"/>
  <c r="CL53" i="11" s="1"/>
  <c r="BL33" i="11"/>
  <c r="BL297" i="11" s="1"/>
  <c r="BL165" i="11"/>
  <c r="BS28" i="11"/>
  <c r="CE54" i="11"/>
  <c r="CE53" i="11" s="1"/>
  <c r="X250" i="11"/>
  <c r="CH54" i="11"/>
  <c r="CH53" i="11" s="1"/>
  <c r="BV28" i="11"/>
  <c r="Y36" i="11"/>
  <c r="Y134" i="11"/>
  <c r="Z55" i="11"/>
  <c r="Z51" i="11"/>
  <c r="Z56" i="11"/>
  <c r="BQ165" i="11"/>
  <c r="BQ33" i="11"/>
  <c r="BQ297" i="11" s="1"/>
  <c r="BH33" i="11"/>
  <c r="BH297" i="11" s="1"/>
  <c r="BH165" i="11"/>
  <c r="BF33" i="11"/>
  <c r="BF297" i="11" s="1"/>
  <c r="BF165" i="11"/>
  <c r="BF236" i="11"/>
  <c r="X175" i="11"/>
  <c r="X178" i="11" s="1"/>
  <c r="BJ33" i="11"/>
  <c r="BJ297" i="11" s="1"/>
  <c r="BJ165" i="11"/>
  <c r="CD54" i="11"/>
  <c r="CD53" i="11" s="1"/>
  <c r="BR28" i="11"/>
  <c r="CB28" i="11"/>
  <c r="CN54" i="11"/>
  <c r="CN53" i="11" s="1"/>
  <c r="BC236" i="11"/>
  <c r="K163" i="2" s="1"/>
  <c r="K163" i="28" s="1"/>
  <c r="K131" i="2"/>
  <c r="K131" i="28" s="1"/>
  <c r="BI33" i="11"/>
  <c r="BI297" i="11" s="1"/>
  <c r="BI165" i="11"/>
  <c r="CK54" i="11"/>
  <c r="CK53" i="11" s="1"/>
  <c r="BY28" i="11"/>
  <c r="CF54" i="11"/>
  <c r="CF53" i="11" s="1"/>
  <c r="BT28" i="11"/>
  <c r="V302" i="11"/>
  <c r="V204" i="11"/>
  <c r="CI54" i="11"/>
  <c r="CI53" i="11" s="1"/>
  <c r="BW28" i="11"/>
  <c r="V239" i="11"/>
  <c r="V305" i="11"/>
  <c r="BG33" i="11"/>
  <c r="BG297" i="11" s="1"/>
  <c r="BG165" i="11"/>
  <c r="L36" i="2"/>
  <c r="BF113" i="11"/>
  <c r="Y156" i="11"/>
  <c r="Y157" i="11" s="1"/>
  <c r="Y274" i="11" s="1"/>
  <c r="CJ54" i="11"/>
  <c r="CJ53" i="11" s="1"/>
  <c r="BX28" i="11"/>
  <c r="X292" i="11"/>
  <c r="CC28" i="11"/>
  <c r="CO54" i="11"/>
  <c r="CO53" i="11" s="1"/>
  <c r="L65" i="2"/>
  <c r="BO33" i="11"/>
  <c r="BO297" i="11" s="1"/>
  <c r="BO165" i="11"/>
  <c r="Y106" i="11"/>
  <c r="Y125" i="11" s="1"/>
  <c r="BK165" i="11"/>
  <c r="BK33" i="11"/>
  <c r="BK297" i="11" s="1"/>
  <c r="L14" i="2"/>
  <c r="L20" i="2" s="1"/>
  <c r="L206" i="2" s="1"/>
  <c r="L14" i="28"/>
  <c r="L20" i="28" s="1"/>
  <c r="L206" i="28" s="1"/>
  <c r="AA34" i="11"/>
  <c r="AA298" i="11" s="1"/>
  <c r="AB60" i="11"/>
  <c r="Y164" i="11"/>
  <c r="BM165" i="11"/>
  <c r="BM33" i="11"/>
  <c r="BM297" i="11" s="1"/>
  <c r="BN165" i="11"/>
  <c r="BN33" i="11"/>
  <c r="BN297" i="11" s="1"/>
  <c r="BP33" i="11"/>
  <c r="BP297" i="11" s="1"/>
  <c r="BP165" i="11"/>
  <c r="CM54" i="11"/>
  <c r="CM53" i="11" s="1"/>
  <c r="CA28" i="11"/>
  <c r="W192" i="11" l="1"/>
  <c r="V320" i="11"/>
  <c r="Y128" i="11"/>
  <c r="AC325" i="11"/>
  <c r="AB326" i="11"/>
  <c r="AB329" i="11"/>
  <c r="X179" i="11"/>
  <c r="X235" i="11" s="1"/>
  <c r="W301" i="11"/>
  <c r="L85" i="2"/>
  <c r="L85" i="28" s="1"/>
  <c r="Y166" i="11"/>
  <c r="Y172" i="11"/>
  <c r="Y167" i="11"/>
  <c r="Y228" i="11"/>
  <c r="Y177" i="11"/>
  <c r="Y174" i="11"/>
  <c r="Y173" i="11"/>
  <c r="Y168" i="11"/>
  <c r="Y275" i="11"/>
  <c r="Y143" i="11"/>
  <c r="Y144" i="11" s="1"/>
  <c r="X268" i="11"/>
  <c r="BZ206" i="11"/>
  <c r="BZ236" i="11" s="1"/>
  <c r="CC59" i="11"/>
  <c r="CC27" i="11"/>
  <c r="CC147" i="11"/>
  <c r="CC109" i="11"/>
  <c r="CC113" i="11" s="1"/>
  <c r="Y311" i="11"/>
  <c r="BU147" i="11"/>
  <c r="BR206" i="11"/>
  <c r="BU109" i="11"/>
  <c r="BU113" i="11" s="1"/>
  <c r="BU59" i="11"/>
  <c r="BU27" i="11"/>
  <c r="L65" i="28"/>
  <c r="BQ206" i="11"/>
  <c r="BQ236" i="11" s="1"/>
  <c r="BT147" i="11"/>
  <c r="BT109" i="11"/>
  <c r="BT113" i="11" s="1"/>
  <c r="BT59" i="11"/>
  <c r="BT27" i="11"/>
  <c r="Z29" i="11"/>
  <c r="Z152" i="11"/>
  <c r="Z160" i="11"/>
  <c r="CA147" i="11"/>
  <c r="BX206" i="11"/>
  <c r="BX236" i="11" s="1"/>
  <c r="CA27" i="11"/>
  <c r="CA109" i="11"/>
  <c r="CA113" i="11" s="1"/>
  <c r="CA59" i="11"/>
  <c r="AB34" i="11"/>
  <c r="AB298" i="11" s="1"/>
  <c r="AC60" i="11"/>
  <c r="L40" i="2"/>
  <c r="L36" i="28"/>
  <c r="L40" i="28" s="1"/>
  <c r="CB147" i="11"/>
  <c r="BY206" i="11"/>
  <c r="BY236" i="11" s="1"/>
  <c r="CB27" i="11"/>
  <c r="CB109" i="11"/>
  <c r="CB113" i="11" s="1"/>
  <c r="CB59" i="11"/>
  <c r="BS59" i="11"/>
  <c r="BS147" i="11"/>
  <c r="BS109" i="11"/>
  <c r="BS113" i="11" s="1"/>
  <c r="BS27" i="11"/>
  <c r="BP206" i="11"/>
  <c r="BP236" i="11" s="1"/>
  <c r="BY147" i="11"/>
  <c r="BY109" i="11"/>
  <c r="BY113" i="11" s="1"/>
  <c r="BY59" i="11"/>
  <c r="BY27" i="11"/>
  <c r="BV206" i="11"/>
  <c r="BV236" i="11" s="1"/>
  <c r="BV109" i="11"/>
  <c r="BV113" i="11" s="1"/>
  <c r="BV147" i="11"/>
  <c r="BV59" i="11"/>
  <c r="BS206" i="11"/>
  <c r="BS236" i="11" s="1"/>
  <c r="BV27" i="11"/>
  <c r="W191" i="11"/>
  <c r="W194" i="11" s="1"/>
  <c r="W197" i="11" s="1"/>
  <c r="Y292" i="11"/>
  <c r="BX27" i="11"/>
  <c r="BU206" i="11"/>
  <c r="BU236" i="11" s="1"/>
  <c r="BX109" i="11"/>
  <c r="BX113" i="11" s="1"/>
  <c r="BX147" i="11"/>
  <c r="BX59" i="11"/>
  <c r="BT206" i="11"/>
  <c r="BT236" i="11" s="1"/>
  <c r="BW147" i="11"/>
  <c r="BW59" i="11"/>
  <c r="BW109" i="11"/>
  <c r="BW113" i="11" s="1"/>
  <c r="BW27" i="11"/>
  <c r="M15" i="28"/>
  <c r="M15" i="2"/>
  <c r="Z139" i="11"/>
  <c r="Z117" i="11"/>
  <c r="Z121" i="11" s="1"/>
  <c r="Z123" i="11" s="1"/>
  <c r="Z30" i="11"/>
  <c r="V207" i="11"/>
  <c r="V222" i="11"/>
  <c r="BZ59" i="11"/>
  <c r="BW206" i="11"/>
  <c r="BW236" i="11" s="1"/>
  <c r="BZ147" i="11"/>
  <c r="BZ27" i="11"/>
  <c r="BZ109" i="11"/>
  <c r="BZ113" i="11" s="1"/>
  <c r="BO206" i="11"/>
  <c r="BR27" i="11"/>
  <c r="BR147" i="11"/>
  <c r="BR109" i="11"/>
  <c r="BR59" i="11"/>
  <c r="Z25" i="11"/>
  <c r="Z102" i="11"/>
  <c r="Z57" i="11"/>
  <c r="X182" i="11" l="1"/>
  <c r="X189" i="11" s="1"/>
  <c r="Y233" i="11"/>
  <c r="X181" i="11"/>
  <c r="X188" i="11" s="1"/>
  <c r="Y127" i="11"/>
  <c r="AC326" i="11"/>
  <c r="AC329" i="11"/>
  <c r="AD325" i="11"/>
  <c r="X303" i="11"/>
  <c r="X304" i="11"/>
  <c r="Y169" i="11"/>
  <c r="Y205" i="11"/>
  <c r="Y250" i="11"/>
  <c r="BR33" i="11"/>
  <c r="BR297" i="11" s="1"/>
  <c r="BR165" i="11"/>
  <c r="W239" i="11"/>
  <c r="W305" i="11"/>
  <c r="CB33" i="11"/>
  <c r="CB297" i="11" s="1"/>
  <c r="CB165" i="11"/>
  <c r="CO28" i="11"/>
  <c r="DA54" i="11"/>
  <c r="DA53" i="11" s="1"/>
  <c r="Y310" i="11"/>
  <c r="Y308" i="11"/>
  <c r="Y309" i="11" s="1"/>
  <c r="Y312" i="11" s="1"/>
  <c r="Y313" i="11" s="1"/>
  <c r="M36" i="2"/>
  <c r="BR113" i="11"/>
  <c r="BZ165" i="11"/>
  <c r="BZ33" i="11"/>
  <c r="BZ297" i="11" s="1"/>
  <c r="W196" i="11"/>
  <c r="AD60" i="11"/>
  <c r="AC34" i="11"/>
  <c r="AC298" i="11" s="1"/>
  <c r="CF28" i="11"/>
  <c r="CR54" i="11"/>
  <c r="CR53" i="11" s="1"/>
  <c r="CH28" i="11"/>
  <c r="CT54" i="11"/>
  <c r="CT53" i="11" s="1"/>
  <c r="BU33" i="11"/>
  <c r="BU297" i="11" s="1"/>
  <c r="BU165" i="11"/>
  <c r="M65" i="2"/>
  <c r="CX54" i="11"/>
  <c r="CX53" i="11" s="1"/>
  <c r="CL28" i="11"/>
  <c r="BR236" i="11"/>
  <c r="M14" i="2"/>
  <c r="M20" i="2" s="1"/>
  <c r="M206" i="2" s="1"/>
  <c r="M14" i="28"/>
  <c r="M20" i="28" s="1"/>
  <c r="M206" i="28" s="1"/>
  <c r="CV54" i="11"/>
  <c r="CV53" i="11" s="1"/>
  <c r="CJ28" i="11"/>
  <c r="BY33" i="11"/>
  <c r="BY297" i="11" s="1"/>
  <c r="BY165" i="11"/>
  <c r="BO236" i="11"/>
  <c r="L163" i="2" s="1"/>
  <c r="L163" i="28" s="1"/>
  <c r="L131" i="2"/>
  <c r="L131" i="28" s="1"/>
  <c r="CU54" i="11"/>
  <c r="CU53" i="11" s="1"/>
  <c r="CI28" i="11"/>
  <c r="BV165" i="11"/>
  <c r="BV33" i="11"/>
  <c r="BV297" i="11" s="1"/>
  <c r="CY54" i="11"/>
  <c r="CY53" i="11" s="1"/>
  <c r="CM28" i="11"/>
  <c r="BT165" i="11"/>
  <c r="BT33" i="11"/>
  <c r="BT297" i="11" s="1"/>
  <c r="BW165" i="11"/>
  <c r="BW33" i="11"/>
  <c r="BW297" i="11" s="1"/>
  <c r="BX165" i="11"/>
  <c r="BX33" i="11"/>
  <c r="BX297" i="11" s="1"/>
  <c r="BS165" i="11"/>
  <c r="BS33" i="11"/>
  <c r="BS297" i="11" s="1"/>
  <c r="Z164" i="11"/>
  <c r="CG28" i="11"/>
  <c r="CS54" i="11"/>
  <c r="CS53" i="11" s="1"/>
  <c r="CC33" i="11"/>
  <c r="CC297" i="11" s="1"/>
  <c r="CC165" i="11"/>
  <c r="Y175" i="11"/>
  <c r="Y178" i="11" s="1"/>
  <c r="Z36" i="11"/>
  <c r="AA56" i="11"/>
  <c r="Z134" i="11"/>
  <c r="AA55" i="11"/>
  <c r="AA51" i="11"/>
  <c r="Z106" i="11"/>
  <c r="Z125" i="11" s="1"/>
  <c r="CD28" i="11"/>
  <c r="CP54" i="11"/>
  <c r="CP53" i="11" s="1"/>
  <c r="CZ54" i="11"/>
  <c r="CZ53" i="11" s="1"/>
  <c r="CN28" i="11"/>
  <c r="CA33" i="11"/>
  <c r="CA297" i="11" s="1"/>
  <c r="CA165" i="11"/>
  <c r="Z156" i="11"/>
  <c r="Z157" i="11" s="1"/>
  <c r="Z31" i="11"/>
  <c r="Z327" i="11" s="1"/>
  <c r="Z328" i="11" s="1"/>
  <c r="CW54" i="11"/>
  <c r="CW53" i="11" s="1"/>
  <c r="CK28" i="11"/>
  <c r="CQ54" i="11"/>
  <c r="CQ53" i="11" s="1"/>
  <c r="CE28" i="11"/>
  <c r="X192" i="11" l="1"/>
  <c r="W320" i="11"/>
  <c r="Z275" i="11"/>
  <c r="AD326" i="11"/>
  <c r="AE325" i="11"/>
  <c r="AD329" i="11"/>
  <c r="X301" i="11"/>
  <c r="Y179" i="11"/>
  <c r="Z274" i="11"/>
  <c r="AA25" i="11"/>
  <c r="AA102" i="11"/>
  <c r="AA106" i="11" s="1"/>
  <c r="AA125" i="11" s="1"/>
  <c r="AA57" i="11"/>
  <c r="M65" i="28"/>
  <c r="Z168" i="11"/>
  <c r="Z228" i="11"/>
  <c r="Z172" i="11"/>
  <c r="Z173" i="11"/>
  <c r="Z174" i="11"/>
  <c r="Z177" i="11"/>
  <c r="Z166" i="11"/>
  <c r="Z167" i="11"/>
  <c r="AA29" i="11"/>
  <c r="AA152" i="11"/>
  <c r="AA160" i="11"/>
  <c r="AA164" i="11" s="1"/>
  <c r="CO109" i="11"/>
  <c r="CO113" i="11" s="1"/>
  <c r="CO147" i="11"/>
  <c r="CL206" i="11"/>
  <c r="CL236" i="11" s="1"/>
  <c r="CO27" i="11"/>
  <c r="CO59" i="11"/>
  <c r="M85" i="2"/>
  <c r="M85" i="28" s="1"/>
  <c r="Z143" i="11"/>
  <c r="Z144" i="11" s="1"/>
  <c r="CM147" i="11"/>
  <c r="CM109" i="11"/>
  <c r="CM113" i="11" s="1"/>
  <c r="CJ206" i="11"/>
  <c r="CJ236" i="11" s="1"/>
  <c r="CM27" i="11"/>
  <c r="CM59" i="11"/>
  <c r="AE60" i="11"/>
  <c r="AD34" i="11"/>
  <c r="AD298" i="11" s="1"/>
  <c r="CI147" i="11"/>
  <c r="CI109" i="11"/>
  <c r="CI113" i="11" s="1"/>
  <c r="CI59" i="11"/>
  <c r="CF206" i="11"/>
  <c r="CF236" i="11" s="1"/>
  <c r="CI27" i="11"/>
  <c r="AA139" i="11"/>
  <c r="AA117" i="11"/>
  <c r="AA121" i="11" s="1"/>
  <c r="AA123" i="11" s="1"/>
  <c r="AA30" i="11"/>
  <c r="CH109" i="11"/>
  <c r="CH113" i="11" s="1"/>
  <c r="CH147" i="11"/>
  <c r="CH59" i="11"/>
  <c r="CH27" i="11"/>
  <c r="CE206" i="11"/>
  <c r="CE236" i="11" s="1"/>
  <c r="Y268" i="11"/>
  <c r="CJ147" i="11"/>
  <c r="CJ109" i="11"/>
  <c r="CJ113" i="11" s="1"/>
  <c r="CJ27" i="11"/>
  <c r="CJ59" i="11"/>
  <c r="CG206" i="11"/>
  <c r="CG236" i="11" s="1"/>
  <c r="W204" i="11"/>
  <c r="W302" i="11"/>
  <c r="CG109" i="11"/>
  <c r="CG113" i="11" s="1"/>
  <c r="CG147" i="11"/>
  <c r="CD206" i="11"/>
  <c r="CG59" i="11"/>
  <c r="CG27" i="11"/>
  <c r="Z311" i="11"/>
  <c r="N15" i="2"/>
  <c r="N15" i="28"/>
  <c r="CL147" i="11"/>
  <c r="CL109" i="11"/>
  <c r="CL113" i="11" s="1"/>
  <c r="CL59" i="11"/>
  <c r="CI206" i="11"/>
  <c r="CI236" i="11" s="1"/>
  <c r="CL27" i="11"/>
  <c r="M40" i="2"/>
  <c r="M36" i="28"/>
  <c r="M40" i="28" s="1"/>
  <c r="CE109" i="11"/>
  <c r="CE113" i="11" s="1"/>
  <c r="CE147" i="11"/>
  <c r="CB206" i="11"/>
  <c r="CB236" i="11" s="1"/>
  <c r="CE27" i="11"/>
  <c r="CE59" i="11"/>
  <c r="CN147" i="11"/>
  <c r="CN109" i="11"/>
  <c r="CN113" i="11" s="1"/>
  <c r="CN59" i="11"/>
  <c r="CN27" i="11"/>
  <c r="CK206" i="11"/>
  <c r="CK236" i="11" s="1"/>
  <c r="CD147" i="11"/>
  <c r="CA206" i="11"/>
  <c r="CD109" i="11"/>
  <c r="CD27" i="11"/>
  <c r="CD59" i="11"/>
  <c r="CK109" i="11"/>
  <c r="CK113" i="11" s="1"/>
  <c r="CK147" i="11"/>
  <c r="CK59" i="11"/>
  <c r="CK27" i="11"/>
  <c r="CH206" i="11"/>
  <c r="CH236" i="11" s="1"/>
  <c r="X191" i="11"/>
  <c r="X194" i="11" s="1"/>
  <c r="X196" i="11" s="1"/>
  <c r="CF109" i="11"/>
  <c r="CF113" i="11" s="1"/>
  <c r="CF147" i="11"/>
  <c r="CC206" i="11"/>
  <c r="CC236" i="11" s="1"/>
  <c r="CF59" i="11"/>
  <c r="CF27" i="11"/>
  <c r="X197" i="11" l="1"/>
  <c r="Z308" i="11"/>
  <c r="Z309" i="11" s="1"/>
  <c r="Z312" i="11" s="1"/>
  <c r="Z313" i="11" s="1"/>
  <c r="X320" i="11"/>
  <c r="AA127" i="11"/>
  <c r="Y303" i="11"/>
  <c r="Y182" i="11"/>
  <c r="Y189" i="11" s="1"/>
  <c r="Y181" i="11"/>
  <c r="Y188" i="11" s="1"/>
  <c r="Z310" i="11"/>
  <c r="Z233" i="11"/>
  <c r="Z128" i="11"/>
  <c r="Z127" i="11"/>
  <c r="AE329" i="11"/>
  <c r="AF325" i="11"/>
  <c r="AE326" i="11"/>
  <c r="Y235" i="11"/>
  <c r="Y304" i="11"/>
  <c r="Z169" i="11"/>
  <c r="Z205" i="11"/>
  <c r="Z250" i="11"/>
  <c r="Z268" i="11" s="1"/>
  <c r="X302" i="11"/>
  <c r="X204" i="11"/>
  <c r="CD113" i="11"/>
  <c r="N36" i="2"/>
  <c r="Z175" i="11"/>
  <c r="Z178" i="11" s="1"/>
  <c r="CK33" i="11"/>
  <c r="CK297" i="11" s="1"/>
  <c r="CK165" i="11"/>
  <c r="CA236" i="11"/>
  <c r="M163" i="2" s="1"/>
  <c r="M163" i="28" s="1"/>
  <c r="M131" i="2"/>
  <c r="M131" i="28" s="1"/>
  <c r="CY28" i="11"/>
  <c r="DK54" i="11"/>
  <c r="DK53" i="11" s="1"/>
  <c r="N65" i="2"/>
  <c r="DC54" i="11"/>
  <c r="DC53" i="11" s="1"/>
  <c r="CQ28" i="11"/>
  <c r="AF60" i="11"/>
  <c r="AE34" i="11"/>
  <c r="AE298" i="11" s="1"/>
  <c r="AA36" i="11"/>
  <c r="AB51" i="11"/>
  <c r="AA134" i="11"/>
  <c r="AB56" i="11"/>
  <c r="AB55" i="11"/>
  <c r="DG54" i="11"/>
  <c r="DG53" i="11" s="1"/>
  <c r="CU28" i="11"/>
  <c r="DL54" i="11"/>
  <c r="DL53" i="11" s="1"/>
  <c r="CZ28" i="11"/>
  <c r="DJ54" i="11"/>
  <c r="DJ53" i="11" s="1"/>
  <c r="CX28" i="11"/>
  <c r="CG165" i="11"/>
  <c r="CG33" i="11"/>
  <c r="CG297" i="11" s="1"/>
  <c r="CV28" i="11"/>
  <c r="DH54" i="11"/>
  <c r="DH53" i="11" s="1"/>
  <c r="CM33" i="11"/>
  <c r="CM297" i="11" s="1"/>
  <c r="CM165" i="11"/>
  <c r="AA172" i="11"/>
  <c r="AA168" i="11"/>
  <c r="AA167" i="11"/>
  <c r="AA177" i="11"/>
  <c r="AA173" i="11"/>
  <c r="AA166" i="11"/>
  <c r="AA228" i="11"/>
  <c r="AA174" i="11"/>
  <c r="AA175" i="11" s="1"/>
  <c r="CD33" i="11"/>
  <c r="CD297" i="11" s="1"/>
  <c r="CD165" i="11"/>
  <c r="CF33" i="11"/>
  <c r="CF297" i="11" s="1"/>
  <c r="CF165" i="11"/>
  <c r="CP28" i="11"/>
  <c r="DB54" i="11"/>
  <c r="DB53" i="11" s="1"/>
  <c r="CE165" i="11"/>
  <c r="CE33" i="11"/>
  <c r="CE297" i="11" s="1"/>
  <c r="CD236" i="11"/>
  <c r="W207" i="11"/>
  <c r="W222" i="11"/>
  <c r="CT28" i="11"/>
  <c r="DF54" i="11"/>
  <c r="DF53" i="11" s="1"/>
  <c r="CI33" i="11"/>
  <c r="CI297" i="11" s="1"/>
  <c r="CI165" i="11"/>
  <c r="AA31" i="11"/>
  <c r="AA327" i="11" s="1"/>
  <c r="AA328" i="11" s="1"/>
  <c r="Z292" i="11"/>
  <c r="DD54" i="11"/>
  <c r="DD53" i="11" s="1"/>
  <c r="CR28" i="11"/>
  <c r="CS28" i="11"/>
  <c r="DE54" i="11"/>
  <c r="DE53" i="11" s="1"/>
  <c r="CH165" i="11"/>
  <c r="CH33" i="11"/>
  <c r="CH297" i="11" s="1"/>
  <c r="DI54" i="11"/>
  <c r="DI53" i="11" s="1"/>
  <c r="CW28" i="11"/>
  <c r="DM54" i="11"/>
  <c r="DM53" i="11" s="1"/>
  <c r="DA28" i="11"/>
  <c r="X239" i="11"/>
  <c r="X305" i="11"/>
  <c r="CJ33" i="11"/>
  <c r="CJ297" i="11" s="1"/>
  <c r="CJ165" i="11"/>
  <c r="N14" i="28"/>
  <c r="N20" i="28" s="1"/>
  <c r="N206" i="28" s="1"/>
  <c r="N14" i="2"/>
  <c r="N20" i="2" s="1"/>
  <c r="N206" i="2" s="1"/>
  <c r="CN165" i="11"/>
  <c r="CN33" i="11"/>
  <c r="CN297" i="11" s="1"/>
  <c r="CL165" i="11"/>
  <c r="CL33" i="11"/>
  <c r="CL297" i="11" s="1"/>
  <c r="CO33" i="11"/>
  <c r="CO297" i="11" s="1"/>
  <c r="CO165" i="11"/>
  <c r="AA156" i="11"/>
  <c r="AA157" i="11" s="1"/>
  <c r="AA274" i="11" s="1"/>
  <c r="AA275" i="11"/>
  <c r="Y192" i="11" l="1"/>
  <c r="AA128" i="11"/>
  <c r="AF326" i="11"/>
  <c r="AF329" i="11"/>
  <c r="AG325" i="11"/>
  <c r="Y301" i="11"/>
  <c r="Z179" i="11"/>
  <c r="Z235" i="11" s="1"/>
  <c r="AA169" i="11"/>
  <c r="AA292" i="11"/>
  <c r="AF34" i="11"/>
  <c r="AF298" i="11" s="1"/>
  <c r="AG60" i="11"/>
  <c r="N65" i="28"/>
  <c r="AA310" i="11"/>
  <c r="AA308" i="11"/>
  <c r="AA309" i="11" s="1"/>
  <c r="AA312" i="11" s="1"/>
  <c r="AA313" i="11" s="1"/>
  <c r="CT109" i="11"/>
  <c r="CT113" i="11" s="1"/>
  <c r="CT147" i="11"/>
  <c r="CQ206" i="11"/>
  <c r="CQ236" i="11" s="1"/>
  <c r="CT27" i="11"/>
  <c r="CT59" i="11"/>
  <c r="Y191" i="11"/>
  <c r="Y194" i="11" s="1"/>
  <c r="Y197" i="11" s="1"/>
  <c r="CW109" i="11"/>
  <c r="CW113" i="11" s="1"/>
  <c r="CW147" i="11"/>
  <c r="CW27" i="11"/>
  <c r="CT206" i="11"/>
  <c r="CT236" i="11" s="1"/>
  <c r="CW59" i="11"/>
  <c r="CR147" i="11"/>
  <c r="CR109" i="11"/>
  <c r="CR113" i="11" s="1"/>
  <c r="CO206" i="11"/>
  <c r="CO236" i="11" s="1"/>
  <c r="CR27" i="11"/>
  <c r="CR59" i="11"/>
  <c r="AA178" i="11"/>
  <c r="CX147" i="11"/>
  <c r="CX109" i="11"/>
  <c r="CX113" i="11" s="1"/>
  <c r="CX27" i="11"/>
  <c r="CU206" i="11"/>
  <c r="CU236" i="11" s="1"/>
  <c r="CX59" i="11"/>
  <c r="CU147" i="11"/>
  <c r="CU109" i="11"/>
  <c r="CU113" i="11" s="1"/>
  <c r="CU59" i="11"/>
  <c r="CR206" i="11"/>
  <c r="CR236" i="11" s="1"/>
  <c r="CU27" i="11"/>
  <c r="AB29" i="11"/>
  <c r="AB152" i="11"/>
  <c r="AB160" i="11"/>
  <c r="AB164" i="11" s="1"/>
  <c r="N40" i="2"/>
  <c r="N36" i="28"/>
  <c r="N40" i="28" s="1"/>
  <c r="CP147" i="11"/>
  <c r="CM206" i="11"/>
  <c r="CP109" i="11"/>
  <c r="CP59" i="11"/>
  <c r="CP27" i="11"/>
  <c r="CZ147" i="11"/>
  <c r="CZ109" i="11"/>
  <c r="CZ113" i="11" s="1"/>
  <c r="CZ27" i="11"/>
  <c r="CW206" i="11"/>
  <c r="CW236" i="11" s="1"/>
  <c r="CZ59" i="11"/>
  <c r="AB139" i="11"/>
  <c r="AB30" i="11"/>
  <c r="AB117" i="11"/>
  <c r="AB121" i="11" s="1"/>
  <c r="AB123" i="11" s="1"/>
  <c r="CQ147" i="11"/>
  <c r="CQ109" i="11"/>
  <c r="CQ113" i="11" s="1"/>
  <c r="CN206" i="11"/>
  <c r="CN236" i="11" s="1"/>
  <c r="CQ27" i="11"/>
  <c r="CQ59" i="11"/>
  <c r="CY147" i="11"/>
  <c r="CY109" i="11"/>
  <c r="CY113" i="11" s="1"/>
  <c r="CY59" i="11"/>
  <c r="CY27" i="11"/>
  <c r="CV206" i="11"/>
  <c r="CV236" i="11" s="1"/>
  <c r="AA233" i="11"/>
  <c r="O15" i="28"/>
  <c r="O15" i="2"/>
  <c r="N85" i="2"/>
  <c r="N85" i="28" s="1"/>
  <c r="CV147" i="11"/>
  <c r="CV109" i="11"/>
  <c r="CV113" i="11" s="1"/>
  <c r="CV59" i="11"/>
  <c r="CS206" i="11"/>
  <c r="CS236" i="11" s="1"/>
  <c r="CV27" i="11"/>
  <c r="AA143" i="11"/>
  <c r="AA144" i="11" s="1"/>
  <c r="DA109" i="11"/>
  <c r="DA113" i="11" s="1"/>
  <c r="DA147" i="11"/>
  <c r="DA27" i="11"/>
  <c r="DA59" i="11"/>
  <c r="CX206" i="11"/>
  <c r="CX236" i="11" s="1"/>
  <c r="AB102" i="11"/>
  <c r="AB106" i="11" s="1"/>
  <c r="AB125" i="11" s="1"/>
  <c r="AB57" i="11"/>
  <c r="AB25" i="11"/>
  <c r="AA311" i="11"/>
  <c r="X222" i="11"/>
  <c r="X207" i="11"/>
  <c r="CS109" i="11"/>
  <c r="CS113" i="11" s="1"/>
  <c r="CS147" i="11"/>
  <c r="CS59" i="11"/>
  <c r="CP206" i="11"/>
  <c r="CS27" i="11"/>
  <c r="Y320" i="11" l="1"/>
  <c r="AB233" i="11"/>
  <c r="Z182" i="11"/>
  <c r="Z189" i="11" s="1"/>
  <c r="Z181" i="11"/>
  <c r="Z188" i="11" s="1"/>
  <c r="AG329" i="11"/>
  <c r="AH325" i="11"/>
  <c r="AG326" i="11"/>
  <c r="Z303" i="11"/>
  <c r="Z304" i="11"/>
  <c r="AB31" i="11"/>
  <c r="AB327" i="11" s="1"/>
  <c r="AB328" i="11" s="1"/>
  <c r="AA179" i="11"/>
  <c r="AA235" i="11" s="1"/>
  <c r="AA205" i="11"/>
  <c r="AA250" i="11"/>
  <c r="CP236" i="11"/>
  <c r="CZ33" i="11"/>
  <c r="CZ297" i="11" s="1"/>
  <c r="CZ165" i="11"/>
  <c r="CP33" i="11"/>
  <c r="CP297" i="11" s="1"/>
  <c r="CP165" i="11"/>
  <c r="AB275" i="11"/>
  <c r="CY165" i="11"/>
  <c r="CY33" i="11"/>
  <c r="CY297" i="11" s="1"/>
  <c r="CP113" i="11"/>
  <c r="O36" i="2"/>
  <c r="CS33" i="11"/>
  <c r="CS297" i="11" s="1"/>
  <c r="CS165" i="11"/>
  <c r="CM236" i="11"/>
  <c r="N163" i="2" s="1"/>
  <c r="N163" i="28" s="1"/>
  <c r="N131" i="2"/>
  <c r="N131" i="28" s="1"/>
  <c r="CU33" i="11"/>
  <c r="CU297" i="11" s="1"/>
  <c r="CU165" i="11"/>
  <c r="DM28" i="11"/>
  <c r="DY54" i="11"/>
  <c r="DY53" i="11" s="1"/>
  <c r="CV33" i="11"/>
  <c r="CV297" i="11" s="1"/>
  <c r="CV165" i="11"/>
  <c r="O65" i="2"/>
  <c r="AB156" i="11"/>
  <c r="AB157" i="11" s="1"/>
  <c r="AB274" i="11" s="1"/>
  <c r="DO54" i="11"/>
  <c r="DO53" i="11" s="1"/>
  <c r="DC28" i="11"/>
  <c r="DI28" i="11"/>
  <c r="DU54" i="11"/>
  <c r="DU53" i="11" s="1"/>
  <c r="AH60" i="11"/>
  <c r="AG34" i="11"/>
  <c r="I21" i="28" s="1"/>
  <c r="DK28" i="11"/>
  <c r="DW54" i="11"/>
  <c r="DW53" i="11" s="1"/>
  <c r="DN54" i="11"/>
  <c r="DN53" i="11" s="1"/>
  <c r="DB28" i="11"/>
  <c r="DV54" i="11"/>
  <c r="DV53" i="11" s="1"/>
  <c r="DJ28" i="11"/>
  <c r="DD28" i="11"/>
  <c r="DP54" i="11"/>
  <c r="DP53" i="11" s="1"/>
  <c r="Y239" i="11"/>
  <c r="Y305" i="11"/>
  <c r="DF28" i="11"/>
  <c r="DR54" i="11"/>
  <c r="DR53" i="11" s="1"/>
  <c r="DE28" i="11"/>
  <c r="DQ54" i="11"/>
  <c r="DQ53" i="11" s="1"/>
  <c r="AB36" i="11"/>
  <c r="AC55" i="11"/>
  <c r="AC56" i="11"/>
  <c r="AC51" i="11"/>
  <c r="AB134" i="11"/>
  <c r="DA165" i="11"/>
  <c r="DA33" i="11"/>
  <c r="DA297" i="11" s="1"/>
  <c r="CQ165" i="11"/>
  <c r="CQ33" i="11"/>
  <c r="CQ297" i="11" s="1"/>
  <c r="DX54" i="11"/>
  <c r="DX53" i="11" s="1"/>
  <c r="DL28" i="11"/>
  <c r="DS54" i="11"/>
  <c r="DS53" i="11" s="1"/>
  <c r="DG28" i="11"/>
  <c r="CW33" i="11"/>
  <c r="CW297" i="11" s="1"/>
  <c r="CW165" i="11"/>
  <c r="Y196" i="11"/>
  <c r="AB228" i="11"/>
  <c r="AB166" i="11"/>
  <c r="AB168" i="11"/>
  <c r="AB173" i="11"/>
  <c r="AB172" i="11"/>
  <c r="AB177" i="11"/>
  <c r="AB167" i="11"/>
  <c r="AB174" i="11"/>
  <c r="AB175" i="11" s="1"/>
  <c r="DT54" i="11"/>
  <c r="DT53" i="11" s="1"/>
  <c r="DH28" i="11"/>
  <c r="O14" i="28"/>
  <c r="O20" i="28" s="1"/>
  <c r="O206" i="28" s="1"/>
  <c r="O14" i="2"/>
  <c r="O20" i="2" s="1"/>
  <c r="O206" i="2" s="1"/>
  <c r="CX33" i="11"/>
  <c r="CX297" i="11" s="1"/>
  <c r="CX165" i="11"/>
  <c r="CR33" i="11"/>
  <c r="CR297" i="11" s="1"/>
  <c r="CR165" i="11"/>
  <c r="CT165" i="11"/>
  <c r="CT33" i="11"/>
  <c r="CT297" i="11" s="1"/>
  <c r="Z192" i="11" l="1"/>
  <c r="AA182" i="11"/>
  <c r="AA189" i="11" s="1"/>
  <c r="AA181" i="11"/>
  <c r="AA188" i="11" s="1"/>
  <c r="AB127" i="11"/>
  <c r="AB128" i="11"/>
  <c r="AI325" i="11"/>
  <c r="AH326" i="11"/>
  <c r="AH329" i="11"/>
  <c r="Z301" i="11"/>
  <c r="AA304" i="11"/>
  <c r="AA303" i="11"/>
  <c r="AB169" i="11"/>
  <c r="DE109" i="11"/>
  <c r="DE113" i="11" s="1"/>
  <c r="DE147" i="11"/>
  <c r="DE59" i="11"/>
  <c r="DB206" i="11"/>
  <c r="DE27" i="11"/>
  <c r="AA268" i="11"/>
  <c r="AB178" i="11"/>
  <c r="DI109" i="11"/>
  <c r="DI113" i="11" s="1"/>
  <c r="DI147" i="11"/>
  <c r="DF206" i="11"/>
  <c r="DF236" i="11" s="1"/>
  <c r="DI59" i="11"/>
  <c r="DI27" i="11"/>
  <c r="AB292" i="11"/>
  <c r="O36" i="28"/>
  <c r="O40" i="28" s="1"/>
  <c r="O40" i="2"/>
  <c r="DH109" i="11"/>
  <c r="DH113" i="11" s="1"/>
  <c r="DH147" i="11"/>
  <c r="DH27" i="11"/>
  <c r="DE206" i="11"/>
  <c r="DE236" i="11" s="1"/>
  <c r="DH59" i="11"/>
  <c r="I232" i="28"/>
  <c r="I232" i="2"/>
  <c r="DD109" i="11"/>
  <c r="DD113" i="11" s="1"/>
  <c r="DD147" i="11"/>
  <c r="DD59" i="11"/>
  <c r="DD27" i="11"/>
  <c r="DA206" i="11"/>
  <c r="DA236" i="11" s="1"/>
  <c r="DM109" i="11"/>
  <c r="DM113" i="11" s="1"/>
  <c r="DM147" i="11"/>
  <c r="DJ206" i="11"/>
  <c r="DJ236" i="11" s="1"/>
  <c r="DM27" i="11"/>
  <c r="DM59" i="11"/>
  <c r="DG147" i="11"/>
  <c r="DG109" i="11"/>
  <c r="DG113" i="11" s="1"/>
  <c r="DG27" i="11"/>
  <c r="DD206" i="11"/>
  <c r="DD236" i="11" s="1"/>
  <c r="DG59" i="11"/>
  <c r="AB143" i="11"/>
  <c r="AB144" i="11" s="1"/>
  <c r="DC147" i="11"/>
  <c r="DC109" i="11"/>
  <c r="DC113" i="11" s="1"/>
  <c r="CZ206" i="11"/>
  <c r="CZ236" i="11" s="1"/>
  <c r="DC27" i="11"/>
  <c r="DC59" i="11"/>
  <c r="O65" i="28"/>
  <c r="AB311" i="11"/>
  <c r="AH34" i="11"/>
  <c r="AH298" i="11" s="1"/>
  <c r="AI60" i="11"/>
  <c r="Y204" i="11"/>
  <c r="Y302" i="11"/>
  <c r="DL147" i="11"/>
  <c r="DL109" i="11"/>
  <c r="DL113" i="11" s="1"/>
  <c r="DL59" i="11"/>
  <c r="DL27" i="11"/>
  <c r="DI206" i="11"/>
  <c r="DI236" i="11" s="1"/>
  <c r="AC25" i="11"/>
  <c r="AC57" i="11"/>
  <c r="AC102" i="11"/>
  <c r="AC106" i="11" s="1"/>
  <c r="AC125" i="11" s="1"/>
  <c r="DF147" i="11"/>
  <c r="DF109" i="11"/>
  <c r="DF113" i="11" s="1"/>
  <c r="DC206" i="11"/>
  <c r="DC236" i="11" s="1"/>
  <c r="DF27" i="11"/>
  <c r="DF59" i="11"/>
  <c r="DK109" i="11"/>
  <c r="DK113" i="11" s="1"/>
  <c r="DK147" i="11"/>
  <c r="DK27" i="11"/>
  <c r="DH206" i="11"/>
  <c r="DH236" i="11" s="1"/>
  <c r="DK59" i="11"/>
  <c r="AB310" i="11"/>
  <c r="AB308" i="11"/>
  <c r="AB309" i="11" s="1"/>
  <c r="AB312" i="11" s="1"/>
  <c r="AB313" i="11" s="1"/>
  <c r="Z191" i="11"/>
  <c r="Z194" i="11" s="1"/>
  <c r="Z197" i="11" s="1"/>
  <c r="DB147" i="11"/>
  <c r="DB109" i="11"/>
  <c r="CY206" i="11"/>
  <c r="DB27" i="11"/>
  <c r="DB59" i="11"/>
  <c r="AC139" i="11"/>
  <c r="AC117" i="11"/>
  <c r="AC121" i="11" s="1"/>
  <c r="AC123" i="11" s="1"/>
  <c r="AC30" i="11"/>
  <c r="DJ109" i="11"/>
  <c r="DJ113" i="11" s="1"/>
  <c r="DJ147" i="11"/>
  <c r="DJ27" i="11"/>
  <c r="DG206" i="11"/>
  <c r="DG236" i="11" s="1"/>
  <c r="DJ59" i="11"/>
  <c r="O85" i="2"/>
  <c r="O85" i="28" s="1"/>
  <c r="AC152" i="11"/>
  <c r="AC29" i="11"/>
  <c r="AC160" i="11"/>
  <c r="AC164" i="11" s="1"/>
  <c r="P15" i="2"/>
  <c r="P15" i="28"/>
  <c r="I207" i="28"/>
  <c r="AG298" i="11"/>
  <c r="I21" i="2"/>
  <c r="I207" i="2" s="1"/>
  <c r="AA192" i="11" l="1"/>
  <c r="Z320" i="11"/>
  <c r="AC233" i="11"/>
  <c r="AJ325" i="11"/>
  <c r="AI326" i="11"/>
  <c r="AI329" i="11"/>
  <c r="AB179" i="11"/>
  <c r="AB235" i="11" s="1"/>
  <c r="AA301" i="11"/>
  <c r="AB205" i="11"/>
  <c r="AB250" i="11"/>
  <c r="P14" i="28"/>
  <c r="P20" i="28" s="1"/>
  <c r="P206" i="28" s="1"/>
  <c r="P14" i="2"/>
  <c r="P20" i="2" s="1"/>
  <c r="P206" i="2" s="1"/>
  <c r="DB113" i="11"/>
  <c r="P36" i="2"/>
  <c r="AC275" i="11"/>
  <c r="DR28" i="11"/>
  <c r="DD33" i="11"/>
  <c r="DD297" i="11" s="1"/>
  <c r="DD165" i="11"/>
  <c r="DT28" i="11"/>
  <c r="DI33" i="11"/>
  <c r="DI297" i="11" s="1"/>
  <c r="DI165" i="11"/>
  <c r="AC156" i="11"/>
  <c r="AC157" i="11" s="1"/>
  <c r="AC274" i="11" s="1"/>
  <c r="DV28" i="11"/>
  <c r="P65" i="2"/>
  <c r="DW28" i="11"/>
  <c r="AC168" i="11"/>
  <c r="AC172" i="11"/>
  <c r="AC166" i="11"/>
  <c r="AC177" i="11"/>
  <c r="AC228" i="11"/>
  <c r="AC173" i="11"/>
  <c r="AC174" i="11"/>
  <c r="AC175" i="11" s="1"/>
  <c r="AC167" i="11"/>
  <c r="I236" i="2"/>
  <c r="I236" i="28"/>
  <c r="DB236" i="11"/>
  <c r="DF33" i="11"/>
  <c r="DF297" i="11" s="1"/>
  <c r="DF165" i="11"/>
  <c r="AC36" i="11"/>
  <c r="AD56" i="11"/>
  <c r="AC134" i="11"/>
  <c r="AD55" i="11"/>
  <c r="AD51" i="11"/>
  <c r="DX28" i="11"/>
  <c r="DO28" i="11"/>
  <c r="DH33" i="11"/>
  <c r="DH297" i="11" s="1"/>
  <c r="DH165" i="11"/>
  <c r="AA191" i="11"/>
  <c r="AA194" i="11" s="1"/>
  <c r="AA196" i="11" s="1"/>
  <c r="DE33" i="11"/>
  <c r="DE297" i="11" s="1"/>
  <c r="DE165" i="11"/>
  <c r="DJ165" i="11"/>
  <c r="DJ33" i="11"/>
  <c r="DJ297" i="11" s="1"/>
  <c r="DN28" i="11"/>
  <c r="DK165" i="11"/>
  <c r="DK33" i="11"/>
  <c r="DK297" i="11" s="1"/>
  <c r="AC31" i="11"/>
  <c r="AC327" i="11" s="1"/>
  <c r="AC328" i="11" s="1"/>
  <c r="DC33" i="11"/>
  <c r="DC297" i="11" s="1"/>
  <c r="DC165" i="11"/>
  <c r="DY28" i="11"/>
  <c r="DP28" i="11"/>
  <c r="Y222" i="11"/>
  <c r="Y207" i="11"/>
  <c r="DS28" i="11"/>
  <c r="DU28" i="11"/>
  <c r="DL165" i="11"/>
  <c r="DL33" i="11"/>
  <c r="DL297" i="11" s="1"/>
  <c r="DM165" i="11"/>
  <c r="DM33" i="11"/>
  <c r="DM297" i="11" s="1"/>
  <c r="DQ28" i="11"/>
  <c r="DB33" i="11"/>
  <c r="DB297" i="11" s="1"/>
  <c r="DB165" i="11"/>
  <c r="Z239" i="11"/>
  <c r="Z305" i="11"/>
  <c r="AI34" i="11"/>
  <c r="AI298" i="11" s="1"/>
  <c r="AJ60" i="11"/>
  <c r="CY236" i="11"/>
  <c r="O163" i="2" s="1"/>
  <c r="O163" i="28" s="1"/>
  <c r="O131" i="2"/>
  <c r="O131" i="28" s="1"/>
  <c r="Z196" i="11"/>
  <c r="DG165" i="11"/>
  <c r="DG33" i="11"/>
  <c r="DG297" i="11" s="1"/>
  <c r="I233" i="28"/>
  <c r="I233" i="2"/>
  <c r="AA197" i="11" l="1"/>
  <c r="AB182" i="11"/>
  <c r="AB189" i="11" s="1"/>
  <c r="AB181" i="11"/>
  <c r="AB301" i="11" s="1"/>
  <c r="AC128" i="11"/>
  <c r="AC127" i="11"/>
  <c r="AK325" i="11"/>
  <c r="AJ326" i="11"/>
  <c r="AJ329" i="11"/>
  <c r="AB304" i="11"/>
  <c r="AB303" i="11"/>
  <c r="P85" i="2"/>
  <c r="P85" i="28" s="1"/>
  <c r="AC169" i="11"/>
  <c r="AC292" i="11"/>
  <c r="AA302" i="11"/>
  <c r="AA204" i="11"/>
  <c r="DU147" i="11"/>
  <c r="DU109" i="11"/>
  <c r="DU113" i="11" s="1"/>
  <c r="DR206" i="11"/>
  <c r="DR236" i="11" s="1"/>
  <c r="DU27" i="11"/>
  <c r="DU59" i="11"/>
  <c r="DW109" i="11"/>
  <c r="DW113" i="11" s="1"/>
  <c r="DW147" i="11"/>
  <c r="DW59" i="11"/>
  <c r="DW27" i="11"/>
  <c r="DT206" i="11"/>
  <c r="DT236" i="11" s="1"/>
  <c r="Z302" i="11"/>
  <c r="Z204" i="11"/>
  <c r="AC310" i="11"/>
  <c r="AC308" i="11"/>
  <c r="AC309" i="11" s="1"/>
  <c r="AC312" i="11" s="1"/>
  <c r="AC313" i="11" s="1"/>
  <c r="P65" i="28"/>
  <c r="P40" i="2"/>
  <c r="P36" i="28"/>
  <c r="P40" i="28" s="1"/>
  <c r="DS109" i="11"/>
  <c r="DS113" i="11" s="1"/>
  <c r="DS147" i="11"/>
  <c r="DS59" i="11"/>
  <c r="DP206" i="11"/>
  <c r="DP236" i="11" s="1"/>
  <c r="DS27" i="11"/>
  <c r="DX109" i="11"/>
  <c r="DX113" i="11" s="1"/>
  <c r="DX147" i="11"/>
  <c r="DX27" i="11"/>
  <c r="DX59" i="11"/>
  <c r="DU206" i="11"/>
  <c r="DU236" i="11" s="1"/>
  <c r="AD25" i="11"/>
  <c r="AD102" i="11"/>
  <c r="AD106" i="11" s="1"/>
  <c r="AD125" i="11" s="1"/>
  <c r="AD57" i="11"/>
  <c r="AC178" i="11"/>
  <c r="DT147" i="11"/>
  <c r="DT109" i="11"/>
  <c r="DT113" i="11" s="1"/>
  <c r="DT59" i="11"/>
  <c r="DT27" i="11"/>
  <c r="DQ206" i="11"/>
  <c r="DQ236" i="11" s="1"/>
  <c r="AD152" i="11"/>
  <c r="AD29" i="11"/>
  <c r="AD160" i="11"/>
  <c r="AD164" i="11" s="1"/>
  <c r="AB268" i="11"/>
  <c r="DP147" i="11"/>
  <c r="DP109" i="11"/>
  <c r="DP113" i="11" s="1"/>
  <c r="DP27" i="11"/>
  <c r="DM206" i="11"/>
  <c r="DM236" i="11" s="1"/>
  <c r="DP59" i="11"/>
  <c r="DN147" i="11"/>
  <c r="DK206" i="11"/>
  <c r="DN109" i="11"/>
  <c r="DN27" i="11"/>
  <c r="DN59" i="11"/>
  <c r="Q15" i="2"/>
  <c r="Q15" i="28"/>
  <c r="AD139" i="11"/>
  <c r="AD30" i="11"/>
  <c r="AD117" i="11"/>
  <c r="AD121" i="11" s="1"/>
  <c r="AD123" i="11" s="1"/>
  <c r="DV109" i="11"/>
  <c r="DV113" i="11" s="1"/>
  <c r="DV147" i="11"/>
  <c r="DV27" i="11"/>
  <c r="DS206" i="11"/>
  <c r="DS236" i="11" s="1"/>
  <c r="DV59" i="11"/>
  <c r="AJ34" i="11"/>
  <c r="AJ298" i="11" s="1"/>
  <c r="AK60" i="11"/>
  <c r="DQ147" i="11"/>
  <c r="DQ109" i="11"/>
  <c r="DQ113" i="11" s="1"/>
  <c r="DQ27" i="11"/>
  <c r="DQ59" i="11"/>
  <c r="DN206" i="11"/>
  <c r="DY109" i="11"/>
  <c r="DY113" i="11" s="1"/>
  <c r="DY147" i="11"/>
  <c r="DV206" i="11"/>
  <c r="DY27" i="11"/>
  <c r="DY59" i="11"/>
  <c r="AC143" i="11"/>
  <c r="AC144" i="11" s="1"/>
  <c r="AA239" i="11"/>
  <c r="AA305" i="11"/>
  <c r="DO147" i="11"/>
  <c r="DO109" i="11"/>
  <c r="DO113" i="11" s="1"/>
  <c r="DO27" i="11"/>
  <c r="DL206" i="11"/>
  <c r="DL236" i="11" s="1"/>
  <c r="DO59" i="11"/>
  <c r="AC311" i="11"/>
  <c r="DR147" i="11"/>
  <c r="DR109" i="11"/>
  <c r="DR113" i="11" s="1"/>
  <c r="DR27" i="11"/>
  <c r="DR59" i="11"/>
  <c r="DO206" i="11"/>
  <c r="DO236" i="11" s="1"/>
  <c r="AB192" i="11" l="1"/>
  <c r="AA320" i="11"/>
  <c r="AD233" i="11"/>
  <c r="AK326" i="11"/>
  <c r="AK329" i="11"/>
  <c r="AL325" i="11"/>
  <c r="AB188" i="11"/>
  <c r="AB191" i="11" s="1"/>
  <c r="AB194" i="11" s="1"/>
  <c r="AB196" i="11" s="1"/>
  <c r="AC179" i="11"/>
  <c r="AC303" i="11" s="1"/>
  <c r="AC205" i="11"/>
  <c r="AC250" i="11"/>
  <c r="DO165" i="11"/>
  <c r="DO33" i="11"/>
  <c r="DO297" i="11" s="1"/>
  <c r="DN165" i="11"/>
  <c r="DN33" i="11"/>
  <c r="DN297" i="11" s="1"/>
  <c r="AD156" i="11"/>
  <c r="AD157" i="11" s="1"/>
  <c r="AD274" i="11" s="1"/>
  <c r="Z207" i="11"/>
  <c r="Z222" i="11"/>
  <c r="DN236" i="11"/>
  <c r="DV33" i="11"/>
  <c r="DV297" i="11" s="1"/>
  <c r="DV165" i="11"/>
  <c r="Q14" i="2"/>
  <c r="Q20" i="2" s="1"/>
  <c r="Q206" i="2" s="1"/>
  <c r="Q14" i="28"/>
  <c r="Q20" i="28" s="1"/>
  <c r="Q206" i="28" s="1"/>
  <c r="AD36" i="11"/>
  <c r="AD134" i="11"/>
  <c r="AE56" i="11"/>
  <c r="AE55" i="11"/>
  <c r="AE51" i="11"/>
  <c r="DU165" i="11"/>
  <c r="DU33" i="11"/>
  <c r="DU297" i="11" s="1"/>
  <c r="AA222" i="11"/>
  <c r="AA207" i="11"/>
  <c r="DN113" i="11"/>
  <c r="Q36" i="2"/>
  <c r="AD172" i="11"/>
  <c r="AD177" i="11"/>
  <c r="AD173" i="11"/>
  <c r="AD166" i="11"/>
  <c r="AD228" i="11"/>
  <c r="AD174" i="11"/>
  <c r="AD175" i="11" s="1"/>
  <c r="AD168" i="11"/>
  <c r="AD167" i="11"/>
  <c r="AK34" i="11"/>
  <c r="AK298" i="11" s="1"/>
  <c r="AL60" i="11"/>
  <c r="DK236" i="11"/>
  <c r="P163" i="2" s="1"/>
  <c r="P163" i="28" s="1"/>
  <c r="P131" i="2"/>
  <c r="P131" i="28" s="1"/>
  <c r="AD31" i="11"/>
  <c r="AD327" i="11" s="1"/>
  <c r="AD328" i="11" s="1"/>
  <c r="DQ165" i="11"/>
  <c r="DQ33" i="11"/>
  <c r="DQ297" i="11" s="1"/>
  <c r="DY165" i="11"/>
  <c r="DY33" i="11"/>
  <c r="DY297" i="11" s="1"/>
  <c r="Q65" i="2"/>
  <c r="DT165" i="11"/>
  <c r="DT33" i="11"/>
  <c r="DT297" i="11" s="1"/>
  <c r="DS33" i="11"/>
  <c r="DS297" i="11" s="1"/>
  <c r="DS165" i="11"/>
  <c r="DW33" i="11"/>
  <c r="DW297" i="11" s="1"/>
  <c r="DW165" i="11"/>
  <c r="DP33" i="11"/>
  <c r="DP297" i="11" s="1"/>
  <c r="DP165" i="11"/>
  <c r="AD275" i="11"/>
  <c r="DR165" i="11"/>
  <c r="DR33" i="11"/>
  <c r="DR297" i="11" s="1"/>
  <c r="DW206" i="11"/>
  <c r="DV236" i="11"/>
  <c r="DX165" i="11"/>
  <c r="DX33" i="11"/>
  <c r="DX297" i="11" s="1"/>
  <c r="AB197" i="11" l="1"/>
  <c r="AC182" i="11"/>
  <c r="AC189" i="11" s="1"/>
  <c r="AC181" i="11"/>
  <c r="AC301" i="11" s="1"/>
  <c r="AD128" i="11"/>
  <c r="AD127" i="11"/>
  <c r="AL326" i="11"/>
  <c r="AM325" i="11"/>
  <c r="AL329" i="11"/>
  <c r="AC235" i="11"/>
  <c r="AC304" i="11"/>
  <c r="AD169" i="11"/>
  <c r="AD292" i="11"/>
  <c r="AB302" i="11"/>
  <c r="AB204" i="11"/>
  <c r="AC268" i="11"/>
  <c r="Q36" i="28"/>
  <c r="Q40" i="28" s="1"/>
  <c r="Q40" i="2"/>
  <c r="AE29" i="11"/>
  <c r="AE152" i="11"/>
  <c r="AE160" i="11"/>
  <c r="AE164" i="11" s="1"/>
  <c r="DX206" i="11"/>
  <c r="DW236" i="11"/>
  <c r="Q85" i="2"/>
  <c r="Q85" i="28" s="1"/>
  <c r="AD143" i="11"/>
  <c r="AD144" i="11" s="1"/>
  <c r="AD311" i="11"/>
  <c r="Q65" i="28"/>
  <c r="AD178" i="11"/>
  <c r="AB239" i="11"/>
  <c r="AB305" i="11"/>
  <c r="AM60" i="11"/>
  <c r="AL34" i="11"/>
  <c r="AL298" i="11" s="1"/>
  <c r="AD310" i="11"/>
  <c r="AD308" i="11"/>
  <c r="AD309" i="11" s="1"/>
  <c r="AD312" i="11" s="1"/>
  <c r="AD313" i="11" s="1"/>
  <c r="AE102" i="11"/>
  <c r="AE106" i="11" s="1"/>
  <c r="AE125" i="11" s="1"/>
  <c r="AE25" i="11"/>
  <c r="AE57" i="11"/>
  <c r="AE30" i="11"/>
  <c r="AE117" i="11"/>
  <c r="AE121" i="11" s="1"/>
  <c r="AE123" i="11" s="1"/>
  <c r="AE139" i="11"/>
  <c r="AC192" i="11" l="1"/>
  <c r="AB320" i="11"/>
  <c r="AE233" i="11"/>
  <c r="AM329" i="11"/>
  <c r="AN325" i="11"/>
  <c r="AM326" i="11"/>
  <c r="AC188" i="11"/>
  <c r="AC191" i="11" s="1"/>
  <c r="AC194" i="11" s="1"/>
  <c r="AC197" i="11" s="1"/>
  <c r="AE31" i="11"/>
  <c r="AE327" i="11" s="1"/>
  <c r="AE328" i="11" s="1"/>
  <c r="AD179" i="11"/>
  <c r="AD235" i="11" s="1"/>
  <c r="AD205" i="11"/>
  <c r="AD250" i="11"/>
  <c r="AE36" i="11"/>
  <c r="AE134" i="11"/>
  <c r="AF51" i="11"/>
  <c r="AF55" i="11"/>
  <c r="AF56" i="11"/>
  <c r="AB207" i="11"/>
  <c r="AB222" i="11"/>
  <c r="AE156" i="11"/>
  <c r="AE157" i="11" s="1"/>
  <c r="AM34" i="11"/>
  <c r="AM298" i="11" s="1"/>
  <c r="AN60" i="11"/>
  <c r="AE177" i="11"/>
  <c r="AE166" i="11"/>
  <c r="AE228" i="11"/>
  <c r="AE174" i="11"/>
  <c r="AE175" i="11" s="1"/>
  <c r="AE173" i="11"/>
  <c r="AE168" i="11"/>
  <c r="AE167" i="11"/>
  <c r="AE172" i="11"/>
  <c r="AE275" i="11"/>
  <c r="DY206" i="11"/>
  <c r="DX236" i="11"/>
  <c r="AD182" i="11" l="1"/>
  <c r="AD189" i="11" s="1"/>
  <c r="AD181" i="11"/>
  <c r="AD301" i="11" s="1"/>
  <c r="AE127" i="11"/>
  <c r="AE128" i="11"/>
  <c r="AN329" i="11"/>
  <c r="AN326" i="11"/>
  <c r="AO325" i="11"/>
  <c r="AD304" i="11"/>
  <c r="AD303" i="11"/>
  <c r="AE169" i="11"/>
  <c r="AE274" i="11"/>
  <c r="AN34" i="11"/>
  <c r="AN298" i="11" s="1"/>
  <c r="AO60" i="11"/>
  <c r="AD268" i="11"/>
  <c r="AE308" i="11"/>
  <c r="AE309" i="11" s="1"/>
  <c r="AE312" i="11" s="1"/>
  <c r="AE313" i="11" s="1"/>
  <c r="AE310" i="11"/>
  <c r="AF117" i="11"/>
  <c r="AF121" i="11" s="1"/>
  <c r="AF123" i="11" s="1"/>
  <c r="AF30" i="11"/>
  <c r="AF139" i="11"/>
  <c r="AC239" i="11"/>
  <c r="AC305" i="11"/>
  <c r="AF29" i="11"/>
  <c r="AF152" i="11"/>
  <c r="AF160" i="11"/>
  <c r="AF164" i="11" s="1"/>
  <c r="DY236" i="11"/>
  <c r="Q163" i="2" s="1"/>
  <c r="Q163" i="28" s="1"/>
  <c r="Q131" i="2"/>
  <c r="Q131" i="28" s="1"/>
  <c r="AE178" i="11"/>
  <c r="AC196" i="11"/>
  <c r="AF57" i="11"/>
  <c r="AF102" i="11"/>
  <c r="AF106" i="11" s="1"/>
  <c r="AF125" i="11" s="1"/>
  <c r="AF25" i="11"/>
  <c r="AE143" i="11"/>
  <c r="AE144" i="11" s="1"/>
  <c r="AE250" i="11" s="1"/>
  <c r="AE311" i="11"/>
  <c r="AD192" i="11" l="1"/>
  <c r="AC320" i="11"/>
  <c r="AF233" i="11"/>
  <c r="AO329" i="11"/>
  <c r="AP325" i="11"/>
  <c r="AO326" i="11"/>
  <c r="AF275" i="11"/>
  <c r="AD188" i="11"/>
  <c r="AD191" i="11" s="1"/>
  <c r="AD194" i="11" s="1"/>
  <c r="AD196" i="11" s="1"/>
  <c r="AF31" i="11"/>
  <c r="AF327" i="11" s="1"/>
  <c r="AF328" i="11" s="1"/>
  <c r="AE179" i="11"/>
  <c r="AE235" i="11" s="1"/>
  <c r="AE268" i="11"/>
  <c r="AO34" i="11"/>
  <c r="AO298" i="11" s="1"/>
  <c r="AP60" i="11"/>
  <c r="AF36" i="11"/>
  <c r="AF134" i="11"/>
  <c r="AG51" i="11"/>
  <c r="AG55" i="11"/>
  <c r="AG56" i="11"/>
  <c r="AF172" i="11"/>
  <c r="AF177" i="11"/>
  <c r="AF166" i="11"/>
  <c r="AF228" i="11"/>
  <c r="AF173" i="11"/>
  <c r="AF168" i="11"/>
  <c r="AF167" i="11"/>
  <c r="AF174" i="11"/>
  <c r="AF175" i="11" s="1"/>
  <c r="AE205" i="11"/>
  <c r="AC204" i="11"/>
  <c r="AC302" i="11"/>
  <c r="AF156" i="11"/>
  <c r="AF157" i="11" s="1"/>
  <c r="AF274" i="11" s="1"/>
  <c r="AE292" i="11"/>
  <c r="AD197" i="11" l="1"/>
  <c r="AF308" i="11"/>
  <c r="AF309" i="11" s="1"/>
  <c r="AF312" i="11" s="1"/>
  <c r="AF313" i="11" s="1"/>
  <c r="AE182" i="11"/>
  <c r="AE189" i="11" s="1"/>
  <c r="AE181" i="11"/>
  <c r="AE188" i="11" s="1"/>
  <c r="AF128" i="11"/>
  <c r="AF127" i="11"/>
  <c r="AQ325" i="11"/>
  <c r="AP326" i="11"/>
  <c r="AP329" i="11"/>
  <c r="AF310" i="11"/>
  <c r="AE304" i="11"/>
  <c r="AE303" i="11"/>
  <c r="AF169" i="11"/>
  <c r="AF292" i="11"/>
  <c r="AD239" i="11"/>
  <c r="AD305" i="11"/>
  <c r="AF143" i="11"/>
  <c r="AF144" i="11" s="1"/>
  <c r="AD302" i="11"/>
  <c r="AD204" i="11"/>
  <c r="AF311" i="11"/>
  <c r="AF178" i="11"/>
  <c r="AC207" i="11"/>
  <c r="AC222" i="11"/>
  <c r="AP34" i="11"/>
  <c r="AP298" i="11" s="1"/>
  <c r="AQ60" i="11"/>
  <c r="AG117" i="11"/>
  <c r="AG121" i="11" s="1"/>
  <c r="AG30" i="11"/>
  <c r="AG139" i="11"/>
  <c r="AG102" i="11"/>
  <c r="AG106" i="11" s="1"/>
  <c r="AG125" i="11" s="1"/>
  <c r="AG25" i="11"/>
  <c r="AG57" i="11"/>
  <c r="AG29" i="11"/>
  <c r="AG152" i="11"/>
  <c r="AG160" i="11"/>
  <c r="AG164" i="11" s="1"/>
  <c r="AE192" i="11" l="1"/>
  <c r="AD320" i="11"/>
  <c r="AR325" i="11"/>
  <c r="AQ326" i="11"/>
  <c r="AQ329" i="11"/>
  <c r="AE301" i="11"/>
  <c r="AF179" i="11"/>
  <c r="AF235" i="11" s="1"/>
  <c r="AG31" i="11"/>
  <c r="AG327" i="11" s="1"/>
  <c r="AG328" i="11" s="1"/>
  <c r="AF205" i="11"/>
  <c r="AF250" i="11"/>
  <c r="AE191" i="11"/>
  <c r="AE194" i="11" s="1"/>
  <c r="AE197" i="11" s="1"/>
  <c r="AG156" i="11"/>
  <c r="AG157" i="11" s="1"/>
  <c r="AG274" i="11" s="1"/>
  <c r="AG177" i="11"/>
  <c r="AG228" i="11"/>
  <c r="AG172" i="11"/>
  <c r="AG173" i="11"/>
  <c r="AG168" i="11"/>
  <c r="AG167" i="11"/>
  <c r="AG166" i="11"/>
  <c r="AG174" i="11"/>
  <c r="AG175" i="11" s="1"/>
  <c r="AQ34" i="11"/>
  <c r="AQ298" i="11" s="1"/>
  <c r="AR60" i="11"/>
  <c r="AG123" i="11"/>
  <c r="AG275" i="11"/>
  <c r="AD207" i="11"/>
  <c r="AD222" i="11"/>
  <c r="AG36" i="11"/>
  <c r="AG134" i="11"/>
  <c r="AH51" i="11"/>
  <c r="AH55" i="11"/>
  <c r="F11" i="14"/>
  <c r="AH56" i="11"/>
  <c r="I184" i="2" l="1"/>
  <c r="I184" i="28" s="1"/>
  <c r="AF182" i="11"/>
  <c r="AF189" i="11" s="1"/>
  <c r="AF181" i="11"/>
  <c r="AF188" i="11" s="1"/>
  <c r="AS325" i="11"/>
  <c r="AR326" i="11"/>
  <c r="AR329" i="11"/>
  <c r="I18" i="2"/>
  <c r="I18" i="28" s="1"/>
  <c r="J12" i="28" s="1"/>
  <c r="AF303" i="11"/>
  <c r="AF304" i="11"/>
  <c r="AG169" i="11"/>
  <c r="AG311" i="11"/>
  <c r="F19" i="14"/>
  <c r="I40" i="14" s="1"/>
  <c r="F18" i="14"/>
  <c r="H40" i="14" s="1"/>
  <c r="F15" i="14"/>
  <c r="E40" i="14" s="1"/>
  <c r="F16" i="14"/>
  <c r="F40" i="14" s="1"/>
  <c r="F17" i="14"/>
  <c r="G40" i="14" s="1"/>
  <c r="AG127" i="11"/>
  <c r="AF268" i="11"/>
  <c r="AH29" i="11"/>
  <c r="AH152" i="11"/>
  <c r="AH160" i="11"/>
  <c r="AR34" i="11"/>
  <c r="AR298" i="11" s="1"/>
  <c r="AS60" i="11"/>
  <c r="AE239" i="11"/>
  <c r="AE305" i="11"/>
  <c r="AG308" i="11"/>
  <c r="I219" i="2" s="1"/>
  <c r="I219" i="28" s="1"/>
  <c r="AG310" i="11"/>
  <c r="AE196" i="11"/>
  <c r="AG178" i="11"/>
  <c r="AG292" i="11"/>
  <c r="AH30" i="11"/>
  <c r="AH139" i="11"/>
  <c r="AH117" i="11"/>
  <c r="AH121" i="11" s="1"/>
  <c r="AH123" i="11" s="1"/>
  <c r="AH25" i="11"/>
  <c r="AH102" i="11"/>
  <c r="AH57" i="11"/>
  <c r="AG143" i="11"/>
  <c r="AG144" i="11" s="1"/>
  <c r="I234" i="28"/>
  <c r="I234" i="2"/>
  <c r="AF192" i="11" l="1"/>
  <c r="K52" i="14"/>
  <c r="AG128" i="11"/>
  <c r="AS326" i="11"/>
  <c r="AS329" i="11"/>
  <c r="AT325" i="11"/>
  <c r="J12" i="2"/>
  <c r="AF301" i="11"/>
  <c r="AG179" i="11"/>
  <c r="AG235" i="11" s="1"/>
  <c r="AH31" i="11"/>
  <c r="AH327" i="11" s="1"/>
  <c r="AH328" i="11" s="1"/>
  <c r="AG205" i="11"/>
  <c r="AG250" i="11"/>
  <c r="AT60" i="11"/>
  <c r="AS34" i="11"/>
  <c r="AG233" i="11"/>
  <c r="AF191" i="11"/>
  <c r="AF194" i="11" s="1"/>
  <c r="AF196" i="11" s="1"/>
  <c r="I235" i="2"/>
  <c r="I235" i="28"/>
  <c r="AH164" i="11"/>
  <c r="AH106" i="11"/>
  <c r="AH125" i="11" s="1"/>
  <c r="AE302" i="11"/>
  <c r="AE204" i="11"/>
  <c r="AH156" i="11"/>
  <c r="I221" i="28"/>
  <c r="I221" i="2"/>
  <c r="K59" i="14"/>
  <c r="K65" i="14"/>
  <c r="K55" i="14"/>
  <c r="K60" i="14"/>
  <c r="K57" i="14"/>
  <c r="K67" i="14"/>
  <c r="K54" i="14"/>
  <c r="K56" i="14"/>
  <c r="AG309" i="11"/>
  <c r="AH134" i="11"/>
  <c r="AH36" i="11"/>
  <c r="AI55" i="11"/>
  <c r="AI56" i="11"/>
  <c r="AI51" i="11"/>
  <c r="AF197" i="11" l="1"/>
  <c r="AG182" i="11"/>
  <c r="AG189" i="11" s="1"/>
  <c r="AG181" i="11"/>
  <c r="AG301" i="11" s="1"/>
  <c r="AH275" i="11"/>
  <c r="AT326" i="11"/>
  <c r="AT329" i="11"/>
  <c r="AU325" i="11"/>
  <c r="AG304" i="11"/>
  <c r="I214" i="28" s="1"/>
  <c r="AG303" i="11"/>
  <c r="I213" i="28" s="1"/>
  <c r="AF302" i="11"/>
  <c r="AF204" i="11"/>
  <c r="J232" i="2"/>
  <c r="J232" i="28"/>
  <c r="I220" i="2"/>
  <c r="I220" i="28" s="1"/>
  <c r="AG312" i="11"/>
  <c r="AH143" i="11"/>
  <c r="AH144" i="11" s="1"/>
  <c r="AH205" i="11" s="1"/>
  <c r="AE207" i="11"/>
  <c r="AE222" i="11"/>
  <c r="J21" i="28"/>
  <c r="J207" i="28" s="1"/>
  <c r="AS298" i="11"/>
  <c r="J21" i="2"/>
  <c r="J207" i="2" s="1"/>
  <c r="AI30" i="11"/>
  <c r="AI117" i="11"/>
  <c r="AI121" i="11" s="1"/>
  <c r="AI123" i="11" s="1"/>
  <c r="AI139" i="11"/>
  <c r="AT34" i="11"/>
  <c r="AT298" i="11" s="1"/>
  <c r="AU60" i="11"/>
  <c r="AG268" i="11"/>
  <c r="I183" i="2"/>
  <c r="I183" i="28" s="1"/>
  <c r="AI25" i="11"/>
  <c r="AI57" i="11"/>
  <c r="AI102" i="11"/>
  <c r="AI29" i="11"/>
  <c r="AI152" i="11"/>
  <c r="AI160" i="11"/>
  <c r="AH157" i="11"/>
  <c r="AH274" i="11" s="1"/>
  <c r="AH228" i="11"/>
  <c r="AH168" i="11"/>
  <c r="AH167" i="11"/>
  <c r="AH177" i="11"/>
  <c r="AH172" i="11"/>
  <c r="AH173" i="11"/>
  <c r="AH166" i="11"/>
  <c r="AH174" i="11"/>
  <c r="AH311" i="11"/>
  <c r="AF239" i="11"/>
  <c r="AF305" i="11"/>
  <c r="AG192" i="11" l="1"/>
  <c r="AH310" i="11"/>
  <c r="AH308" i="11"/>
  <c r="AH309" i="11" s="1"/>
  <c r="AH312" i="11" s="1"/>
  <c r="AH233" i="11"/>
  <c r="AH128" i="11"/>
  <c r="AH127" i="11"/>
  <c r="I214" i="2"/>
  <c r="AU329" i="11"/>
  <c r="AV325" i="11"/>
  <c r="AU326" i="11"/>
  <c r="I213" i="2"/>
  <c r="AG188" i="11"/>
  <c r="AG191" i="11" s="1"/>
  <c r="AG194" i="11" s="1"/>
  <c r="AG197" i="11" s="1"/>
  <c r="AH169" i="11"/>
  <c r="AI106" i="11"/>
  <c r="AI125" i="11" s="1"/>
  <c r="AI31" i="11"/>
  <c r="AI327" i="11" s="1"/>
  <c r="AI328" i="11" s="1"/>
  <c r="J236" i="28"/>
  <c r="J236" i="2"/>
  <c r="AI36" i="11"/>
  <c r="AJ51" i="11"/>
  <c r="AI134" i="11"/>
  <c r="AJ56" i="11"/>
  <c r="AJ55" i="11"/>
  <c r="J233" i="2"/>
  <c r="J233" i="28"/>
  <c r="AH175" i="11"/>
  <c r="AH178" i="11" s="1"/>
  <c r="AI164" i="11"/>
  <c r="AH292" i="11"/>
  <c r="AI156" i="11"/>
  <c r="AI157" i="11" s="1"/>
  <c r="AI274" i="11" s="1"/>
  <c r="AH250" i="11"/>
  <c r="I222" i="2"/>
  <c r="I222" i="28" s="1"/>
  <c r="AG313" i="11"/>
  <c r="I223" i="2" s="1"/>
  <c r="I223" i="28" s="1"/>
  <c r="AU34" i="11"/>
  <c r="AU298" i="11" s="1"/>
  <c r="AV60" i="11"/>
  <c r="AF207" i="11"/>
  <c r="AF222" i="11"/>
  <c r="AI275" i="11" l="1"/>
  <c r="AV329" i="11"/>
  <c r="AV326" i="11"/>
  <c r="AW325" i="11"/>
  <c r="AH179" i="11"/>
  <c r="AH235" i="11" s="1"/>
  <c r="AI292" i="11"/>
  <c r="AG239" i="11"/>
  <c r="AG305" i="11"/>
  <c r="AW60" i="11"/>
  <c r="AV34" i="11"/>
  <c r="AV298" i="11" s="1"/>
  <c r="AJ152" i="11"/>
  <c r="AJ29" i="11"/>
  <c r="AJ160" i="11"/>
  <c r="AG196" i="11"/>
  <c r="AI174" i="11"/>
  <c r="AI167" i="11"/>
  <c r="AI177" i="11"/>
  <c r="AI228" i="11"/>
  <c r="AI166" i="11"/>
  <c r="AI173" i="11"/>
  <c r="AI172" i="11"/>
  <c r="AI168" i="11"/>
  <c r="AJ139" i="11"/>
  <c r="AJ30" i="11"/>
  <c r="AJ117" i="11"/>
  <c r="AJ121" i="11" s="1"/>
  <c r="AJ123" i="11" s="1"/>
  <c r="AH268" i="11"/>
  <c r="AI143" i="11"/>
  <c r="AI144" i="11" s="1"/>
  <c r="AI205" i="11" s="1"/>
  <c r="AJ25" i="11"/>
  <c r="AJ57" i="11"/>
  <c r="AJ102" i="11"/>
  <c r="AI311" i="11"/>
  <c r="AI308" i="11" l="1"/>
  <c r="AI309" i="11" s="1"/>
  <c r="AI312" i="11" s="1"/>
  <c r="AH182" i="11"/>
  <c r="AH181" i="11"/>
  <c r="AH301" i="11" s="1"/>
  <c r="AI310" i="11"/>
  <c r="AI233" i="11"/>
  <c r="AI128" i="11"/>
  <c r="AI127" i="11"/>
  <c r="AW329" i="11"/>
  <c r="AX325" i="11"/>
  <c r="AW326" i="11"/>
  <c r="AH303" i="11"/>
  <c r="AJ31" i="11"/>
  <c r="AJ327" i="11" s="1"/>
  <c r="AJ328" i="11" s="1"/>
  <c r="AJ164" i="11"/>
  <c r="AI169" i="11"/>
  <c r="AJ156" i="11"/>
  <c r="I215" i="28"/>
  <c r="I215" i="2"/>
  <c r="AW34" i="11"/>
  <c r="AW298" i="11" s="1"/>
  <c r="AX60" i="11"/>
  <c r="AI175" i="11"/>
  <c r="AI178" i="11" s="1"/>
  <c r="AJ106" i="11"/>
  <c r="AJ125" i="11" s="1"/>
  <c r="AJ36" i="11"/>
  <c r="AK51" i="11"/>
  <c r="AK56" i="11"/>
  <c r="AK55" i="11"/>
  <c r="AJ134" i="11"/>
  <c r="AI250" i="11"/>
  <c r="AG204" i="11"/>
  <c r="AG302" i="11"/>
  <c r="AJ275" i="11" l="1"/>
  <c r="AY325" i="11"/>
  <c r="AX326" i="11"/>
  <c r="AX329" i="11"/>
  <c r="AJ157" i="11"/>
  <c r="AJ274" i="11" s="1"/>
  <c r="AJ311" i="11"/>
  <c r="AK102" i="11"/>
  <c r="AK25" i="11"/>
  <c r="AK57" i="11"/>
  <c r="AG207" i="11"/>
  <c r="AG222" i="11"/>
  <c r="AK152" i="11"/>
  <c r="AK29" i="11"/>
  <c r="AK160" i="11"/>
  <c r="AX34" i="11"/>
  <c r="AX298" i="11" s="1"/>
  <c r="AY60" i="11"/>
  <c r="AI179" i="11"/>
  <c r="AI181" i="11" s="1"/>
  <c r="AI268" i="11"/>
  <c r="AJ143" i="11"/>
  <c r="AJ144" i="11" s="1"/>
  <c r="AJ205" i="11" s="1"/>
  <c r="AK30" i="11"/>
  <c r="AK139" i="11"/>
  <c r="AK117" i="11"/>
  <c r="AK121" i="11" s="1"/>
  <c r="AK123" i="11" s="1"/>
  <c r="AJ228" i="11"/>
  <c r="AJ177" i="11"/>
  <c r="AJ174" i="11"/>
  <c r="AJ166" i="11"/>
  <c r="AJ173" i="11"/>
  <c r="AJ168" i="11"/>
  <c r="AJ172" i="11"/>
  <c r="AJ167" i="11"/>
  <c r="AJ308" i="11" l="1"/>
  <c r="AJ309" i="11" s="1"/>
  <c r="AJ312" i="11" s="1"/>
  <c r="AJ310" i="11"/>
  <c r="AI182" i="11"/>
  <c r="AJ233" i="11"/>
  <c r="AJ128" i="11"/>
  <c r="AJ127" i="11"/>
  <c r="AZ325" i="11"/>
  <c r="AY326" i="11"/>
  <c r="AY329" i="11"/>
  <c r="AK156" i="11"/>
  <c r="AK157" i="11" s="1"/>
  <c r="AK274" i="11" s="1"/>
  <c r="AK106" i="11"/>
  <c r="AK125" i="11" s="1"/>
  <c r="AI235" i="11"/>
  <c r="AI303" i="11"/>
  <c r="AJ292" i="11"/>
  <c r="AJ169" i="11"/>
  <c r="AY34" i="11"/>
  <c r="AY298" i="11" s="1"/>
  <c r="AZ60" i="11"/>
  <c r="AJ175" i="11"/>
  <c r="AK164" i="11"/>
  <c r="AK36" i="11"/>
  <c r="AL56" i="11"/>
  <c r="AL55" i="11"/>
  <c r="AL51" i="11"/>
  <c r="AK134" i="11"/>
  <c r="AJ250" i="11"/>
  <c r="AK31" i="11"/>
  <c r="AK327" i="11" s="1"/>
  <c r="AK328" i="11" s="1"/>
  <c r="AK275" i="11" l="1"/>
  <c r="BA325" i="11"/>
  <c r="AZ326" i="11"/>
  <c r="AZ329" i="11"/>
  <c r="AK292" i="11"/>
  <c r="AI301" i="11"/>
  <c r="AK143" i="11"/>
  <c r="AK144" i="11" s="1"/>
  <c r="AL25" i="11"/>
  <c r="AL102" i="11"/>
  <c r="AL57" i="11"/>
  <c r="AL152" i="11"/>
  <c r="AL29" i="11"/>
  <c r="AL160" i="11"/>
  <c r="AK167" i="11"/>
  <c r="AK166" i="11"/>
  <c r="AK174" i="11"/>
  <c r="AK173" i="11"/>
  <c r="AK177" i="11"/>
  <c r="AK172" i="11"/>
  <c r="AK168" i="11"/>
  <c r="AK228" i="11"/>
  <c r="AL30" i="11"/>
  <c r="AL117" i="11"/>
  <c r="AL121" i="11" s="1"/>
  <c r="AL123" i="11" s="1"/>
  <c r="AL139" i="11"/>
  <c r="AJ268" i="11"/>
  <c r="AK311" i="11"/>
  <c r="AZ34" i="11"/>
  <c r="AZ298" i="11" s="1"/>
  <c r="BA60" i="11"/>
  <c r="AJ178" i="11"/>
  <c r="AJ179" i="11" s="1"/>
  <c r="AJ181" i="11" s="1"/>
  <c r="AK310" i="11" l="1"/>
  <c r="AK308" i="11"/>
  <c r="AK309" i="11" s="1"/>
  <c r="AK312" i="11" s="1"/>
  <c r="AJ182" i="11"/>
  <c r="AK233" i="11"/>
  <c r="AK128" i="11"/>
  <c r="AK127" i="11"/>
  <c r="BA326" i="11"/>
  <c r="BA329" i="11"/>
  <c r="BB325" i="11"/>
  <c r="AK169" i="11"/>
  <c r="AK205" i="11"/>
  <c r="AK250" i="11"/>
  <c r="AL106" i="11"/>
  <c r="AL125" i="11" s="1"/>
  <c r="AL164" i="11"/>
  <c r="AL31" i="11"/>
  <c r="AL327" i="11" s="1"/>
  <c r="AL328" i="11" s="1"/>
  <c r="BA34" i="11"/>
  <c r="BA298" i="11" s="1"/>
  <c r="BB60" i="11"/>
  <c r="AL156" i="11"/>
  <c r="AL157" i="11" s="1"/>
  <c r="AJ235" i="11"/>
  <c r="AJ303" i="11"/>
  <c r="AK175" i="11"/>
  <c r="AK178" i="11" s="1"/>
  <c r="AL36" i="11"/>
  <c r="AM56" i="11"/>
  <c r="AL134" i="11"/>
  <c r="AM55" i="11"/>
  <c r="AM51" i="11"/>
  <c r="AL128" i="11" l="1"/>
  <c r="BB326" i="11"/>
  <c r="BC325" i="11"/>
  <c r="BB329" i="11"/>
  <c r="AK179" i="11"/>
  <c r="AK235" i="11" s="1"/>
  <c r="AL274" i="11"/>
  <c r="AM139" i="11"/>
  <c r="AM30" i="11"/>
  <c r="AM117" i="11"/>
  <c r="AM121" i="11" s="1"/>
  <c r="AM123" i="11" s="1"/>
  <c r="AL311" i="11"/>
  <c r="AK268" i="11"/>
  <c r="BB34" i="11"/>
  <c r="BB298" i="11" s="1"/>
  <c r="BC60" i="11"/>
  <c r="AL143" i="11"/>
  <c r="AL144" i="11" s="1"/>
  <c r="AL205" i="11" s="1"/>
  <c r="AM102" i="11"/>
  <c r="AM106" i="11" s="1"/>
  <c r="AM125" i="11" s="1"/>
  <c r="AM57" i="11"/>
  <c r="AM25" i="11"/>
  <c r="AM152" i="11"/>
  <c r="AM29" i="11"/>
  <c r="AM160" i="11"/>
  <c r="AM164" i="11" s="1"/>
  <c r="AJ301" i="11"/>
  <c r="AL168" i="11"/>
  <c r="AL228" i="11"/>
  <c r="AL167" i="11"/>
  <c r="AL166" i="11"/>
  <c r="AL177" i="11"/>
  <c r="AL172" i="11"/>
  <c r="AL174" i="11"/>
  <c r="AL173" i="11"/>
  <c r="AL275" i="11"/>
  <c r="AL233" i="11" l="1"/>
  <c r="AM233" i="11"/>
  <c r="AK182" i="11"/>
  <c r="AK181" i="11"/>
  <c r="AK301" i="11" s="1"/>
  <c r="AL127" i="11"/>
  <c r="BC329" i="11"/>
  <c r="BD325" i="11"/>
  <c r="BC326" i="11"/>
  <c r="AK303" i="11"/>
  <c r="AL169" i="11"/>
  <c r="AM166" i="11"/>
  <c r="AM174" i="11"/>
  <c r="AM175" i="11" s="1"/>
  <c r="AM172" i="11"/>
  <c r="AM177" i="11"/>
  <c r="AM173" i="11"/>
  <c r="AM168" i="11"/>
  <c r="AM228" i="11"/>
  <c r="AM167" i="11"/>
  <c r="AL250" i="11"/>
  <c r="AM275" i="11"/>
  <c r="AL310" i="11"/>
  <c r="AL308" i="11"/>
  <c r="AL309" i="11" s="1"/>
  <c r="AL312" i="11" s="1"/>
  <c r="BC34" i="11"/>
  <c r="BC298" i="11" s="1"/>
  <c r="BD60" i="11"/>
  <c r="AL292" i="11"/>
  <c r="AM156" i="11"/>
  <c r="AM157" i="11" s="1"/>
  <c r="AL175" i="11"/>
  <c r="AL178" i="11" s="1"/>
  <c r="AM31" i="11"/>
  <c r="AM327" i="11" s="1"/>
  <c r="AM328" i="11" s="1"/>
  <c r="AM36" i="11"/>
  <c r="AM134" i="11"/>
  <c r="AN51" i="11"/>
  <c r="AN55" i="11"/>
  <c r="AN56" i="11"/>
  <c r="AM128" i="11" l="1"/>
  <c r="AM127" i="11"/>
  <c r="BD329" i="11"/>
  <c r="BE325" i="11"/>
  <c r="BD326" i="11"/>
  <c r="AL179" i="11"/>
  <c r="AM169" i="11"/>
  <c r="AM274" i="11"/>
  <c r="AL268" i="11"/>
  <c r="AM178" i="11"/>
  <c r="AN102" i="11"/>
  <c r="AN106" i="11" s="1"/>
  <c r="AN125" i="11" s="1"/>
  <c r="AN57" i="11"/>
  <c r="AN25" i="11"/>
  <c r="AM143" i="11"/>
  <c r="AM144" i="11" s="1"/>
  <c r="BD34" i="11"/>
  <c r="BD298" i="11" s="1"/>
  <c r="BE60" i="11"/>
  <c r="AM310" i="11"/>
  <c r="AM308" i="11"/>
  <c r="AM309" i="11" s="1"/>
  <c r="AM312" i="11" s="1"/>
  <c r="AM311" i="11"/>
  <c r="AN152" i="11"/>
  <c r="AN29" i="11"/>
  <c r="AN160" i="11"/>
  <c r="AN164" i="11" s="1"/>
  <c r="AN139" i="11"/>
  <c r="AN30" i="11"/>
  <c r="AN117" i="11"/>
  <c r="AN121" i="11" s="1"/>
  <c r="AN123" i="11" s="1"/>
  <c r="AN233" i="11" l="1"/>
  <c r="AL235" i="11"/>
  <c r="AL182" i="11"/>
  <c r="AL181" i="11"/>
  <c r="AL301" i="11" s="1"/>
  <c r="BE329" i="11"/>
  <c r="BF325" i="11"/>
  <c r="BE326" i="11"/>
  <c r="AL303" i="11"/>
  <c r="AM179" i="11"/>
  <c r="AM235" i="11" s="1"/>
  <c r="AM250" i="11"/>
  <c r="AM268" i="11" s="1"/>
  <c r="AN275" i="11"/>
  <c r="AN36" i="11"/>
  <c r="AO51" i="11"/>
  <c r="AO55" i="11"/>
  <c r="AN134" i="11"/>
  <c r="AO56" i="11"/>
  <c r="AN156" i="11"/>
  <c r="AN157" i="11" s="1"/>
  <c r="AN274" i="11" s="1"/>
  <c r="BE34" i="11"/>
  <c r="BF60" i="11"/>
  <c r="AN172" i="11"/>
  <c r="AN174" i="11"/>
  <c r="AN175" i="11" s="1"/>
  <c r="AN228" i="11"/>
  <c r="AN166" i="11"/>
  <c r="AN177" i="11"/>
  <c r="AN173" i="11"/>
  <c r="AN167" i="11"/>
  <c r="AN168" i="11"/>
  <c r="AM205" i="11"/>
  <c r="AM292" i="11"/>
  <c r="AN31" i="11"/>
  <c r="AN327" i="11" s="1"/>
  <c r="AN328" i="11" s="1"/>
  <c r="AM182" i="11" l="1"/>
  <c r="AM181" i="11"/>
  <c r="AN128" i="11"/>
  <c r="AN127" i="11"/>
  <c r="BG325" i="11"/>
  <c r="BF326" i="11"/>
  <c r="BF329" i="11"/>
  <c r="AM303" i="11"/>
  <c r="AN169" i="11"/>
  <c r="AN178" i="11"/>
  <c r="AN292" i="11"/>
  <c r="AO57" i="11"/>
  <c r="AO102" i="11"/>
  <c r="AO106" i="11" s="1"/>
  <c r="AO125" i="11" s="1"/>
  <c r="AO25" i="11"/>
  <c r="AN311" i="11"/>
  <c r="AN308" i="11"/>
  <c r="AN309" i="11" s="1"/>
  <c r="AN312" i="11" s="1"/>
  <c r="AN310" i="11"/>
  <c r="AO29" i="11"/>
  <c r="AO152" i="11"/>
  <c r="AO160" i="11"/>
  <c r="AO164" i="11" s="1"/>
  <c r="K232" i="28"/>
  <c r="K232" i="2"/>
  <c r="BF34" i="11"/>
  <c r="BF298" i="11" s="1"/>
  <c r="BG60" i="11"/>
  <c r="K21" i="28"/>
  <c r="K207" i="28" s="1"/>
  <c r="K21" i="2"/>
  <c r="K207" i="2" s="1"/>
  <c r="BE298" i="11"/>
  <c r="AO117" i="11"/>
  <c r="AO121" i="11" s="1"/>
  <c r="AO123" i="11" s="1"/>
  <c r="AO139" i="11"/>
  <c r="AO30" i="11"/>
  <c r="AN143" i="11"/>
  <c r="AN144" i="11" s="1"/>
  <c r="AO233" i="11" l="1"/>
  <c r="BH325" i="11"/>
  <c r="BG326" i="11"/>
  <c r="BG329" i="11"/>
  <c r="AN179" i="11"/>
  <c r="AN235" i="11" s="1"/>
  <c r="AM301" i="11"/>
  <c r="AN205" i="11"/>
  <c r="AN250" i="11"/>
  <c r="K236" i="2"/>
  <c r="K236" i="28"/>
  <c r="AO166" i="11"/>
  <c r="AO173" i="11"/>
  <c r="AO167" i="11"/>
  <c r="AO174" i="11"/>
  <c r="AO175" i="11" s="1"/>
  <c r="AO228" i="11"/>
  <c r="AO177" i="11"/>
  <c r="AO172" i="11"/>
  <c r="AO168" i="11"/>
  <c r="AO36" i="11"/>
  <c r="AP56" i="11"/>
  <c r="AP55" i="11"/>
  <c r="AO134" i="11"/>
  <c r="AP51" i="11"/>
  <c r="K233" i="28"/>
  <c r="K233" i="2"/>
  <c r="BG34" i="11"/>
  <c r="BG298" i="11" s="1"/>
  <c r="BH60" i="11"/>
  <c r="AO156" i="11"/>
  <c r="AO157" i="11" s="1"/>
  <c r="AO274" i="11" s="1"/>
  <c r="AO275" i="11"/>
  <c r="AO31" i="11"/>
  <c r="AO327" i="11" s="1"/>
  <c r="AO328" i="11" s="1"/>
  <c r="AN182" i="11" l="1"/>
  <c r="AN181" i="11"/>
  <c r="AN301" i="11" s="1"/>
  <c r="AO128" i="11"/>
  <c r="AO127" i="11"/>
  <c r="BI325" i="11"/>
  <c r="BH326" i="11"/>
  <c r="BH329" i="11"/>
  <c r="AN303" i="11"/>
  <c r="AO169" i="11"/>
  <c r="AO292" i="11"/>
  <c r="AP25" i="11"/>
  <c r="AP102" i="11"/>
  <c r="AP106" i="11" s="1"/>
  <c r="AP125" i="11" s="1"/>
  <c r="AP57" i="11"/>
  <c r="AO143" i="11"/>
  <c r="AO144" i="11" s="1"/>
  <c r="AP29" i="11"/>
  <c r="AP152" i="11"/>
  <c r="AP160" i="11"/>
  <c r="AP164" i="11" s="1"/>
  <c r="AP117" i="11"/>
  <c r="AP121" i="11" s="1"/>
  <c r="AP123" i="11" s="1"/>
  <c r="AP30" i="11"/>
  <c r="AP139" i="11"/>
  <c r="AO308" i="11"/>
  <c r="AO309" i="11" s="1"/>
  <c r="AO312" i="11" s="1"/>
  <c r="AO310" i="11"/>
  <c r="AO311" i="11"/>
  <c r="AN268" i="11"/>
  <c r="AO178" i="11"/>
  <c r="BH34" i="11"/>
  <c r="BH298" i="11" s="1"/>
  <c r="BI60" i="11"/>
  <c r="AP233" i="11" l="1"/>
  <c r="BI326" i="11"/>
  <c r="BI329" i="11"/>
  <c r="BJ325" i="11"/>
  <c r="AO179" i="11"/>
  <c r="AO235" i="11" s="1"/>
  <c r="AP275" i="11"/>
  <c r="AO205" i="11"/>
  <c r="AO250" i="11"/>
  <c r="AP172" i="11"/>
  <c r="AP168" i="11"/>
  <c r="AP167" i="11"/>
  <c r="AP177" i="11"/>
  <c r="AP173" i="11"/>
  <c r="AP174" i="11"/>
  <c r="AP175" i="11" s="1"/>
  <c r="AP228" i="11"/>
  <c r="AP166" i="11"/>
  <c r="AP31" i="11"/>
  <c r="AP327" i="11" s="1"/>
  <c r="AP328" i="11" s="1"/>
  <c r="BI34" i="11"/>
  <c r="BI298" i="11" s="1"/>
  <c r="BJ60" i="11"/>
  <c r="AP156" i="11"/>
  <c r="AP157" i="11" s="1"/>
  <c r="AP274" i="11" s="1"/>
  <c r="AP36" i="11"/>
  <c r="AQ55" i="11"/>
  <c r="AP134" i="11"/>
  <c r="AQ56" i="11"/>
  <c r="AQ51" i="11"/>
  <c r="AP310" i="11" l="1"/>
  <c r="AO182" i="11"/>
  <c r="AO181" i="11"/>
  <c r="AO301" i="11" s="1"/>
  <c r="AP128" i="11"/>
  <c r="AP127" i="11"/>
  <c r="BJ326" i="11"/>
  <c r="BK325" i="11"/>
  <c r="BJ329" i="11"/>
  <c r="AP308" i="11"/>
  <c r="AP309" i="11" s="1"/>
  <c r="AP312" i="11" s="1"/>
  <c r="AO303" i="11"/>
  <c r="AP169" i="11"/>
  <c r="AP292" i="11"/>
  <c r="AO268" i="11"/>
  <c r="BJ34" i="11"/>
  <c r="BJ298" i="11" s="1"/>
  <c r="BK60" i="11"/>
  <c r="AQ25" i="11"/>
  <c r="AQ57" i="11"/>
  <c r="AQ102" i="11"/>
  <c r="AQ106" i="11" s="1"/>
  <c r="AQ125" i="11" s="1"/>
  <c r="AP311" i="11"/>
  <c r="AQ117" i="11"/>
  <c r="AQ121" i="11" s="1"/>
  <c r="AQ139" i="11"/>
  <c r="AQ30" i="11"/>
  <c r="AP178" i="11"/>
  <c r="AP143" i="11"/>
  <c r="AP144" i="11" s="1"/>
  <c r="AQ29" i="11"/>
  <c r="AQ152" i="11"/>
  <c r="AQ160" i="11"/>
  <c r="AQ164" i="11" s="1"/>
  <c r="BK329" i="11" l="1"/>
  <c r="BL325" i="11"/>
  <c r="BK326" i="11"/>
  <c r="AP179" i="11"/>
  <c r="AP235" i="11" s="1"/>
  <c r="AP205" i="11"/>
  <c r="AP250" i="11"/>
  <c r="BK34" i="11"/>
  <c r="BK298" i="11" s="1"/>
  <c r="BL60" i="11"/>
  <c r="AQ123" i="11"/>
  <c r="AQ275" i="11"/>
  <c r="AQ167" i="11"/>
  <c r="AQ173" i="11"/>
  <c r="AQ174" i="11"/>
  <c r="AQ175" i="11" s="1"/>
  <c r="AQ228" i="11"/>
  <c r="AQ177" i="11"/>
  <c r="AQ166" i="11"/>
  <c r="AQ168" i="11"/>
  <c r="AQ172" i="11"/>
  <c r="AQ36" i="11"/>
  <c r="AR51" i="11"/>
  <c r="AR55" i="11"/>
  <c r="AR56" i="11"/>
  <c r="AQ134" i="11"/>
  <c r="AQ156" i="11"/>
  <c r="AQ157" i="11" s="1"/>
  <c r="AQ274" i="11" s="1"/>
  <c r="AQ31" i="11"/>
  <c r="AQ327" i="11" s="1"/>
  <c r="AQ328" i="11" s="1"/>
  <c r="AP182" i="11" l="1"/>
  <c r="AP181" i="11"/>
  <c r="AP301" i="11" s="1"/>
  <c r="BL329" i="11"/>
  <c r="BM325" i="11"/>
  <c r="BL326" i="11"/>
  <c r="AP303" i="11"/>
  <c r="AQ178" i="11"/>
  <c r="AQ169" i="11"/>
  <c r="AQ292" i="11"/>
  <c r="AR29" i="11"/>
  <c r="AR152" i="11"/>
  <c r="AR160" i="11"/>
  <c r="AR164" i="11" s="1"/>
  <c r="AP268" i="11"/>
  <c r="AR57" i="11"/>
  <c r="AR25" i="11"/>
  <c r="AR102" i="11"/>
  <c r="AR106" i="11" s="1"/>
  <c r="AR125" i="11" s="1"/>
  <c r="AR30" i="11"/>
  <c r="AR117" i="11"/>
  <c r="AR121" i="11" s="1"/>
  <c r="AR123" i="11" s="1"/>
  <c r="AR139" i="11"/>
  <c r="AQ308" i="11"/>
  <c r="AQ309" i="11" s="1"/>
  <c r="AQ312" i="11" s="1"/>
  <c r="AQ310" i="11"/>
  <c r="AQ127" i="11"/>
  <c r="AQ311" i="11"/>
  <c r="AQ143" i="11"/>
  <c r="AQ144" i="11" s="1"/>
  <c r="BL34" i="11"/>
  <c r="BL298" i="11" s="1"/>
  <c r="BM60" i="11"/>
  <c r="AR233" i="11" l="1"/>
  <c r="AQ128" i="11"/>
  <c r="BM329" i="11"/>
  <c r="BN325" i="11"/>
  <c r="BM326" i="11"/>
  <c r="AQ179" i="11"/>
  <c r="AQ303" i="11" s="1"/>
  <c r="AR275" i="11"/>
  <c r="AQ205" i="11"/>
  <c r="AQ250" i="11"/>
  <c r="AR156" i="11"/>
  <c r="AR157" i="11" s="1"/>
  <c r="AQ233" i="11"/>
  <c r="AR31" i="11"/>
  <c r="AR327" i="11" s="1"/>
  <c r="AR328" i="11" s="1"/>
  <c r="AR172" i="11"/>
  <c r="AR173" i="11"/>
  <c r="AR167" i="11"/>
  <c r="AR168" i="11"/>
  <c r="AR228" i="11"/>
  <c r="AR166" i="11"/>
  <c r="AR177" i="11"/>
  <c r="AR174" i="11"/>
  <c r="AR175" i="11" s="1"/>
  <c r="BM34" i="11"/>
  <c r="BM298" i="11" s="1"/>
  <c r="BN60" i="11"/>
  <c r="AR36" i="11"/>
  <c r="AR134" i="11"/>
  <c r="AS51" i="11"/>
  <c r="AS55" i="11"/>
  <c r="AS56" i="11"/>
  <c r="AR308" i="11" l="1"/>
  <c r="AR309" i="11" s="1"/>
  <c r="AR312" i="11" s="1"/>
  <c r="AQ182" i="11"/>
  <c r="AQ181" i="11"/>
  <c r="AQ301" i="11" s="1"/>
  <c r="AR127" i="11"/>
  <c r="AR128" i="11"/>
  <c r="BO325" i="11"/>
  <c r="BN326" i="11"/>
  <c r="BN329" i="11"/>
  <c r="AQ235" i="11"/>
  <c r="AR310" i="11"/>
  <c r="AR169" i="11"/>
  <c r="AR274" i="11"/>
  <c r="AR178" i="11"/>
  <c r="AR311" i="11"/>
  <c r="AQ268" i="11"/>
  <c r="BN34" i="11"/>
  <c r="BN298" i="11" s="1"/>
  <c r="BO60" i="11"/>
  <c r="AR143" i="11"/>
  <c r="AR144" i="11" s="1"/>
  <c r="AS117" i="11"/>
  <c r="AS121" i="11" s="1"/>
  <c r="AS30" i="11"/>
  <c r="AS139" i="11"/>
  <c r="AS152" i="11"/>
  <c r="AS29" i="11"/>
  <c r="AS160" i="11"/>
  <c r="AS164" i="11" s="1"/>
  <c r="AS25" i="11"/>
  <c r="AS102" i="11"/>
  <c r="AS106" i="11" s="1"/>
  <c r="AS125" i="11" s="1"/>
  <c r="AS57" i="11"/>
  <c r="BP325" i="11" l="1"/>
  <c r="BO326" i="11"/>
  <c r="BO329" i="11"/>
  <c r="AR179" i="11"/>
  <c r="AR235" i="11" s="1"/>
  <c r="AS31" i="11"/>
  <c r="AS327" i="11" s="1"/>
  <c r="AS328" i="11" s="1"/>
  <c r="AR205" i="11"/>
  <c r="AR250" i="11"/>
  <c r="AS123" i="11"/>
  <c r="AS275" i="11"/>
  <c r="BO34" i="11"/>
  <c r="BO298" i="11" s="1"/>
  <c r="BP60" i="11"/>
  <c r="AS156" i="11"/>
  <c r="AS157" i="11" s="1"/>
  <c r="AS274" i="11" s="1"/>
  <c r="AT55" i="11"/>
  <c r="G11" i="14"/>
  <c r="AS134" i="11"/>
  <c r="AS36" i="11"/>
  <c r="AT51" i="11"/>
  <c r="AT56" i="11"/>
  <c r="AS174" i="11"/>
  <c r="AS175" i="11" s="1"/>
  <c r="AS177" i="11"/>
  <c r="AS167" i="11"/>
  <c r="AS173" i="11"/>
  <c r="AS172" i="11"/>
  <c r="AS168" i="11"/>
  <c r="AS228" i="11"/>
  <c r="AS166" i="11"/>
  <c r="AR292" i="11"/>
  <c r="J184" i="2" l="1"/>
  <c r="J184" i="28" s="1"/>
  <c r="AR182" i="11"/>
  <c r="AR181" i="11"/>
  <c r="AR301" i="11" s="1"/>
  <c r="BQ325" i="11"/>
  <c r="BP326" i="11"/>
  <c r="BP329" i="11"/>
  <c r="J18" i="2"/>
  <c r="K12" i="2" s="1"/>
  <c r="AR303" i="11"/>
  <c r="AS169" i="11"/>
  <c r="AS178" i="11"/>
  <c r="AS292" i="11"/>
  <c r="G15" i="14"/>
  <c r="E41" i="14" s="1"/>
  <c r="G19" i="14"/>
  <c r="I41" i="14" s="1"/>
  <c r="G17" i="14"/>
  <c r="G41" i="14" s="1"/>
  <c r="G16" i="14"/>
  <c r="F41" i="14" s="1"/>
  <c r="G18" i="14"/>
  <c r="H41" i="14" s="1"/>
  <c r="J234" i="2"/>
  <c r="J234" i="28"/>
  <c r="AT29" i="11"/>
  <c r="AT152" i="11"/>
  <c r="AT160" i="11"/>
  <c r="BP34" i="11"/>
  <c r="BP298" i="11" s="1"/>
  <c r="BQ60" i="11"/>
  <c r="AS127" i="11"/>
  <c r="AS311" i="11"/>
  <c r="AR268" i="11"/>
  <c r="AS143" i="11"/>
  <c r="AS144" i="11" s="1"/>
  <c r="AT30" i="11"/>
  <c r="AT139" i="11"/>
  <c r="AT117" i="11"/>
  <c r="AT121" i="11" s="1"/>
  <c r="AT123" i="11" s="1"/>
  <c r="AT102" i="11"/>
  <c r="AT25" i="11"/>
  <c r="AT57" i="11"/>
  <c r="AS310" i="11"/>
  <c r="AS308" i="11"/>
  <c r="J219" i="2" s="1"/>
  <c r="J219" i="28" s="1"/>
  <c r="L52" i="14" l="1"/>
  <c r="AS128" i="11"/>
  <c r="BQ326" i="11"/>
  <c r="BQ329" i="11"/>
  <c r="BR325" i="11"/>
  <c r="J18" i="28"/>
  <c r="K12" i="28" s="1"/>
  <c r="AS179" i="11"/>
  <c r="AS235" i="11" s="1"/>
  <c r="AS205" i="11"/>
  <c r="L55" i="14"/>
  <c r="L54" i="14"/>
  <c r="L67" i="14"/>
  <c r="L59" i="14"/>
  <c r="L65" i="14"/>
  <c r="L60" i="14"/>
  <c r="L57" i="14"/>
  <c r="L56" i="14"/>
  <c r="AT134" i="11"/>
  <c r="AU56" i="11"/>
  <c r="AU55" i="11"/>
  <c r="AT36" i="11"/>
  <c r="AU51" i="11"/>
  <c r="J221" i="28"/>
  <c r="J221" i="2"/>
  <c r="BQ34" i="11"/>
  <c r="BR60" i="11"/>
  <c r="AS250" i="11"/>
  <c r="AT31" i="11"/>
  <c r="AT327" i="11" s="1"/>
  <c r="AT328" i="11" s="1"/>
  <c r="AS309" i="11"/>
  <c r="J235" i="28"/>
  <c r="J235" i="2"/>
  <c r="AT106" i="11"/>
  <c r="AT125" i="11" s="1"/>
  <c r="AT164" i="11"/>
  <c r="AS233" i="11"/>
  <c r="AT156" i="11"/>
  <c r="AT157" i="11" s="1"/>
  <c r="AT274" i="11" s="1"/>
  <c r="AT128" i="11" l="1"/>
  <c r="AS182" i="11"/>
  <c r="AS181" i="11"/>
  <c r="AS301" i="11" s="1"/>
  <c r="BR326" i="11"/>
  <c r="BS325" i="11"/>
  <c r="BR329" i="11"/>
  <c r="AS303" i="11"/>
  <c r="BR34" i="11"/>
  <c r="BR298" i="11" s="1"/>
  <c r="BS60" i="11"/>
  <c r="AU29" i="11"/>
  <c r="AU152" i="11"/>
  <c r="AU160" i="11"/>
  <c r="AT311" i="11"/>
  <c r="L232" i="28"/>
  <c r="L232" i="2"/>
  <c r="AS312" i="11"/>
  <c r="J220" i="2"/>
  <c r="J220" i="28" s="1"/>
  <c r="L21" i="28"/>
  <c r="L207" i="28" s="1"/>
  <c r="L21" i="2"/>
  <c r="L207" i="2" s="1"/>
  <c r="BQ298" i="11"/>
  <c r="AU139" i="11"/>
  <c r="AU117" i="11"/>
  <c r="AU121" i="11" s="1"/>
  <c r="AU123" i="11" s="1"/>
  <c r="AU30" i="11"/>
  <c r="AT143" i="11"/>
  <c r="AT144" i="11" s="1"/>
  <c r="AT292" i="11"/>
  <c r="AS268" i="11"/>
  <c r="J183" i="2"/>
  <c r="J183" i="28" s="1"/>
  <c r="AT166" i="11"/>
  <c r="AT228" i="11"/>
  <c r="AT173" i="11"/>
  <c r="AT172" i="11"/>
  <c r="AT177" i="11"/>
  <c r="AT174" i="11"/>
  <c r="AT167" i="11"/>
  <c r="AT168" i="11"/>
  <c r="AT275" i="11"/>
  <c r="AU25" i="11"/>
  <c r="AU102" i="11"/>
  <c r="AU57" i="11"/>
  <c r="AT233" i="11" l="1"/>
  <c r="AT127" i="11"/>
  <c r="BS329" i="11"/>
  <c r="BT325" i="11"/>
  <c r="BS326" i="11"/>
  <c r="J213" i="2"/>
  <c r="J213" i="28"/>
  <c r="AU31" i="11"/>
  <c r="AU327" i="11" s="1"/>
  <c r="AU328" i="11" s="1"/>
  <c r="AT169" i="11"/>
  <c r="AT205" i="11"/>
  <c r="AT250" i="11"/>
  <c r="L233" i="28"/>
  <c r="L233" i="2"/>
  <c r="AU164" i="11"/>
  <c r="AU36" i="11"/>
  <c r="AV56" i="11"/>
  <c r="AU134" i="11"/>
  <c r="AV55" i="11"/>
  <c r="AV51" i="11"/>
  <c r="AU156" i="11"/>
  <c r="AU157" i="11" s="1"/>
  <c r="L236" i="2"/>
  <c r="L236" i="28"/>
  <c r="AU106" i="11"/>
  <c r="AU125" i="11" s="1"/>
  <c r="AT308" i="11"/>
  <c r="AT309" i="11" s="1"/>
  <c r="AT312" i="11" s="1"/>
  <c r="AT310" i="11"/>
  <c r="J222" i="2"/>
  <c r="J222" i="28" s="1"/>
  <c r="BS34" i="11"/>
  <c r="BS298" i="11" s="1"/>
  <c r="BT60" i="11"/>
  <c r="AT175" i="11"/>
  <c r="AT178" i="11" s="1"/>
  <c r="AU275" i="11" l="1"/>
  <c r="BT329" i="11"/>
  <c r="BT326" i="11"/>
  <c r="BU325" i="11"/>
  <c r="AT179" i="11"/>
  <c r="AT182" i="11" s="1"/>
  <c r="AU274" i="11"/>
  <c r="AV102" i="11"/>
  <c r="AV25" i="11"/>
  <c r="AV57" i="11"/>
  <c r="BT34" i="11"/>
  <c r="BT298" i="11" s="1"/>
  <c r="BU60" i="11"/>
  <c r="AV29" i="11"/>
  <c r="AV152" i="11"/>
  <c r="AV160" i="11"/>
  <c r="AU143" i="11"/>
  <c r="AV117" i="11"/>
  <c r="AV121" i="11" s="1"/>
  <c r="AV123" i="11" s="1"/>
  <c r="AV30" i="11"/>
  <c r="AV139" i="11"/>
  <c r="AU172" i="11"/>
  <c r="AU174" i="11"/>
  <c r="AU167" i="11"/>
  <c r="AU173" i="11"/>
  <c r="AU168" i="11"/>
  <c r="AU166" i="11"/>
  <c r="AU177" i="11"/>
  <c r="AU228" i="11"/>
  <c r="AU311" i="11"/>
  <c r="AT268" i="11"/>
  <c r="AU310" i="11" l="1"/>
  <c r="AT181" i="11"/>
  <c r="AT301" i="11" s="1"/>
  <c r="AU308" i="11"/>
  <c r="AU309" i="11" s="1"/>
  <c r="AU312" i="11" s="1"/>
  <c r="AU233" i="11"/>
  <c r="AU128" i="11"/>
  <c r="AU127" i="11"/>
  <c r="BU329" i="11"/>
  <c r="BV325" i="11"/>
  <c r="BU326" i="11"/>
  <c r="AT303" i="11"/>
  <c r="AT235" i="11"/>
  <c r="AU169" i="11"/>
  <c r="BU34" i="11"/>
  <c r="BU298" i="11" s="1"/>
  <c r="BV60" i="11"/>
  <c r="AU144" i="11"/>
  <c r="AV36" i="11"/>
  <c r="AW55" i="11"/>
  <c r="AW56" i="11"/>
  <c r="AV134" i="11"/>
  <c r="AW51" i="11"/>
  <c r="AU175" i="11"/>
  <c r="AU178" i="11" s="1"/>
  <c r="AV31" i="11"/>
  <c r="AV327" i="11" s="1"/>
  <c r="AV328" i="11" s="1"/>
  <c r="AV164" i="11"/>
  <c r="AV106" i="11"/>
  <c r="AV125" i="11" s="1"/>
  <c r="AV156" i="11"/>
  <c r="AV157" i="11" s="1"/>
  <c r="AV274" i="11" s="1"/>
  <c r="AU292" i="11"/>
  <c r="AV275" i="11" l="1"/>
  <c r="BW325" i="11"/>
  <c r="BV326" i="11"/>
  <c r="BV329" i="11"/>
  <c r="AU179" i="11"/>
  <c r="AU235" i="11" s="1"/>
  <c r="AV292" i="11"/>
  <c r="AW139" i="11"/>
  <c r="AW30" i="11"/>
  <c r="AW117" i="11"/>
  <c r="AW121" i="11" s="1"/>
  <c r="AW123" i="11" s="1"/>
  <c r="AV228" i="11"/>
  <c r="AV167" i="11"/>
  <c r="AV173" i="11"/>
  <c r="AV166" i="11"/>
  <c r="AV172" i="11"/>
  <c r="AV168" i="11"/>
  <c r="AV174" i="11"/>
  <c r="AV177" i="11"/>
  <c r="AW29" i="11"/>
  <c r="AW152" i="11"/>
  <c r="AW160" i="11"/>
  <c r="AV311" i="11"/>
  <c r="BV34" i="11"/>
  <c r="BV298" i="11" s="1"/>
  <c r="BW60" i="11"/>
  <c r="AU205" i="11"/>
  <c r="AU250" i="11"/>
  <c r="AW102" i="11"/>
  <c r="AW25" i="11"/>
  <c r="AW57" i="11"/>
  <c r="AV143" i="11"/>
  <c r="AV144" i="11" s="1"/>
  <c r="AV308" i="11" l="1"/>
  <c r="AV309" i="11" s="1"/>
  <c r="AV312" i="11" s="1"/>
  <c r="AV310" i="11"/>
  <c r="AU182" i="11"/>
  <c r="AU181" i="11"/>
  <c r="AU301" i="11" s="1"/>
  <c r="AV233" i="11"/>
  <c r="AV128" i="11"/>
  <c r="AV127" i="11"/>
  <c r="BX325" i="11"/>
  <c r="BW326" i="11"/>
  <c r="BW329" i="11"/>
  <c r="AU303" i="11"/>
  <c r="AW31" i="11"/>
  <c r="AW327" i="11" s="1"/>
  <c r="AW328" i="11" s="1"/>
  <c r="AV205" i="11"/>
  <c r="AW106" i="11"/>
  <c r="AW125" i="11" s="1"/>
  <c r="AU268" i="11"/>
  <c r="AV250" i="11"/>
  <c r="AW164" i="11"/>
  <c r="AV175" i="11"/>
  <c r="AV178" i="11" s="1"/>
  <c r="BW34" i="11"/>
  <c r="BW298" i="11" s="1"/>
  <c r="BX60" i="11"/>
  <c r="AW156" i="11"/>
  <c r="AW157" i="11" s="1"/>
  <c r="AW274" i="11" s="1"/>
  <c r="AW134" i="11"/>
  <c r="AX55" i="11"/>
  <c r="AW36" i="11"/>
  <c r="AX56" i="11"/>
  <c r="AX51" i="11"/>
  <c r="AV169" i="11"/>
  <c r="AW128" i="11" l="1"/>
  <c r="BY325" i="11"/>
  <c r="BX326" i="11"/>
  <c r="BX329" i="11"/>
  <c r="AV179" i="11"/>
  <c r="AV303" i="11" s="1"/>
  <c r="AW292" i="11"/>
  <c r="AW311" i="11"/>
  <c r="AX29" i="11"/>
  <c r="AX152" i="11"/>
  <c r="AX160" i="11"/>
  <c r="AW143" i="11"/>
  <c r="AW144" i="11" s="1"/>
  <c r="AX102" i="11"/>
  <c r="AX25" i="11"/>
  <c r="AX57" i="11"/>
  <c r="BX34" i="11"/>
  <c r="BX298" i="11" s="1"/>
  <c r="BY60" i="11"/>
  <c r="AV268" i="11"/>
  <c r="AW228" i="11"/>
  <c r="AW166" i="11"/>
  <c r="AW173" i="11"/>
  <c r="AW168" i="11"/>
  <c r="AW172" i="11"/>
  <c r="AW177" i="11"/>
  <c r="AW174" i="11"/>
  <c r="AW167" i="11"/>
  <c r="AW275" i="11"/>
  <c r="AX139" i="11"/>
  <c r="AX117" i="11"/>
  <c r="AX121" i="11" s="1"/>
  <c r="AX123" i="11" s="1"/>
  <c r="AX30" i="11"/>
  <c r="AV182" i="11" l="1"/>
  <c r="AV181" i="11"/>
  <c r="AV301" i="11" s="1"/>
  <c r="AW233" i="11"/>
  <c r="AW127" i="11"/>
  <c r="BY326" i="11"/>
  <c r="BY329" i="11"/>
  <c r="BZ325" i="11"/>
  <c r="AV235" i="11"/>
  <c r="AW169" i="11"/>
  <c r="AW205" i="11"/>
  <c r="AW250" i="11"/>
  <c r="AX164" i="11"/>
  <c r="AX156" i="11"/>
  <c r="AX157" i="11" s="1"/>
  <c r="AX274" i="11" s="1"/>
  <c r="AW310" i="11"/>
  <c r="AW308" i="11"/>
  <c r="AW309" i="11" s="1"/>
  <c r="AW312" i="11" s="1"/>
  <c r="BY34" i="11"/>
  <c r="BY298" i="11" s="1"/>
  <c r="BZ60" i="11"/>
  <c r="AX36" i="11"/>
  <c r="AX134" i="11"/>
  <c r="AY56" i="11"/>
  <c r="AY55" i="11"/>
  <c r="AY51" i="11"/>
  <c r="AX31" i="11"/>
  <c r="AX327" i="11" s="1"/>
  <c r="AX328" i="11" s="1"/>
  <c r="AX106" i="11"/>
  <c r="AX125" i="11" s="1"/>
  <c r="AW175" i="11"/>
  <c r="AW178" i="11" s="1"/>
  <c r="AW179" i="11" l="1"/>
  <c r="AW182" i="11" s="1"/>
  <c r="AX275" i="11"/>
  <c r="BZ326" i="11"/>
  <c r="CA325" i="11"/>
  <c r="BZ329" i="11"/>
  <c r="AY30" i="11"/>
  <c r="AY117" i="11"/>
  <c r="AY121" i="11" s="1"/>
  <c r="AY123" i="11" s="1"/>
  <c r="AY139" i="11"/>
  <c r="AW268" i="11"/>
  <c r="AX143" i="11"/>
  <c r="AX144" i="11" s="1"/>
  <c r="AX311" i="11"/>
  <c r="BZ34" i="11"/>
  <c r="BZ298" i="11" s="1"/>
  <c r="CA60" i="11"/>
  <c r="AY152" i="11"/>
  <c r="AY29" i="11"/>
  <c r="AY160" i="11"/>
  <c r="AY164" i="11" s="1"/>
  <c r="AX167" i="11"/>
  <c r="AX168" i="11"/>
  <c r="AX173" i="11"/>
  <c r="AX228" i="11"/>
  <c r="AX177" i="11"/>
  <c r="AX172" i="11"/>
  <c r="AX166" i="11"/>
  <c r="AX174" i="11"/>
  <c r="AY25" i="11"/>
  <c r="AY102" i="11"/>
  <c r="AY106" i="11" s="1"/>
  <c r="AY125" i="11" s="1"/>
  <c r="AY57" i="11"/>
  <c r="AX292" i="11"/>
  <c r="AX308" i="11" l="1"/>
  <c r="AX309" i="11" s="1"/>
  <c r="AX312" i="11" s="1"/>
  <c r="AW235" i="11"/>
  <c r="AW303" i="11"/>
  <c r="AW181" i="11"/>
  <c r="AW301" i="11" s="1"/>
  <c r="AY233" i="11"/>
  <c r="AX310" i="11"/>
  <c r="AX233" i="11"/>
  <c r="AX128" i="11"/>
  <c r="AX127" i="11"/>
  <c r="CA329" i="11"/>
  <c r="CB325" i="11"/>
  <c r="CA326" i="11"/>
  <c r="AY31" i="11"/>
  <c r="AY327" i="11" s="1"/>
  <c r="AY328" i="11" s="1"/>
  <c r="AX169" i="11"/>
  <c r="AX205" i="11"/>
  <c r="AX250" i="11"/>
  <c r="AY275" i="11"/>
  <c r="AY228" i="11"/>
  <c r="AY177" i="11"/>
  <c r="AY168" i="11"/>
  <c r="AY174" i="11"/>
  <c r="AY175" i="11" s="1"/>
  <c r="AY166" i="11"/>
  <c r="AY173" i="11"/>
  <c r="AY167" i="11"/>
  <c r="AY172" i="11"/>
  <c r="AY36" i="11"/>
  <c r="AZ55" i="11"/>
  <c r="AY134" i="11"/>
  <c r="AZ51" i="11"/>
  <c r="AZ56" i="11"/>
  <c r="CA34" i="11"/>
  <c r="CA298" i="11" s="1"/>
  <c r="CB60" i="11"/>
  <c r="AX175" i="11"/>
  <c r="AX178" i="11" s="1"/>
  <c r="AY156" i="11"/>
  <c r="AY157" i="11" s="1"/>
  <c r="AY274" i="11" s="1"/>
  <c r="AY127" i="11" l="1"/>
  <c r="AY128" i="11"/>
  <c r="CB326" i="11"/>
  <c r="CB329" i="11"/>
  <c r="CC325" i="11"/>
  <c r="AX179" i="11"/>
  <c r="AX181" i="11" s="1"/>
  <c r="AY169" i="11"/>
  <c r="AY178" i="11"/>
  <c r="AY292" i="11"/>
  <c r="AZ117" i="11"/>
  <c r="AZ121" i="11" s="1"/>
  <c r="AZ123" i="11" s="1"/>
  <c r="AZ30" i="11"/>
  <c r="AZ139" i="11"/>
  <c r="AY308" i="11"/>
  <c r="AY309" i="11" s="1"/>
  <c r="AY312" i="11" s="1"/>
  <c r="AY310" i="11"/>
  <c r="AZ25" i="11"/>
  <c r="AZ102" i="11"/>
  <c r="AZ106" i="11" s="1"/>
  <c r="AZ125" i="11" s="1"/>
  <c r="AZ57" i="11"/>
  <c r="AY143" i="11"/>
  <c r="AY144" i="11" s="1"/>
  <c r="CB34" i="11"/>
  <c r="CB298" i="11" s="1"/>
  <c r="CC60" i="11"/>
  <c r="AZ29" i="11"/>
  <c r="AZ152" i="11"/>
  <c r="AZ160" i="11"/>
  <c r="AZ164" i="11" s="1"/>
  <c r="AY311" i="11"/>
  <c r="AX268" i="11"/>
  <c r="AZ233" i="11" l="1"/>
  <c r="AX182" i="11"/>
  <c r="CC329" i="11"/>
  <c r="CD325" i="11"/>
  <c r="CC326" i="11"/>
  <c r="AX303" i="11"/>
  <c r="AX235" i="11"/>
  <c r="AY179" i="11"/>
  <c r="AY182" i="11" s="1"/>
  <c r="AX301" i="11"/>
  <c r="CC34" i="11"/>
  <c r="CD60" i="11"/>
  <c r="AY250" i="11"/>
  <c r="AZ36" i="11"/>
  <c r="BA55" i="11"/>
  <c r="AZ134" i="11"/>
  <c r="BA56" i="11"/>
  <c r="BA51" i="11"/>
  <c r="AZ167" i="11"/>
  <c r="AZ168" i="11"/>
  <c r="AZ174" i="11"/>
  <c r="AZ175" i="11" s="1"/>
  <c r="AZ173" i="11"/>
  <c r="AZ166" i="11"/>
  <c r="AZ172" i="11"/>
  <c r="AZ177" i="11"/>
  <c r="AZ228" i="11"/>
  <c r="AZ275" i="11"/>
  <c r="AZ31" i="11"/>
  <c r="AZ327" i="11" s="1"/>
  <c r="AZ328" i="11" s="1"/>
  <c r="AZ156" i="11"/>
  <c r="AZ157" i="11" s="1"/>
  <c r="AZ274" i="11" s="1"/>
  <c r="AY205" i="11"/>
  <c r="AY181" i="11" l="1"/>
  <c r="AZ128" i="11"/>
  <c r="AZ127" i="11"/>
  <c r="CE325" i="11"/>
  <c r="CD326" i="11"/>
  <c r="CD329" i="11"/>
  <c r="AY235" i="11"/>
  <c r="AY303" i="11"/>
  <c r="AZ169" i="11"/>
  <c r="BA139" i="11"/>
  <c r="BA30" i="11"/>
  <c r="BA117" i="11"/>
  <c r="BA121" i="11" s="1"/>
  <c r="BA123" i="11" s="1"/>
  <c r="AZ308" i="11"/>
  <c r="AZ309" i="11" s="1"/>
  <c r="AZ312" i="11" s="1"/>
  <c r="AZ310" i="11"/>
  <c r="BA25" i="11"/>
  <c r="BA102" i="11"/>
  <c r="BA106" i="11" s="1"/>
  <c r="BA125" i="11" s="1"/>
  <c r="BA57" i="11"/>
  <c r="AZ143" i="11"/>
  <c r="AZ144" i="11" s="1"/>
  <c r="BA29" i="11"/>
  <c r="BA152" i="11"/>
  <c r="BA160" i="11"/>
  <c r="BA164" i="11" s="1"/>
  <c r="AY268" i="11"/>
  <c r="AZ311" i="11"/>
  <c r="CD34" i="11"/>
  <c r="CD298" i="11" s="1"/>
  <c r="CE60" i="11"/>
  <c r="M21" i="28"/>
  <c r="M207" i="28" s="1"/>
  <c r="M21" i="2"/>
  <c r="M207" i="2" s="1"/>
  <c r="CC298" i="11"/>
  <c r="AZ292" i="11"/>
  <c r="AZ178" i="11"/>
  <c r="M232" i="2"/>
  <c r="M232" i="28"/>
  <c r="BA233" i="11" l="1"/>
  <c r="CF325" i="11"/>
  <c r="CE326" i="11"/>
  <c r="CE329" i="11"/>
  <c r="AZ179" i="11"/>
  <c r="AZ181" i="11" s="1"/>
  <c r="AY301" i="11"/>
  <c r="BA275" i="11"/>
  <c r="BA31" i="11"/>
  <c r="BA327" i="11" s="1"/>
  <c r="BA328" i="11" s="1"/>
  <c r="AZ205" i="11"/>
  <c r="AZ250" i="11"/>
  <c r="M233" i="2"/>
  <c r="M233" i="28"/>
  <c r="BA156" i="11"/>
  <c r="BA157" i="11" s="1"/>
  <c r="BA274" i="11" s="1"/>
  <c r="CE34" i="11"/>
  <c r="CE298" i="11" s="1"/>
  <c r="CF60" i="11"/>
  <c r="M236" i="28"/>
  <c r="M236" i="2"/>
  <c r="BA36" i="11"/>
  <c r="BA134" i="11"/>
  <c r="BB55" i="11"/>
  <c r="BB56" i="11"/>
  <c r="BB51" i="11"/>
  <c r="BA174" i="11"/>
  <c r="BA175" i="11" s="1"/>
  <c r="BA172" i="11"/>
  <c r="BA173" i="11"/>
  <c r="BA167" i="11"/>
  <c r="BA166" i="11"/>
  <c r="BA168" i="11"/>
  <c r="BA177" i="11"/>
  <c r="BA228" i="11"/>
  <c r="BA308" i="11" l="1"/>
  <c r="BA309" i="11" s="1"/>
  <c r="BA312" i="11" s="1"/>
  <c r="AZ182" i="11"/>
  <c r="BA127" i="11"/>
  <c r="BA128" i="11"/>
  <c r="CG325" i="11"/>
  <c r="CF326" i="11"/>
  <c r="CF329" i="11"/>
  <c r="AZ235" i="11"/>
  <c r="AZ303" i="11"/>
  <c r="BA169" i="11"/>
  <c r="BA310" i="11"/>
  <c r="BA178" i="11"/>
  <c r="BA292" i="11"/>
  <c r="BA143" i="11"/>
  <c r="BA144" i="11" s="1"/>
  <c r="CF34" i="11"/>
  <c r="CF298" i="11" s="1"/>
  <c r="CG60" i="11"/>
  <c r="BB29" i="11"/>
  <c r="BB152" i="11"/>
  <c r="BB160" i="11"/>
  <c r="BB164" i="11" s="1"/>
  <c r="BA311" i="11"/>
  <c r="BB25" i="11"/>
  <c r="BB102" i="11"/>
  <c r="BB106" i="11" s="1"/>
  <c r="BB125" i="11" s="1"/>
  <c r="BB57" i="11"/>
  <c r="AZ301" i="11"/>
  <c r="BB30" i="11"/>
  <c r="BB139" i="11"/>
  <c r="BB117" i="11"/>
  <c r="BB121" i="11" s="1"/>
  <c r="AZ268" i="11"/>
  <c r="CG326" i="11" l="1"/>
  <c r="CG329" i="11"/>
  <c r="CH325" i="11"/>
  <c r="BA179" i="11"/>
  <c r="BA182" i="11" s="1"/>
  <c r="BB31" i="11"/>
  <c r="BB327" i="11" s="1"/>
  <c r="BB328" i="11" s="1"/>
  <c r="BA205" i="11"/>
  <c r="BA250" i="11"/>
  <c r="BB172" i="11"/>
  <c r="BB173" i="11"/>
  <c r="BB177" i="11"/>
  <c r="BB174" i="11"/>
  <c r="BB175" i="11" s="1"/>
  <c r="BB168" i="11"/>
  <c r="BB228" i="11"/>
  <c r="BB167" i="11"/>
  <c r="BB166" i="11"/>
  <c r="BB156" i="11"/>
  <c r="BB157" i="11" s="1"/>
  <c r="BB274" i="11" s="1"/>
  <c r="BB123" i="11"/>
  <c r="BB275" i="11"/>
  <c r="CG34" i="11"/>
  <c r="CG298" i="11" s="1"/>
  <c r="CH60" i="11"/>
  <c r="BB36" i="11"/>
  <c r="BC55" i="11"/>
  <c r="BB134" i="11"/>
  <c r="BC56" i="11"/>
  <c r="BC51" i="11"/>
  <c r="BA181" i="11" l="1"/>
  <c r="BA301" i="11" s="1"/>
  <c r="CH326" i="11"/>
  <c r="CI325" i="11"/>
  <c r="CH329" i="11"/>
  <c r="BA303" i="11"/>
  <c r="BA235" i="11"/>
  <c r="BB178" i="11"/>
  <c r="BB169" i="11"/>
  <c r="BB292" i="11"/>
  <c r="BC117" i="11"/>
  <c r="BC121" i="11" s="1"/>
  <c r="BC123" i="11" s="1"/>
  <c r="BC30" i="11"/>
  <c r="BC139" i="11"/>
  <c r="BB143" i="11"/>
  <c r="BB144" i="11" s="1"/>
  <c r="BC25" i="11"/>
  <c r="BC57" i="11"/>
  <c r="BC102" i="11"/>
  <c r="BC106" i="11" s="1"/>
  <c r="BC125" i="11" s="1"/>
  <c r="BA268" i="11"/>
  <c r="BC152" i="11"/>
  <c r="BC29" i="11"/>
  <c r="BC160" i="11"/>
  <c r="BC164" i="11" s="1"/>
  <c r="BB308" i="11"/>
  <c r="BB309" i="11" s="1"/>
  <c r="BB312" i="11" s="1"/>
  <c r="BB310" i="11"/>
  <c r="BB127" i="11"/>
  <c r="BB311" i="11"/>
  <c r="CI60" i="11"/>
  <c r="CH34" i="11"/>
  <c r="CH298" i="11" s="1"/>
  <c r="BC233" i="11" l="1"/>
  <c r="BB128" i="11"/>
  <c r="CI329" i="11"/>
  <c r="CJ325" i="11"/>
  <c r="CI326" i="11"/>
  <c r="BB179" i="11"/>
  <c r="BB181" i="11" s="1"/>
  <c r="BB205" i="11"/>
  <c r="BB250" i="11"/>
  <c r="BC172" i="11"/>
  <c r="BC174" i="11"/>
  <c r="BC175" i="11" s="1"/>
  <c r="BC168" i="11"/>
  <c r="BC228" i="11"/>
  <c r="BC167" i="11"/>
  <c r="BC173" i="11"/>
  <c r="BC166" i="11"/>
  <c r="BC177" i="11"/>
  <c r="BC156" i="11"/>
  <c r="BC157" i="11" s="1"/>
  <c r="BC274" i="11" s="1"/>
  <c r="BC134" i="11"/>
  <c r="BD55" i="11"/>
  <c r="BD56" i="11"/>
  <c r="BC36" i="11"/>
  <c r="BD51" i="11"/>
  <c r="BC31" i="11"/>
  <c r="BC327" i="11" s="1"/>
  <c r="BC328" i="11" s="1"/>
  <c r="CI34" i="11"/>
  <c r="CI298" i="11" s="1"/>
  <c r="CJ60" i="11"/>
  <c r="BB233" i="11"/>
  <c r="BC275" i="11"/>
  <c r="BB182" i="11" l="1"/>
  <c r="BC127" i="11"/>
  <c r="BC128" i="11"/>
  <c r="CJ329" i="11"/>
  <c r="CJ326" i="11"/>
  <c r="CK325" i="11"/>
  <c r="BB301" i="11"/>
  <c r="BB303" i="11"/>
  <c r="BB235" i="11"/>
  <c r="BC169" i="11"/>
  <c r="BC311" i="11"/>
  <c r="BC310" i="11"/>
  <c r="BC308" i="11"/>
  <c r="BC309" i="11" s="1"/>
  <c r="BC312" i="11" s="1"/>
  <c r="BD139" i="11"/>
  <c r="BD30" i="11"/>
  <c r="BD117" i="11"/>
  <c r="BD121" i="11" s="1"/>
  <c r="BD123" i="11" s="1"/>
  <c r="BC143" i="11"/>
  <c r="BC144" i="11" s="1"/>
  <c r="BC292" i="11"/>
  <c r="CJ34" i="11"/>
  <c r="CJ298" i="11" s="1"/>
  <c r="CK60" i="11"/>
  <c r="BD29" i="11"/>
  <c r="BD152" i="11"/>
  <c r="BD160" i="11"/>
  <c r="BD164" i="11" s="1"/>
  <c r="BB268" i="11"/>
  <c r="BD25" i="11"/>
  <c r="BD57" i="11"/>
  <c r="BD102" i="11"/>
  <c r="BD106" i="11" s="1"/>
  <c r="BD125" i="11" s="1"/>
  <c r="BC178" i="11"/>
  <c r="BD233" i="11" l="1"/>
  <c r="CK329" i="11"/>
  <c r="CL325" i="11"/>
  <c r="CK326" i="11"/>
  <c r="BD31" i="11"/>
  <c r="BD327" i="11" s="1"/>
  <c r="BD328" i="11" s="1"/>
  <c r="BC179" i="11"/>
  <c r="BC235" i="11" s="1"/>
  <c r="BC205" i="11"/>
  <c r="BC250" i="11"/>
  <c r="CK34" i="11"/>
  <c r="CK298" i="11" s="1"/>
  <c r="CL60" i="11"/>
  <c r="BD166" i="11"/>
  <c r="BD228" i="11"/>
  <c r="BD173" i="11"/>
  <c r="BD174" i="11"/>
  <c r="BD175" i="11" s="1"/>
  <c r="BD172" i="11"/>
  <c r="BD177" i="11"/>
  <c r="BD167" i="11"/>
  <c r="BD168" i="11"/>
  <c r="BD36" i="11"/>
  <c r="BE55" i="11"/>
  <c r="BD134" i="11"/>
  <c r="BE51" i="11"/>
  <c r="BE56" i="11"/>
  <c r="BD156" i="11"/>
  <c r="BD157" i="11" s="1"/>
  <c r="BD274" i="11" s="1"/>
  <c r="BD275" i="11"/>
  <c r="BC182" i="11" l="1"/>
  <c r="BC181" i="11"/>
  <c r="BC301" i="11" s="1"/>
  <c r="BD128" i="11"/>
  <c r="BD127" i="11"/>
  <c r="CM325" i="11"/>
  <c r="CL326" i="11"/>
  <c r="CL329" i="11"/>
  <c r="BC303" i="11"/>
  <c r="BD169" i="11"/>
  <c r="BD178" i="11"/>
  <c r="BD292" i="11"/>
  <c r="CL34" i="11"/>
  <c r="CL298" i="11" s="1"/>
  <c r="CM60" i="11"/>
  <c r="BC268" i="11"/>
  <c r="BE139" i="11"/>
  <c r="BE117" i="11"/>
  <c r="BE121" i="11" s="1"/>
  <c r="BE123" i="11" s="1"/>
  <c r="BE30" i="11"/>
  <c r="BE102" i="11"/>
  <c r="BE106" i="11" s="1"/>
  <c r="BE125" i="11" s="1"/>
  <c r="BE25" i="11"/>
  <c r="BE57" i="11"/>
  <c r="BD143" i="11"/>
  <c r="BD144" i="11" s="1"/>
  <c r="BD308" i="11"/>
  <c r="BD309" i="11" s="1"/>
  <c r="BD312" i="11" s="1"/>
  <c r="BD310" i="11"/>
  <c r="BE152" i="11"/>
  <c r="BE29" i="11"/>
  <c r="BE160" i="11"/>
  <c r="BE164" i="11" s="1"/>
  <c r="BD311" i="11"/>
  <c r="BE233" i="11" l="1"/>
  <c r="CN325" i="11"/>
  <c r="CM326" i="11"/>
  <c r="CM329" i="11"/>
  <c r="BD179" i="11"/>
  <c r="BD181" i="11" s="1"/>
  <c r="BE31" i="11"/>
  <c r="BE327" i="11" s="1"/>
  <c r="BE328" i="11" s="1"/>
  <c r="BE275" i="11"/>
  <c r="BD205" i="11"/>
  <c r="BE134" i="11"/>
  <c r="H11" i="14"/>
  <c r="BE36" i="11"/>
  <c r="BF51" i="11"/>
  <c r="BF55" i="11"/>
  <c r="BF56" i="11"/>
  <c r="BE173" i="11"/>
  <c r="BE168" i="11"/>
  <c r="BE167" i="11"/>
  <c r="BE177" i="11"/>
  <c r="BE166" i="11"/>
  <c r="BE228" i="11"/>
  <c r="BE174" i="11"/>
  <c r="BE175" i="11" s="1"/>
  <c r="BE172" i="11"/>
  <c r="BD250" i="11"/>
  <c r="BE156" i="11"/>
  <c r="BE157" i="11" s="1"/>
  <c r="BE274" i="11" s="1"/>
  <c r="CM34" i="11"/>
  <c r="CM298" i="11" s="1"/>
  <c r="CN60" i="11"/>
  <c r="BD182" i="11" l="1"/>
  <c r="BE127" i="11"/>
  <c r="BE128" i="11"/>
  <c r="CO325" i="11"/>
  <c r="CN326" i="11"/>
  <c r="CN329" i="11"/>
  <c r="BE310" i="11"/>
  <c r="K184" i="2"/>
  <c r="K184" i="28" s="1"/>
  <c r="K18" i="2"/>
  <c r="L12" i="2" s="1"/>
  <c r="BD303" i="11"/>
  <c r="BE308" i="11"/>
  <c r="K219" i="2" s="1"/>
  <c r="K219" i="28" s="1"/>
  <c r="BD301" i="11"/>
  <c r="BD235" i="11"/>
  <c r="BE169" i="11"/>
  <c r="BE292" i="11"/>
  <c r="BE143" i="11"/>
  <c r="BE144" i="11" s="1"/>
  <c r="BF30" i="11"/>
  <c r="BF117" i="11"/>
  <c r="BF121" i="11" s="1"/>
  <c r="BF139" i="11"/>
  <c r="BE178" i="11"/>
  <c r="K234" i="28"/>
  <c r="K234" i="2"/>
  <c r="BF29" i="11"/>
  <c r="BF152" i="11"/>
  <c r="BF160" i="11"/>
  <c r="CN34" i="11"/>
  <c r="CN298" i="11" s="1"/>
  <c r="CO60" i="11"/>
  <c r="BF102" i="11"/>
  <c r="BF25" i="11"/>
  <c r="BF57" i="11"/>
  <c r="BE311" i="11"/>
  <c r="BD268" i="11"/>
  <c r="H19" i="14"/>
  <c r="I42" i="14" s="1"/>
  <c r="H16" i="14"/>
  <c r="F42" i="14" s="1"/>
  <c r="H15" i="14"/>
  <c r="E42" i="14" s="1"/>
  <c r="H17" i="14"/>
  <c r="G42" i="14" s="1"/>
  <c r="H18" i="14"/>
  <c r="H42" i="14" s="1"/>
  <c r="M52" i="14" l="1"/>
  <c r="CO326" i="11"/>
  <c r="CO329" i="11"/>
  <c r="CP325" i="11"/>
  <c r="K18" i="28"/>
  <c r="L12" i="28" s="1"/>
  <c r="BE179" i="11"/>
  <c r="BE235" i="11" s="1"/>
  <c r="BE309" i="11"/>
  <c r="BE312" i="11" s="1"/>
  <c r="BE205" i="11"/>
  <c r="BE250" i="11"/>
  <c r="K235" i="2"/>
  <c r="K235" i="28"/>
  <c r="BF123" i="11"/>
  <c r="BF106" i="11"/>
  <c r="BF125" i="11" s="1"/>
  <c r="M67" i="14"/>
  <c r="M59" i="14"/>
  <c r="M57" i="14"/>
  <c r="M65" i="14"/>
  <c r="M55" i="14"/>
  <c r="M54" i="14"/>
  <c r="M56" i="14"/>
  <c r="M60" i="14"/>
  <c r="BF134" i="11"/>
  <c r="BF36" i="11"/>
  <c r="BG55" i="11"/>
  <c r="BG56" i="11"/>
  <c r="BG51" i="11"/>
  <c r="BF164" i="11"/>
  <c r="CO34" i="11"/>
  <c r="CP60" i="11"/>
  <c r="K221" i="2"/>
  <c r="K221" i="28"/>
  <c r="BF31" i="11"/>
  <c r="BF327" i="11" s="1"/>
  <c r="BF328" i="11" s="1"/>
  <c r="BF156" i="11"/>
  <c r="BF157" i="11" s="1"/>
  <c r="BF274" i="11" s="1"/>
  <c r="BF127" i="11" l="1"/>
  <c r="BE182" i="11"/>
  <c r="BE181" i="11"/>
  <c r="BE301" i="11" s="1"/>
  <c r="BF275" i="11"/>
  <c r="CP326" i="11"/>
  <c r="CP329" i="11"/>
  <c r="CQ325" i="11"/>
  <c r="K220" i="2"/>
  <c r="K220" i="28" s="1"/>
  <c r="BE303" i="11"/>
  <c r="K213" i="2" s="1"/>
  <c r="BF292" i="11"/>
  <c r="K183" i="2"/>
  <c r="K183" i="28" s="1"/>
  <c r="BE268" i="11"/>
  <c r="BG25" i="11"/>
  <c r="BG102" i="11"/>
  <c r="BG57" i="11"/>
  <c r="CQ60" i="11"/>
  <c r="CP34" i="11"/>
  <c r="CP298" i="11" s="1"/>
  <c r="BG117" i="11"/>
  <c r="BG121" i="11" s="1"/>
  <c r="BG123" i="11" s="1"/>
  <c r="BG30" i="11"/>
  <c r="BG139" i="11"/>
  <c r="BG29" i="11"/>
  <c r="BG152" i="11"/>
  <c r="BG160" i="11"/>
  <c r="BF311" i="11"/>
  <c r="N21" i="2"/>
  <c r="N207" i="2" s="1"/>
  <c r="N21" i="28"/>
  <c r="N207" i="28" s="1"/>
  <c r="CO298" i="11"/>
  <c r="N232" i="28"/>
  <c r="N232" i="2"/>
  <c r="BF143" i="11"/>
  <c r="BF144" i="11" s="1"/>
  <c r="BF168" i="11"/>
  <c r="BF173" i="11"/>
  <c r="BF166" i="11"/>
  <c r="BF177" i="11"/>
  <c r="BF228" i="11"/>
  <c r="BF172" i="11"/>
  <c r="BF174" i="11"/>
  <c r="BF167" i="11"/>
  <c r="K222" i="2"/>
  <c r="K222" i="28" s="1"/>
  <c r="BF308" i="11" l="1"/>
  <c r="BF309" i="11" s="1"/>
  <c r="BF312" i="11" s="1"/>
  <c r="BF310" i="11"/>
  <c r="K213" i="28"/>
  <c r="BF128" i="11"/>
  <c r="CQ329" i="11"/>
  <c r="CR325" i="11"/>
  <c r="CQ326" i="11"/>
  <c r="BG31" i="11"/>
  <c r="BG327" i="11" s="1"/>
  <c r="BG328" i="11" s="1"/>
  <c r="BF205" i="11"/>
  <c r="BF250" i="11"/>
  <c r="N233" i="28"/>
  <c r="N233" i="2"/>
  <c r="BF233" i="11"/>
  <c r="CQ34" i="11"/>
  <c r="CQ298" i="11" s="1"/>
  <c r="CR60" i="11"/>
  <c r="BF169" i="11"/>
  <c r="N236" i="28"/>
  <c r="N236" i="2"/>
  <c r="BG164" i="11"/>
  <c r="BG36" i="11"/>
  <c r="BH55" i="11"/>
  <c r="BG134" i="11"/>
  <c r="BH56" i="11"/>
  <c r="BH51" i="11"/>
  <c r="BF175" i="11"/>
  <c r="BF178" i="11" s="1"/>
  <c r="BG156" i="11"/>
  <c r="BG157" i="11" s="1"/>
  <c r="BG274" i="11" s="1"/>
  <c r="BG106" i="11"/>
  <c r="BG125" i="11" s="1"/>
  <c r="BG275" i="11" l="1"/>
  <c r="CR329" i="11"/>
  <c r="CS325" i="11"/>
  <c r="CR326" i="11"/>
  <c r="BG292" i="11"/>
  <c r="BH117" i="11"/>
  <c r="BH121" i="11" s="1"/>
  <c r="BH123" i="11" s="1"/>
  <c r="BH30" i="11"/>
  <c r="BH139" i="11"/>
  <c r="BG143" i="11"/>
  <c r="BG311" i="11"/>
  <c r="BH29" i="11"/>
  <c r="BH152" i="11"/>
  <c r="BH160" i="11"/>
  <c r="BF179" i="11"/>
  <c r="BF181" i="11" s="1"/>
  <c r="CR34" i="11"/>
  <c r="CR298" i="11" s="1"/>
  <c r="CS60" i="11"/>
  <c r="BF268" i="11"/>
  <c r="BG174" i="11"/>
  <c r="BG173" i="11"/>
  <c r="BG172" i="11"/>
  <c r="BG177" i="11"/>
  <c r="BG167" i="11"/>
  <c r="BG228" i="11"/>
  <c r="BG166" i="11"/>
  <c r="BG168" i="11"/>
  <c r="BH25" i="11"/>
  <c r="BH57" i="11"/>
  <c r="BH102" i="11"/>
  <c r="BG310" i="11" l="1"/>
  <c r="BG308" i="11"/>
  <c r="BG309" i="11" s="1"/>
  <c r="BG312" i="11" s="1"/>
  <c r="BF182" i="11"/>
  <c r="BG233" i="11"/>
  <c r="BG128" i="11"/>
  <c r="BG127" i="11"/>
  <c r="CS329" i="11"/>
  <c r="CT325" i="11"/>
  <c r="CS326" i="11"/>
  <c r="BG169" i="11"/>
  <c r="BF235" i="11"/>
  <c r="BF303" i="11"/>
  <c r="BH106" i="11"/>
  <c r="BH125" i="11" s="1"/>
  <c r="BG175" i="11"/>
  <c r="BG178" i="11" s="1"/>
  <c r="BI55" i="11"/>
  <c r="BH36" i="11"/>
  <c r="BH134" i="11"/>
  <c r="BI56" i="11"/>
  <c r="BI51" i="11"/>
  <c r="BH31" i="11"/>
  <c r="BH327" i="11" s="1"/>
  <c r="BH328" i="11" s="1"/>
  <c r="CS34" i="11"/>
  <c r="CS298" i="11" s="1"/>
  <c r="CT60" i="11"/>
  <c r="BH164" i="11"/>
  <c r="BH156" i="11"/>
  <c r="BH157" i="11" s="1"/>
  <c r="BH274" i="11" s="1"/>
  <c r="BG144" i="11"/>
  <c r="BH275" i="11" l="1"/>
  <c r="CU325" i="11"/>
  <c r="CT326" i="11"/>
  <c r="CT329" i="11"/>
  <c r="BG179" i="11"/>
  <c r="BG235" i="11" s="1"/>
  <c r="BH292" i="11"/>
  <c r="CT34" i="11"/>
  <c r="CT298" i="11" s="1"/>
  <c r="CU60" i="11"/>
  <c r="BH228" i="11"/>
  <c r="BH168" i="11"/>
  <c r="BH167" i="11"/>
  <c r="BH166" i="11"/>
  <c r="BH173" i="11"/>
  <c r="BH174" i="11"/>
  <c r="BH177" i="11"/>
  <c r="BH172" i="11"/>
  <c r="BF301" i="11"/>
  <c r="BI152" i="11"/>
  <c r="BI29" i="11"/>
  <c r="BI160" i="11"/>
  <c r="BI117" i="11"/>
  <c r="BI121" i="11" s="1"/>
  <c r="BI123" i="11" s="1"/>
  <c r="BI30" i="11"/>
  <c r="BI139" i="11"/>
  <c r="BG205" i="11"/>
  <c r="BG250" i="11"/>
  <c r="BI25" i="11"/>
  <c r="BI102" i="11"/>
  <c r="BI57" i="11"/>
  <c r="BH143" i="11"/>
  <c r="BH311" i="11"/>
  <c r="BH310" i="11" l="1"/>
  <c r="BG182" i="11"/>
  <c r="BG181" i="11"/>
  <c r="BG301" i="11" s="1"/>
  <c r="BH308" i="11"/>
  <c r="BH309" i="11" s="1"/>
  <c r="BH312" i="11" s="1"/>
  <c r="BH233" i="11"/>
  <c r="BH128" i="11"/>
  <c r="BH127" i="11"/>
  <c r="CV325" i="11"/>
  <c r="CU326" i="11"/>
  <c r="CU329" i="11"/>
  <c r="BG303" i="11"/>
  <c r="BH169" i="11"/>
  <c r="BI31" i="11"/>
  <c r="BI327" i="11" s="1"/>
  <c r="BI328" i="11" s="1"/>
  <c r="BI164" i="11"/>
  <c r="BH175" i="11"/>
  <c r="BH144" i="11"/>
  <c r="BH250" i="11" s="1"/>
  <c r="BI106" i="11"/>
  <c r="BI125" i="11" s="1"/>
  <c r="BG268" i="11"/>
  <c r="BI156" i="11"/>
  <c r="BI157" i="11" s="1"/>
  <c r="CU34" i="11"/>
  <c r="CU298" i="11" s="1"/>
  <c r="CV60" i="11"/>
  <c r="BI36" i="11"/>
  <c r="BJ55" i="11"/>
  <c r="BJ56" i="11"/>
  <c r="BI134" i="11"/>
  <c r="BJ51" i="11"/>
  <c r="BI275" i="11" l="1"/>
  <c r="CW325" i="11"/>
  <c r="CV326" i="11"/>
  <c r="CV329" i="11"/>
  <c r="BI274" i="11"/>
  <c r="CW60" i="11"/>
  <c r="CV34" i="11"/>
  <c r="CV298" i="11" s="1"/>
  <c r="BH268" i="11"/>
  <c r="BH205" i="11"/>
  <c r="BI311" i="11"/>
  <c r="BJ25" i="11"/>
  <c r="BJ102" i="11"/>
  <c r="BJ57" i="11"/>
  <c r="BH178" i="11"/>
  <c r="BH179" i="11" s="1"/>
  <c r="BH181" i="11" s="1"/>
  <c r="BI172" i="11"/>
  <c r="BI168" i="11"/>
  <c r="BI167" i="11"/>
  <c r="BI166" i="11"/>
  <c r="BI228" i="11"/>
  <c r="BI177" i="11"/>
  <c r="BI174" i="11"/>
  <c r="BI173" i="11"/>
  <c r="BI143" i="11"/>
  <c r="BI144" i="11" s="1"/>
  <c r="BJ117" i="11"/>
  <c r="BJ121" i="11" s="1"/>
  <c r="BJ123" i="11" s="1"/>
  <c r="BJ139" i="11"/>
  <c r="BJ30" i="11"/>
  <c r="BJ29" i="11"/>
  <c r="BJ152" i="11"/>
  <c r="BJ160" i="11"/>
  <c r="BI308" i="11" l="1"/>
  <c r="BI309" i="11" s="1"/>
  <c r="BI312" i="11" s="1"/>
  <c r="BI310" i="11"/>
  <c r="BH182" i="11"/>
  <c r="BI233" i="11"/>
  <c r="BI128" i="11"/>
  <c r="BI127" i="11"/>
  <c r="CW326" i="11"/>
  <c r="CW329" i="11"/>
  <c r="CX325" i="11"/>
  <c r="BI169" i="11"/>
  <c r="BI205" i="11"/>
  <c r="BI250" i="11"/>
  <c r="BH301" i="11"/>
  <c r="BH235" i="11"/>
  <c r="BH303" i="11"/>
  <c r="CX60" i="11"/>
  <c r="CW34" i="11"/>
  <c r="CW298" i="11" s="1"/>
  <c r="BJ164" i="11"/>
  <c r="BI175" i="11"/>
  <c r="BI178" i="11" s="1"/>
  <c r="BJ36" i="11"/>
  <c r="BK55" i="11"/>
  <c r="BK56" i="11"/>
  <c r="BJ134" i="11"/>
  <c r="BK51" i="11"/>
  <c r="BJ156" i="11"/>
  <c r="BJ157" i="11" s="1"/>
  <c r="BJ274" i="11" s="1"/>
  <c r="BJ106" i="11"/>
  <c r="BJ125" i="11" s="1"/>
  <c r="BJ31" i="11"/>
  <c r="BJ327" i="11" s="1"/>
  <c r="BJ328" i="11" s="1"/>
  <c r="BI292" i="11"/>
  <c r="BJ275" i="11" l="1"/>
  <c r="CX326" i="11"/>
  <c r="CX329" i="11"/>
  <c r="CY325" i="11"/>
  <c r="BI179" i="11"/>
  <c r="BI182" i="11" s="1"/>
  <c r="BK29" i="11"/>
  <c r="BK152" i="11"/>
  <c r="BK160" i="11"/>
  <c r="BK164" i="11" s="1"/>
  <c r="BJ311" i="11"/>
  <c r="CY60" i="11"/>
  <c r="CX34" i="11"/>
  <c r="CX298" i="11" s="1"/>
  <c r="BK25" i="11"/>
  <c r="BK102" i="11"/>
  <c r="BK106" i="11" s="1"/>
  <c r="BK57" i="11"/>
  <c r="BI268" i="11"/>
  <c r="BJ292" i="11"/>
  <c r="BJ143" i="11"/>
  <c r="BJ144" i="11" s="1"/>
  <c r="BJ173" i="11"/>
  <c r="BJ177" i="11"/>
  <c r="BJ166" i="11"/>
  <c r="BJ172" i="11"/>
  <c r="BJ167" i="11"/>
  <c r="BJ228" i="11"/>
  <c r="BJ174" i="11"/>
  <c r="BJ168" i="11"/>
  <c r="BK117" i="11"/>
  <c r="BK121" i="11" s="1"/>
  <c r="BK123" i="11" s="1"/>
  <c r="BK139" i="11"/>
  <c r="BK30" i="11"/>
  <c r="BJ308" i="11" l="1"/>
  <c r="BJ309" i="11" s="1"/>
  <c r="BJ312" i="11" s="1"/>
  <c r="BK125" i="11"/>
  <c r="BK233" i="11" s="1"/>
  <c r="BJ310" i="11"/>
  <c r="BI181" i="11"/>
  <c r="BI301" i="11" s="1"/>
  <c r="BJ233" i="11"/>
  <c r="BJ128" i="11"/>
  <c r="BJ127" i="11"/>
  <c r="CY329" i="11"/>
  <c r="CZ325" i="11"/>
  <c r="CY326" i="11"/>
  <c r="BI303" i="11"/>
  <c r="BI235" i="11"/>
  <c r="BJ169" i="11"/>
  <c r="BJ205" i="11"/>
  <c r="BJ250" i="11"/>
  <c r="BK168" i="11"/>
  <c r="BK173" i="11"/>
  <c r="BK228" i="11"/>
  <c r="BK177" i="11"/>
  <c r="BK174" i="11"/>
  <c r="BK175" i="11" s="1"/>
  <c r="BK167" i="11"/>
  <c r="BK172" i="11"/>
  <c r="BK166" i="11"/>
  <c r="BK31" i="11"/>
  <c r="BK327" i="11" s="1"/>
  <c r="BK328" i="11" s="1"/>
  <c r="BL56" i="11"/>
  <c r="BL55" i="11"/>
  <c r="BK36" i="11"/>
  <c r="BK134" i="11"/>
  <c r="BL51" i="11"/>
  <c r="BJ175" i="11"/>
  <c r="BJ178" i="11" s="1"/>
  <c r="CY34" i="11"/>
  <c r="CY298" i="11" s="1"/>
  <c r="CZ60" i="11"/>
  <c r="BK156" i="11"/>
  <c r="BK157" i="11" s="1"/>
  <c r="BK274" i="11" s="1"/>
  <c r="BK275" i="11"/>
  <c r="BK127" i="11" l="1"/>
  <c r="BK128" i="11"/>
  <c r="CZ329" i="11"/>
  <c r="CZ326" i="11"/>
  <c r="DA325" i="11"/>
  <c r="BJ179" i="11"/>
  <c r="BJ303" i="11" s="1"/>
  <c r="BK169" i="11"/>
  <c r="CZ34" i="11"/>
  <c r="CZ298" i="11" s="1"/>
  <c r="DA60" i="11"/>
  <c r="BL25" i="11"/>
  <c r="BL102" i="11"/>
  <c r="BL106" i="11" s="1"/>
  <c r="BL125" i="11" s="1"/>
  <c r="BL57" i="11"/>
  <c r="BK178" i="11"/>
  <c r="BK292" i="11"/>
  <c r="BK143" i="11"/>
  <c r="BK144" i="11" s="1"/>
  <c r="BK311" i="11"/>
  <c r="BJ268" i="11"/>
  <c r="BL152" i="11"/>
  <c r="BL29" i="11"/>
  <c r="BL160" i="11"/>
  <c r="BL164" i="11" s="1"/>
  <c r="BK310" i="11"/>
  <c r="BK308" i="11"/>
  <c r="BK309" i="11" s="1"/>
  <c r="BK312" i="11" s="1"/>
  <c r="BL117" i="11"/>
  <c r="BL121" i="11" s="1"/>
  <c r="BL123" i="11" s="1"/>
  <c r="BL139" i="11"/>
  <c r="BL30" i="11"/>
  <c r="BL233" i="11" l="1"/>
  <c r="BJ182" i="11"/>
  <c r="BJ181" i="11"/>
  <c r="BJ301" i="11" s="1"/>
  <c r="DA329" i="11"/>
  <c r="DB325" i="11"/>
  <c r="DA326" i="11"/>
  <c r="BJ235" i="11"/>
  <c r="BK179" i="11"/>
  <c r="BK235" i="11" s="1"/>
  <c r="BK205" i="11"/>
  <c r="BK250" i="11"/>
  <c r="BL36" i="11"/>
  <c r="BM55" i="11"/>
  <c r="BL134" i="11"/>
  <c r="BM56" i="11"/>
  <c r="BM51" i="11"/>
  <c r="BL156" i="11"/>
  <c r="BL157" i="11" s="1"/>
  <c r="BL274" i="11" s="1"/>
  <c r="BL172" i="11"/>
  <c r="BL174" i="11"/>
  <c r="BL175" i="11" s="1"/>
  <c r="BL167" i="11"/>
  <c r="BL177" i="11"/>
  <c r="BL228" i="11"/>
  <c r="BL166" i="11"/>
  <c r="BL173" i="11"/>
  <c r="BL168" i="11"/>
  <c r="BL31" i="11"/>
  <c r="BL327" i="11" s="1"/>
  <c r="BL328" i="11" s="1"/>
  <c r="DA34" i="11"/>
  <c r="DB60" i="11"/>
  <c r="BL275" i="11"/>
  <c r="BK182" i="11" l="1"/>
  <c r="BK181" i="11"/>
  <c r="BK301" i="11" s="1"/>
  <c r="BL128" i="11"/>
  <c r="BL127" i="11"/>
  <c r="DC325" i="11"/>
  <c r="DB326" i="11"/>
  <c r="DB329" i="11"/>
  <c r="BK303" i="11"/>
  <c r="BL169" i="11"/>
  <c r="BL292" i="11"/>
  <c r="BL311" i="11"/>
  <c r="BM29" i="11"/>
  <c r="BM152" i="11"/>
  <c r="BM160" i="11"/>
  <c r="BM164" i="11" s="1"/>
  <c r="O21" i="28"/>
  <c r="O207" i="28" s="1"/>
  <c r="O21" i="2"/>
  <c r="O207" i="2" s="1"/>
  <c r="DA298" i="11"/>
  <c r="O232" i="2"/>
  <c r="O232" i="28"/>
  <c r="BL178" i="11"/>
  <c r="BM25" i="11"/>
  <c r="BM102" i="11"/>
  <c r="BM106" i="11" s="1"/>
  <c r="BM125" i="11" s="1"/>
  <c r="BM57" i="11"/>
  <c r="BL308" i="11"/>
  <c r="BL309" i="11" s="1"/>
  <c r="BL312" i="11" s="1"/>
  <c r="BL310" i="11"/>
  <c r="BM117" i="11"/>
  <c r="BM121" i="11" s="1"/>
  <c r="BM123" i="11" s="1"/>
  <c r="BM139" i="11"/>
  <c r="BM30" i="11"/>
  <c r="BK268" i="11"/>
  <c r="DB34" i="11"/>
  <c r="DB298" i="11" s="1"/>
  <c r="DC60" i="11"/>
  <c r="BL143" i="11"/>
  <c r="BL144" i="11" s="1"/>
  <c r="BM233" i="11" l="1"/>
  <c r="DD325" i="11"/>
  <c r="DC326" i="11"/>
  <c r="DC329" i="11"/>
  <c r="BL179" i="11"/>
  <c r="BL235" i="11" s="1"/>
  <c r="BM275" i="11"/>
  <c r="BL205" i="11"/>
  <c r="DD60" i="11"/>
  <c r="DC34" i="11"/>
  <c r="DC298" i="11" s="1"/>
  <c r="BN56" i="11"/>
  <c r="BN55" i="11"/>
  <c r="BM134" i="11"/>
  <c r="BM36" i="11"/>
  <c r="BN51" i="11"/>
  <c r="O236" i="2"/>
  <c r="O236" i="28"/>
  <c r="BM172" i="11"/>
  <c r="BM174" i="11"/>
  <c r="BM175" i="11" s="1"/>
  <c r="BM168" i="11"/>
  <c r="BM173" i="11"/>
  <c r="BM177" i="11"/>
  <c r="BM166" i="11"/>
  <c r="BM167" i="11"/>
  <c r="BM228" i="11"/>
  <c r="O233" i="2"/>
  <c r="O233" i="28"/>
  <c r="BM31" i="11"/>
  <c r="BM327" i="11" s="1"/>
  <c r="BM328" i="11" s="1"/>
  <c r="BL250" i="11"/>
  <c r="BM156" i="11"/>
  <c r="BM157" i="11" s="1"/>
  <c r="BM274" i="11" s="1"/>
  <c r="BM310" i="11" l="1"/>
  <c r="BL182" i="11"/>
  <c r="BL181" i="11"/>
  <c r="BL301" i="11" s="1"/>
  <c r="BM128" i="11"/>
  <c r="BM127" i="11"/>
  <c r="DE325" i="11"/>
  <c r="DD326" i="11"/>
  <c r="DD329" i="11"/>
  <c r="BL303" i="11"/>
  <c r="BM308" i="11"/>
  <c r="BM309" i="11" s="1"/>
  <c r="BM312" i="11" s="1"/>
  <c r="BM169" i="11"/>
  <c r="BM292" i="11"/>
  <c r="BM311" i="11"/>
  <c r="BM143" i="11"/>
  <c r="BM144" i="11" s="1"/>
  <c r="DE60" i="11"/>
  <c r="DD34" i="11"/>
  <c r="DD298" i="11" s="1"/>
  <c r="BN29" i="11"/>
  <c r="BN152" i="11"/>
  <c r="BN160" i="11"/>
  <c r="BN164" i="11" s="1"/>
  <c r="BL268" i="11"/>
  <c r="BN139" i="11"/>
  <c r="BN30" i="11"/>
  <c r="BN117" i="11"/>
  <c r="BN121" i="11" s="1"/>
  <c r="BN25" i="11"/>
  <c r="BN102" i="11"/>
  <c r="BN106" i="11" s="1"/>
  <c r="BN125" i="11" s="1"/>
  <c r="BN57" i="11"/>
  <c r="BM178" i="11"/>
  <c r="DE326" i="11" l="1"/>
  <c r="DE329" i="11"/>
  <c r="DF325" i="11"/>
  <c r="BM179" i="11"/>
  <c r="BM182" i="11" s="1"/>
  <c r="BM205" i="11"/>
  <c r="BM250" i="11"/>
  <c r="BN156" i="11"/>
  <c r="BN157" i="11" s="1"/>
  <c r="BN274" i="11" s="1"/>
  <c r="BN134" i="11"/>
  <c r="BO56" i="11"/>
  <c r="BN36" i="11"/>
  <c r="BO55" i="11"/>
  <c r="BO51" i="11"/>
  <c r="BN123" i="11"/>
  <c r="BN275" i="11"/>
  <c r="BN174" i="11"/>
  <c r="BN175" i="11" s="1"/>
  <c r="BN173" i="11"/>
  <c r="BN166" i="11"/>
  <c r="BN177" i="11"/>
  <c r="BN228" i="11"/>
  <c r="BN168" i="11"/>
  <c r="BN172" i="11"/>
  <c r="BN167" i="11"/>
  <c r="BN31" i="11"/>
  <c r="BN327" i="11" s="1"/>
  <c r="BN328" i="11" s="1"/>
  <c r="DE34" i="11"/>
  <c r="DE298" i="11" s="1"/>
  <c r="DF60" i="11"/>
  <c r="BM181" i="11" l="1"/>
  <c r="BM301" i="11" s="1"/>
  <c r="DF326" i="11"/>
  <c r="DG325" i="11"/>
  <c r="DF329" i="11"/>
  <c r="BM303" i="11"/>
  <c r="BM235" i="11"/>
  <c r="BN169" i="11"/>
  <c r="BN292" i="11"/>
  <c r="BN311" i="11"/>
  <c r="BO152" i="11"/>
  <c r="BO29" i="11"/>
  <c r="BO160" i="11"/>
  <c r="BO164" i="11" s="1"/>
  <c r="BO139" i="11"/>
  <c r="BO30" i="11"/>
  <c r="BO117" i="11"/>
  <c r="BO121" i="11" s="1"/>
  <c r="BO123" i="11" s="1"/>
  <c r="BN308" i="11"/>
  <c r="BN309" i="11" s="1"/>
  <c r="BN312" i="11" s="1"/>
  <c r="BN310" i="11"/>
  <c r="BN143" i="11"/>
  <c r="BN144" i="11" s="1"/>
  <c r="BN250" i="11" s="1"/>
  <c r="BN127" i="11"/>
  <c r="BN178" i="11"/>
  <c r="BM268" i="11"/>
  <c r="DF34" i="11"/>
  <c r="DF298" i="11" s="1"/>
  <c r="DG60" i="11"/>
  <c r="BO25" i="11"/>
  <c r="BO102" i="11"/>
  <c r="BO106" i="11" s="1"/>
  <c r="BO125" i="11" s="1"/>
  <c r="BO57" i="11"/>
  <c r="BO233" i="11" l="1"/>
  <c r="BN128" i="11"/>
  <c r="DG329" i="11"/>
  <c r="DH325" i="11"/>
  <c r="DG326" i="11"/>
  <c r="BN179" i="11"/>
  <c r="BN235" i="11" s="1"/>
  <c r="BO31" i="11"/>
  <c r="BO327" i="11" s="1"/>
  <c r="BO328" i="11" s="1"/>
  <c r="DH60" i="11"/>
  <c r="DG34" i="11"/>
  <c r="DG298" i="11" s="1"/>
  <c r="BN233" i="11"/>
  <c r="BO156" i="11"/>
  <c r="BO157" i="11" s="1"/>
  <c r="BO274" i="11" s="1"/>
  <c r="BO134" i="11"/>
  <c r="BO36" i="11"/>
  <c r="BP56" i="11"/>
  <c r="BP55" i="11"/>
  <c r="BP51" i="11"/>
  <c r="BO275" i="11"/>
  <c r="BN268" i="11"/>
  <c r="BN205" i="11"/>
  <c r="BO172" i="11"/>
  <c r="BO167" i="11"/>
  <c r="BO174" i="11"/>
  <c r="BO175" i="11" s="1"/>
  <c r="BO173" i="11"/>
  <c r="BO168" i="11"/>
  <c r="BO177" i="11"/>
  <c r="BO166" i="11"/>
  <c r="BO228" i="11"/>
  <c r="BN182" i="11" l="1"/>
  <c r="BN181" i="11"/>
  <c r="BN301" i="11" s="1"/>
  <c r="BO127" i="11"/>
  <c r="BO128" i="11"/>
  <c r="DH329" i="11"/>
  <c r="DI325" i="11"/>
  <c r="DH326" i="11"/>
  <c r="BN303" i="11"/>
  <c r="BO169" i="11"/>
  <c r="BO292" i="11"/>
  <c r="BO311" i="11"/>
  <c r="BP117" i="11"/>
  <c r="BP121" i="11" s="1"/>
  <c r="BP123" i="11" s="1"/>
  <c r="BP139" i="11"/>
  <c r="BP30" i="11"/>
  <c r="BO143" i="11"/>
  <c r="BO144" i="11" s="1"/>
  <c r="BO310" i="11"/>
  <c r="BO308" i="11"/>
  <c r="BO309" i="11" s="1"/>
  <c r="BO312" i="11" s="1"/>
  <c r="BP102" i="11"/>
  <c r="BP106" i="11" s="1"/>
  <c r="BP125" i="11" s="1"/>
  <c r="BP25" i="11"/>
  <c r="BP57" i="11"/>
  <c r="BP152" i="11"/>
  <c r="BP29" i="11"/>
  <c r="BP160" i="11"/>
  <c r="BP164" i="11" s="1"/>
  <c r="BO178" i="11"/>
  <c r="DH34" i="11"/>
  <c r="DH298" i="11" s="1"/>
  <c r="DI60" i="11"/>
  <c r="BP233" i="11" l="1"/>
  <c r="DI329" i="11"/>
  <c r="DJ325" i="11"/>
  <c r="DI326" i="11"/>
  <c r="BP275" i="11"/>
  <c r="BO179" i="11"/>
  <c r="BO235" i="11" s="1"/>
  <c r="BO205" i="11"/>
  <c r="BO250" i="11"/>
  <c r="DJ60" i="11"/>
  <c r="DI34" i="11"/>
  <c r="DI298" i="11" s="1"/>
  <c r="BP168" i="11"/>
  <c r="BP172" i="11"/>
  <c r="BP174" i="11"/>
  <c r="BP175" i="11" s="1"/>
  <c r="BP166" i="11"/>
  <c r="BP167" i="11"/>
  <c r="BP173" i="11"/>
  <c r="BP177" i="11"/>
  <c r="BP228" i="11"/>
  <c r="BP156" i="11"/>
  <c r="BP157" i="11" s="1"/>
  <c r="BP274" i="11" s="1"/>
  <c r="BQ55" i="11"/>
  <c r="BP134" i="11"/>
  <c r="BP36" i="11"/>
  <c r="BQ56" i="11"/>
  <c r="BQ51" i="11"/>
  <c r="BP31" i="11"/>
  <c r="BP327" i="11" s="1"/>
  <c r="BP328" i="11" s="1"/>
  <c r="BP310" i="11" l="1"/>
  <c r="BO182" i="11"/>
  <c r="BO181" i="11"/>
  <c r="BO301" i="11" s="1"/>
  <c r="BP127" i="11"/>
  <c r="BP128" i="11"/>
  <c r="DK325" i="11"/>
  <c r="DJ326" i="11"/>
  <c r="DJ329" i="11"/>
  <c r="BP308" i="11"/>
  <c r="BP309" i="11" s="1"/>
  <c r="BP312" i="11" s="1"/>
  <c r="BO303" i="11"/>
  <c r="BP169" i="11"/>
  <c r="BP292" i="11"/>
  <c r="DJ34" i="11"/>
  <c r="DJ298" i="11" s="1"/>
  <c r="DK60" i="11"/>
  <c r="BQ25" i="11"/>
  <c r="BQ102" i="11"/>
  <c r="BQ106" i="11" s="1"/>
  <c r="BQ125" i="11" s="1"/>
  <c r="BQ57" i="11"/>
  <c r="BP143" i="11"/>
  <c r="BP144" i="11" s="1"/>
  <c r="BQ117" i="11"/>
  <c r="BQ121" i="11" s="1"/>
  <c r="BQ139" i="11"/>
  <c r="BQ30" i="11"/>
  <c r="BQ29" i="11"/>
  <c r="BQ152" i="11"/>
  <c r="BQ160" i="11"/>
  <c r="BQ164" i="11" s="1"/>
  <c r="BO268" i="11"/>
  <c r="BP311" i="11"/>
  <c r="BP178" i="11"/>
  <c r="DL325" i="11" l="1"/>
  <c r="DK326" i="11"/>
  <c r="DK329" i="11"/>
  <c r="BP179" i="11"/>
  <c r="BP182" i="11" s="1"/>
  <c r="BP250" i="11"/>
  <c r="BP268" i="11" s="1"/>
  <c r="BQ31" i="11"/>
  <c r="BQ327" i="11" s="1"/>
  <c r="BQ328" i="11" s="1"/>
  <c r="DK34" i="11"/>
  <c r="DK298" i="11" s="1"/>
  <c r="DL60" i="11"/>
  <c r="BQ156" i="11"/>
  <c r="BQ157" i="11" s="1"/>
  <c r="BQ274" i="11" s="1"/>
  <c r="BQ134" i="11"/>
  <c r="BQ36" i="11"/>
  <c r="I11" i="14"/>
  <c r="BR55" i="11"/>
  <c r="BR51" i="11"/>
  <c r="BR56" i="11"/>
  <c r="BP205" i="11"/>
  <c r="BQ123" i="11"/>
  <c r="BQ275" i="11"/>
  <c r="BQ166" i="11"/>
  <c r="BQ228" i="11"/>
  <c r="BQ174" i="11"/>
  <c r="BQ175" i="11" s="1"/>
  <c r="BQ173" i="11"/>
  <c r="BQ177" i="11"/>
  <c r="BQ172" i="11"/>
  <c r="BQ167" i="11"/>
  <c r="BQ168" i="11"/>
  <c r="L184" i="2" l="1"/>
  <c r="L184" i="28" s="1"/>
  <c r="BP181" i="11"/>
  <c r="DM325" i="11"/>
  <c r="DL326" i="11"/>
  <c r="DL329" i="11"/>
  <c r="L18" i="2"/>
  <c r="M12" i="2" s="1"/>
  <c r="BP303" i="11"/>
  <c r="BP235" i="11"/>
  <c r="BQ178" i="11"/>
  <c r="BQ169" i="11"/>
  <c r="BQ292" i="11"/>
  <c r="BR102" i="11"/>
  <c r="BR25" i="11"/>
  <c r="BR57" i="11"/>
  <c r="BR29" i="11"/>
  <c r="BR152" i="11"/>
  <c r="BR160" i="11"/>
  <c r="BR30" i="11"/>
  <c r="BR117" i="11"/>
  <c r="BR121" i="11" s="1"/>
  <c r="BR123" i="11" s="1"/>
  <c r="BR139" i="11"/>
  <c r="I19" i="14"/>
  <c r="I43" i="14" s="1"/>
  <c r="I15" i="14"/>
  <c r="E43" i="14" s="1"/>
  <c r="I18" i="14"/>
  <c r="H43" i="14" s="1"/>
  <c r="I16" i="14"/>
  <c r="F43" i="14" s="1"/>
  <c r="I17" i="14"/>
  <c r="G43" i="14" s="1"/>
  <c r="BQ311" i="11"/>
  <c r="BQ127" i="11"/>
  <c r="BQ143" i="11"/>
  <c r="BQ144" i="11" s="1"/>
  <c r="DL34" i="11"/>
  <c r="DL298" i="11" s="1"/>
  <c r="DM60" i="11"/>
  <c r="BQ308" i="11"/>
  <c r="L219" i="2" s="1"/>
  <c r="L219" i="28" s="1"/>
  <c r="BQ310" i="11"/>
  <c r="BQ128" i="11" l="1"/>
  <c r="DM326" i="11"/>
  <c r="DM329" i="11"/>
  <c r="DN325" i="11"/>
  <c r="L18" i="28"/>
  <c r="M12" i="28" s="1"/>
  <c r="L234" i="28"/>
  <c r="L234" i="2"/>
  <c r="BQ179" i="11"/>
  <c r="BQ303" i="11" s="1"/>
  <c r="L213" i="2" s="1"/>
  <c r="BP301" i="11"/>
  <c r="BR31" i="11"/>
  <c r="BR327" i="11" s="1"/>
  <c r="BR328" i="11" s="1"/>
  <c r="BQ205" i="11"/>
  <c r="BQ250" i="11"/>
  <c r="DN60" i="11"/>
  <c r="DM34" i="11"/>
  <c r="L235" i="28"/>
  <c r="L235" i="2"/>
  <c r="BR164" i="11"/>
  <c r="BR156" i="11"/>
  <c r="BQ233" i="11"/>
  <c r="L221" i="2"/>
  <c r="L221" i="28"/>
  <c r="BR106" i="11"/>
  <c r="BR125" i="11" s="1"/>
  <c r="BQ309" i="11"/>
  <c r="N52" i="14"/>
  <c r="N65" i="14"/>
  <c r="N55" i="14"/>
  <c r="N59" i="14"/>
  <c r="N60" i="14"/>
  <c r="N67" i="14"/>
  <c r="N57" i="14"/>
  <c r="N56" i="14"/>
  <c r="N54" i="14"/>
  <c r="BR134" i="11"/>
  <c r="BS55" i="11"/>
  <c r="BS56" i="11"/>
  <c r="BR36" i="11"/>
  <c r="BS51" i="11"/>
  <c r="BQ182" i="11" l="1"/>
  <c r="BQ181" i="11"/>
  <c r="BQ301" i="11" s="1"/>
  <c r="BR275" i="11"/>
  <c r="DN326" i="11"/>
  <c r="DO325" i="11"/>
  <c r="DN329" i="11"/>
  <c r="L213" i="28"/>
  <c r="BQ235" i="11"/>
  <c r="BR157" i="11"/>
  <c r="BS25" i="11"/>
  <c r="BS102" i="11"/>
  <c r="BS57" i="11"/>
  <c r="BS139" i="11"/>
  <c r="BS117" i="11"/>
  <c r="BS121" i="11" s="1"/>
  <c r="BS123" i="11" s="1"/>
  <c r="BS30" i="11"/>
  <c r="BS152" i="11"/>
  <c r="BS29" i="11"/>
  <c r="BS160" i="11"/>
  <c r="L183" i="2"/>
  <c r="L183" i="28" s="1"/>
  <c r="BQ268" i="11"/>
  <c r="DO60" i="11"/>
  <c r="DN34" i="11"/>
  <c r="DN298" i="11" s="1"/>
  <c r="BR311" i="11"/>
  <c r="BR143" i="11"/>
  <c r="BQ312" i="11"/>
  <c r="L220" i="2"/>
  <c r="L220" i="28" s="1"/>
  <c r="BR167" i="11"/>
  <c r="BR173" i="11"/>
  <c r="BR177" i="11"/>
  <c r="BR166" i="11"/>
  <c r="BR228" i="11"/>
  <c r="BR168" i="11"/>
  <c r="BR172" i="11"/>
  <c r="BR174" i="11"/>
  <c r="P232" i="28"/>
  <c r="P232" i="2"/>
  <c r="P21" i="2"/>
  <c r="P207" i="2" s="1"/>
  <c r="DM298" i="11"/>
  <c r="P21" i="28"/>
  <c r="P207" i="28" s="1"/>
  <c r="BR308" i="11" l="1"/>
  <c r="BR309" i="11" s="1"/>
  <c r="BR312" i="11" s="1"/>
  <c r="BR310" i="11"/>
  <c r="BR233" i="11"/>
  <c r="BR128" i="11"/>
  <c r="BR127" i="11"/>
  <c r="DO329" i="11"/>
  <c r="DP325" i="11"/>
  <c r="DO326" i="11"/>
  <c r="BR169" i="11"/>
  <c r="BS156" i="11"/>
  <c r="BS157" i="11" s="1"/>
  <c r="BT55" i="11"/>
  <c r="BT56" i="11"/>
  <c r="BS134" i="11"/>
  <c r="BS36" i="11"/>
  <c r="BT51" i="11"/>
  <c r="BS106" i="11"/>
  <c r="BS125" i="11" s="1"/>
  <c r="P233" i="2"/>
  <c r="P233" i="28"/>
  <c r="BS31" i="11"/>
  <c r="BS327" i="11" s="1"/>
  <c r="BS328" i="11" s="1"/>
  <c r="L222" i="2"/>
  <c r="L222" i="28" s="1"/>
  <c r="P236" i="2"/>
  <c r="P236" i="28"/>
  <c r="BR175" i="11"/>
  <c r="BR144" i="11"/>
  <c r="DO34" i="11"/>
  <c r="DO298" i="11" s="1"/>
  <c r="DP60" i="11"/>
  <c r="BS164" i="11"/>
  <c r="BR274" i="11"/>
  <c r="BS275" i="11" l="1"/>
  <c r="DP329" i="11"/>
  <c r="DQ325" i="11"/>
  <c r="DP326" i="11"/>
  <c r="BT117" i="11"/>
  <c r="BT121" i="11" s="1"/>
  <c r="BT123" i="11" s="1"/>
  <c r="BT30" i="11"/>
  <c r="BT139" i="11"/>
  <c r="DP34" i="11"/>
  <c r="DP298" i="11" s="1"/>
  <c r="DQ60" i="11"/>
  <c r="BT152" i="11"/>
  <c r="BT29" i="11"/>
  <c r="BT160" i="11"/>
  <c r="BS168" i="11"/>
  <c r="BS177" i="11"/>
  <c r="BS172" i="11"/>
  <c r="BS166" i="11"/>
  <c r="BS167" i="11"/>
  <c r="BS228" i="11"/>
  <c r="BS174" i="11"/>
  <c r="BS173" i="11"/>
  <c r="BS143" i="11"/>
  <c r="BR178" i="11"/>
  <c r="BR179" i="11" s="1"/>
  <c r="BR181" i="11" s="1"/>
  <c r="BS311" i="11"/>
  <c r="BR205" i="11"/>
  <c r="BR250" i="11"/>
  <c r="BR292" i="11"/>
  <c r="BS274" i="11"/>
  <c r="BT25" i="11"/>
  <c r="BT102" i="11"/>
  <c r="BT57" i="11"/>
  <c r="BS310" i="11" l="1"/>
  <c r="BR182" i="11"/>
  <c r="BS308" i="11"/>
  <c r="BS309" i="11" s="1"/>
  <c r="BS312" i="11" s="1"/>
  <c r="BS233" i="11"/>
  <c r="BS128" i="11"/>
  <c r="BS127" i="11"/>
  <c r="DQ329" i="11"/>
  <c r="DR325" i="11"/>
  <c r="DQ326" i="11"/>
  <c r="BT31" i="11"/>
  <c r="BT327" i="11" s="1"/>
  <c r="BT328" i="11" s="1"/>
  <c r="BS175" i="11"/>
  <c r="BS178" i="11" s="1"/>
  <c r="BT164" i="11"/>
  <c r="DQ34" i="11"/>
  <c r="DQ298" i="11" s="1"/>
  <c r="DR60" i="11"/>
  <c r="BR235" i="11"/>
  <c r="BR303" i="11"/>
  <c r="BT156" i="11"/>
  <c r="BT157" i="11" s="1"/>
  <c r="BT274" i="11" s="1"/>
  <c r="BT36" i="11"/>
  <c r="BU55" i="11"/>
  <c r="BU56" i="11"/>
  <c r="BT134" i="11"/>
  <c r="BU51" i="11"/>
  <c r="BT106" i="11"/>
  <c r="BT125" i="11" s="1"/>
  <c r="BR268" i="11"/>
  <c r="BS144" i="11"/>
  <c r="BS250" i="11" s="1"/>
  <c r="BS292" i="11"/>
  <c r="BS169" i="11"/>
  <c r="BT275" i="11" l="1"/>
  <c r="DS325" i="11"/>
  <c r="DR326" i="11"/>
  <c r="DR329" i="11"/>
  <c r="BT292" i="11"/>
  <c r="BU152" i="11"/>
  <c r="BU29" i="11"/>
  <c r="BU160" i="11"/>
  <c r="BT143" i="11"/>
  <c r="BT144" i="11" s="1"/>
  <c r="BT205" i="11" s="1"/>
  <c r="BT311" i="11"/>
  <c r="BU117" i="11"/>
  <c r="BU121" i="11" s="1"/>
  <c r="BU123" i="11" s="1"/>
  <c r="BU139" i="11"/>
  <c r="BU30" i="11"/>
  <c r="BR301" i="11"/>
  <c r="BS268" i="11"/>
  <c r="DR34" i="11"/>
  <c r="DR298" i="11" s="1"/>
  <c r="DS60" i="11"/>
  <c r="BT174" i="11"/>
  <c r="BT177" i="11"/>
  <c r="BT166" i="11"/>
  <c r="BT173" i="11"/>
  <c r="BT168" i="11"/>
  <c r="BT228" i="11"/>
  <c r="BT172" i="11"/>
  <c r="BT167" i="11"/>
  <c r="BS179" i="11"/>
  <c r="BS181" i="11" s="1"/>
  <c r="BS205" i="11"/>
  <c r="BU102" i="11"/>
  <c r="BU25" i="11"/>
  <c r="BU57" i="11"/>
  <c r="BT308" i="11" l="1"/>
  <c r="BT309" i="11" s="1"/>
  <c r="BT312" i="11" s="1"/>
  <c r="BS182" i="11"/>
  <c r="BT310" i="11"/>
  <c r="BT233" i="11"/>
  <c r="BT128" i="11"/>
  <c r="BT127" i="11"/>
  <c r="DT325" i="11"/>
  <c r="DS326" i="11"/>
  <c r="DS329" i="11"/>
  <c r="BU31" i="11"/>
  <c r="BU327" i="11" s="1"/>
  <c r="BU328" i="11" s="1"/>
  <c r="BT175" i="11"/>
  <c r="BT178" i="11" s="1"/>
  <c r="DS34" i="11"/>
  <c r="DS298" i="11" s="1"/>
  <c r="DT60" i="11"/>
  <c r="BU164" i="11"/>
  <c r="BU106" i="11"/>
  <c r="BU125" i="11" s="1"/>
  <c r="BS301" i="11"/>
  <c r="BT250" i="11"/>
  <c r="BU156" i="11"/>
  <c r="BU157" i="11" s="1"/>
  <c r="BU274" i="11" s="1"/>
  <c r="BS235" i="11"/>
  <c r="BS303" i="11"/>
  <c r="BU36" i="11"/>
  <c r="BV56" i="11"/>
  <c r="BV55" i="11"/>
  <c r="BU134" i="11"/>
  <c r="BV51" i="11"/>
  <c r="BT169" i="11"/>
  <c r="BU128" i="11" l="1"/>
  <c r="DU325" i="11"/>
  <c r="DT326" i="11"/>
  <c r="DT329" i="11"/>
  <c r="BT179" i="11"/>
  <c r="BT235" i="11" s="1"/>
  <c r="BU292" i="11"/>
  <c r="BU143" i="11"/>
  <c r="BU144" i="11" s="1"/>
  <c r="BV152" i="11"/>
  <c r="BV29" i="11"/>
  <c r="BV160" i="11"/>
  <c r="BV25" i="11"/>
  <c r="BV102" i="11"/>
  <c r="BV57" i="11"/>
  <c r="BV139" i="11"/>
  <c r="BV117" i="11"/>
  <c r="BV121" i="11" s="1"/>
  <c r="BV123" i="11" s="1"/>
  <c r="BV30" i="11"/>
  <c r="BU177" i="11"/>
  <c r="BU168" i="11"/>
  <c r="BU166" i="11"/>
  <c r="BU172" i="11"/>
  <c r="BU167" i="11"/>
  <c r="BU228" i="11"/>
  <c r="BU173" i="11"/>
  <c r="BU174" i="11"/>
  <c r="BU275" i="11"/>
  <c r="BU311" i="11"/>
  <c r="BT268" i="11"/>
  <c r="DT34" i="11"/>
  <c r="DT298" i="11" s="1"/>
  <c r="DU60" i="11"/>
  <c r="BU233" i="11" l="1"/>
  <c r="BT182" i="11"/>
  <c r="BT181" i="11"/>
  <c r="BU127" i="11"/>
  <c r="DU326" i="11"/>
  <c r="DU329" i="11"/>
  <c r="DV325" i="11"/>
  <c r="BT303" i="11"/>
  <c r="BU169" i="11"/>
  <c r="BV31" i="11"/>
  <c r="BV327" i="11" s="1"/>
  <c r="BV328" i="11" s="1"/>
  <c r="BU205" i="11"/>
  <c r="BU250" i="11"/>
  <c r="BW55" i="11"/>
  <c r="BW56" i="11"/>
  <c r="BV134" i="11"/>
  <c r="BV36" i="11"/>
  <c r="BW51" i="11"/>
  <c r="BU175" i="11"/>
  <c r="BU178" i="11" s="1"/>
  <c r="BV106" i="11"/>
  <c r="BV125" i="11" s="1"/>
  <c r="DU34" i="11"/>
  <c r="DU298" i="11" s="1"/>
  <c r="DV60" i="11"/>
  <c r="BU310" i="11"/>
  <c r="BU308" i="11"/>
  <c r="BU309" i="11" s="1"/>
  <c r="BU312" i="11" s="1"/>
  <c r="BV164" i="11"/>
  <c r="BV156" i="11"/>
  <c r="BV157" i="11" s="1"/>
  <c r="BV274" i="11" s="1"/>
  <c r="BV275" i="11" l="1"/>
  <c r="DV326" i="11"/>
  <c r="DW325" i="11"/>
  <c r="DV329" i="11"/>
  <c r="BT301" i="11"/>
  <c r="BU179" i="11"/>
  <c r="BW25" i="11"/>
  <c r="BW102" i="11"/>
  <c r="BW106" i="11" s="1"/>
  <c r="BW125" i="11" s="1"/>
  <c r="BW57" i="11"/>
  <c r="BV311" i="11"/>
  <c r="BV143" i="11"/>
  <c r="BV144" i="11" s="1"/>
  <c r="BU268" i="11"/>
  <c r="BV292" i="11"/>
  <c r="BW30" i="11"/>
  <c r="BW139" i="11"/>
  <c r="BW117" i="11"/>
  <c r="BW121" i="11" s="1"/>
  <c r="BW123" i="11" s="1"/>
  <c r="BW29" i="11"/>
  <c r="BW152" i="11"/>
  <c r="BW160" i="11"/>
  <c r="BW164" i="11" s="1"/>
  <c r="DV34" i="11"/>
  <c r="DV298" i="11" s="1"/>
  <c r="DW60" i="11"/>
  <c r="BV174" i="11"/>
  <c r="BV167" i="11"/>
  <c r="BV172" i="11"/>
  <c r="BV228" i="11"/>
  <c r="BV173" i="11"/>
  <c r="BV166" i="11"/>
  <c r="BV177" i="11"/>
  <c r="BV168" i="11"/>
  <c r="BV310" i="11" l="1"/>
  <c r="BW233" i="11"/>
  <c r="BV308" i="11"/>
  <c r="BV309" i="11" s="1"/>
  <c r="BV312" i="11" s="1"/>
  <c r="BU235" i="11"/>
  <c r="BU182" i="11"/>
  <c r="BU181" i="11"/>
  <c r="BU301" i="11" s="1"/>
  <c r="BV233" i="11"/>
  <c r="BV128" i="11"/>
  <c r="BV127" i="11"/>
  <c r="DW329" i="11"/>
  <c r="DX325" i="11"/>
  <c r="DW326" i="11"/>
  <c r="BU303" i="11"/>
  <c r="BV169" i="11"/>
  <c r="BV205" i="11"/>
  <c r="BV250" i="11"/>
  <c r="BV175" i="11"/>
  <c r="BV178" i="11" s="1"/>
  <c r="BW156" i="11"/>
  <c r="BW157" i="11" s="1"/>
  <c r="BX56" i="11"/>
  <c r="BW36" i="11"/>
  <c r="BX55" i="11"/>
  <c r="BW134" i="11"/>
  <c r="BX51" i="11"/>
  <c r="DW34" i="11"/>
  <c r="DW298" i="11" s="1"/>
  <c r="DX60" i="11"/>
  <c r="BW174" i="11"/>
  <c r="BW175" i="11" s="1"/>
  <c r="BW172" i="11"/>
  <c r="BW167" i="11"/>
  <c r="BW168" i="11"/>
  <c r="BW177" i="11"/>
  <c r="BW166" i="11"/>
  <c r="BW228" i="11"/>
  <c r="BW173" i="11"/>
  <c r="BW31" i="11"/>
  <c r="BW327" i="11" s="1"/>
  <c r="BW328" i="11" s="1"/>
  <c r="BW275" i="11"/>
  <c r="BW127" i="11" l="1"/>
  <c r="BW128" i="11"/>
  <c r="DX326" i="11"/>
  <c r="DX329" i="11"/>
  <c r="DY325" i="11"/>
  <c r="BV179" i="11"/>
  <c r="BV235" i="11" s="1"/>
  <c r="BW169" i="11"/>
  <c r="BW274" i="11"/>
  <c r="BX25" i="11"/>
  <c r="BX102" i="11"/>
  <c r="BX106" i="11" s="1"/>
  <c r="BX125" i="11" s="1"/>
  <c r="BX57" i="11"/>
  <c r="BW143" i="11"/>
  <c r="BW144" i="11" s="1"/>
  <c r="DY60" i="11"/>
  <c r="DY34" i="11" s="1"/>
  <c r="DX34" i="11"/>
  <c r="DX298" i="11" s="1"/>
  <c r="BX29" i="11"/>
  <c r="BX152" i="11"/>
  <c r="BX160" i="11"/>
  <c r="BX164" i="11" s="1"/>
  <c r="BW308" i="11"/>
  <c r="BW309" i="11" s="1"/>
  <c r="BW312" i="11" s="1"/>
  <c r="BW310" i="11"/>
  <c r="BW178" i="11"/>
  <c r="BW311" i="11"/>
  <c r="BX30" i="11"/>
  <c r="BX139" i="11"/>
  <c r="BX117" i="11"/>
  <c r="BX121" i="11" s="1"/>
  <c r="BX123" i="11" s="1"/>
  <c r="BV268" i="11"/>
  <c r="BX233" i="11" l="1"/>
  <c r="BV182" i="11"/>
  <c r="BV181" i="11"/>
  <c r="BV301" i="11" s="1"/>
  <c r="DY329" i="11"/>
  <c r="DY326" i="11"/>
  <c r="BV303" i="11"/>
  <c r="BW179" i="11"/>
  <c r="BW235" i="11" s="1"/>
  <c r="BX275" i="11"/>
  <c r="BW205" i="11"/>
  <c r="BW250" i="11"/>
  <c r="Q21" i="2"/>
  <c r="Q207" i="2" s="1"/>
  <c r="Q21" i="28"/>
  <c r="Q207" i="28" s="1"/>
  <c r="DY298" i="11"/>
  <c r="BX174" i="11"/>
  <c r="BX175" i="11" s="1"/>
  <c r="BX173" i="11"/>
  <c r="BX167" i="11"/>
  <c r="BX172" i="11"/>
  <c r="BX166" i="11"/>
  <c r="BX177" i="11"/>
  <c r="BX168" i="11"/>
  <c r="BX228" i="11"/>
  <c r="BX31" i="11"/>
  <c r="BX327" i="11" s="1"/>
  <c r="BX328" i="11" s="1"/>
  <c r="BW292" i="11"/>
  <c r="BX156" i="11"/>
  <c r="BX157" i="11" s="1"/>
  <c r="BX274" i="11" s="1"/>
  <c r="BY55" i="11"/>
  <c r="BY56" i="11"/>
  <c r="BX134" i="11"/>
  <c r="BX36" i="11"/>
  <c r="BY51" i="11"/>
  <c r="BX308" i="11" l="1"/>
  <c r="BX309" i="11" s="1"/>
  <c r="BX312" i="11" s="1"/>
  <c r="BW182" i="11"/>
  <c r="BW181" i="11"/>
  <c r="BW301" i="11" s="1"/>
  <c r="BX127" i="11"/>
  <c r="BX128" i="11"/>
  <c r="BW303" i="11"/>
  <c r="BX310" i="11"/>
  <c r="BX169" i="11"/>
  <c r="BX292" i="11"/>
  <c r="BX143" i="11"/>
  <c r="BX144" i="11" s="1"/>
  <c r="Q232" i="28"/>
  <c r="Q232" i="2"/>
  <c r="BW268" i="11"/>
  <c r="BY139" i="11"/>
  <c r="BY117" i="11"/>
  <c r="BY121" i="11" s="1"/>
  <c r="BY30" i="11"/>
  <c r="BY152" i="11"/>
  <c r="BY29" i="11"/>
  <c r="BY160" i="11"/>
  <c r="BY164" i="11" s="1"/>
  <c r="BX178" i="11"/>
  <c r="BY25" i="11"/>
  <c r="BY102" i="11"/>
  <c r="BY106" i="11" s="1"/>
  <c r="BY125" i="11" s="1"/>
  <c r="BY57" i="11"/>
  <c r="BX311" i="11"/>
  <c r="BX179" i="11" l="1"/>
  <c r="BX235" i="11" s="1"/>
  <c r="BY156" i="11"/>
  <c r="BY157" i="11" s="1"/>
  <c r="BY274" i="11" s="1"/>
  <c r="BX205" i="11"/>
  <c r="BX250" i="11"/>
  <c r="BZ55" i="11"/>
  <c r="BY134" i="11"/>
  <c r="BY36" i="11"/>
  <c r="BZ56" i="11"/>
  <c r="BZ51" i="11"/>
  <c r="BY172" i="11"/>
  <c r="BY173" i="11"/>
  <c r="BY166" i="11"/>
  <c r="BY177" i="11"/>
  <c r="BY167" i="11"/>
  <c r="BY174" i="11"/>
  <c r="BY175" i="11" s="1"/>
  <c r="BY168" i="11"/>
  <c r="BY228" i="11"/>
  <c r="BY31" i="11"/>
  <c r="BY327" i="11" s="1"/>
  <c r="BY328" i="11" s="1"/>
  <c r="BY123" i="11"/>
  <c r="BY275" i="11"/>
  <c r="Q236" i="2"/>
  <c r="Q236" i="28"/>
  <c r="Q233" i="2"/>
  <c r="Q233" i="28"/>
  <c r="BX182" i="11" l="1"/>
  <c r="BX181" i="11"/>
  <c r="BX301" i="11" s="1"/>
  <c r="BX303" i="11"/>
  <c r="BY169" i="11"/>
  <c r="BY292" i="11"/>
  <c r="BZ25" i="11"/>
  <c r="BZ102" i="11"/>
  <c r="BZ106" i="11" s="1"/>
  <c r="BZ125" i="11" s="1"/>
  <c r="BZ57" i="11"/>
  <c r="BY308" i="11"/>
  <c r="BY309" i="11" s="1"/>
  <c r="BY312" i="11" s="1"/>
  <c r="BY310" i="11"/>
  <c r="BY178" i="11"/>
  <c r="BZ117" i="11"/>
  <c r="BZ121" i="11" s="1"/>
  <c r="BZ123" i="11" s="1"/>
  <c r="BZ30" i="11"/>
  <c r="BZ139" i="11"/>
  <c r="BX268" i="11"/>
  <c r="BY127" i="11"/>
  <c r="BY311" i="11"/>
  <c r="BY143" i="11"/>
  <c r="BY144" i="11" s="1"/>
  <c r="BZ152" i="11"/>
  <c r="BZ29" i="11"/>
  <c r="BZ160" i="11"/>
  <c r="BZ164" i="11" s="1"/>
  <c r="BZ233" i="11" l="1"/>
  <c r="BY128" i="11"/>
  <c r="BY179" i="11"/>
  <c r="BY235" i="11" s="1"/>
  <c r="BY205" i="11"/>
  <c r="BY250" i="11"/>
  <c r="BZ36" i="11"/>
  <c r="BZ134" i="11"/>
  <c r="CA56" i="11"/>
  <c r="CA55" i="11"/>
  <c r="CA51" i="11"/>
  <c r="BZ228" i="11"/>
  <c r="BZ174" i="11"/>
  <c r="BZ175" i="11" s="1"/>
  <c r="BZ173" i="11"/>
  <c r="BZ177" i="11"/>
  <c r="BZ168" i="11"/>
  <c r="BZ167" i="11"/>
  <c r="BZ166" i="11"/>
  <c r="BZ172" i="11"/>
  <c r="BZ31" i="11"/>
  <c r="BZ327" i="11" s="1"/>
  <c r="BZ328" i="11" s="1"/>
  <c r="BZ275" i="11"/>
  <c r="BY233" i="11"/>
  <c r="BZ156" i="11"/>
  <c r="BZ157" i="11" s="1"/>
  <c r="BZ274" i="11" s="1"/>
  <c r="BY182" i="11" l="1"/>
  <c r="BY181" i="11"/>
  <c r="BY301" i="11" s="1"/>
  <c r="BZ128" i="11"/>
  <c r="BZ127" i="11"/>
  <c r="BY303" i="11"/>
  <c r="BZ178" i="11"/>
  <c r="BZ169" i="11"/>
  <c r="BZ292" i="11"/>
  <c r="CA29" i="11"/>
  <c r="CA152" i="11"/>
  <c r="CA160" i="11"/>
  <c r="CA164" i="11" s="1"/>
  <c r="CA139" i="11"/>
  <c r="CA30" i="11"/>
  <c r="CA117" i="11"/>
  <c r="CA121" i="11" s="1"/>
  <c r="CA123" i="11" s="1"/>
  <c r="CA102" i="11"/>
  <c r="CA106" i="11" s="1"/>
  <c r="CA125" i="11" s="1"/>
  <c r="CA25" i="11"/>
  <c r="CA57" i="11"/>
  <c r="BZ308" i="11"/>
  <c r="BZ309" i="11" s="1"/>
  <c r="BZ312" i="11" s="1"/>
  <c r="BZ310" i="11"/>
  <c r="BZ143" i="11"/>
  <c r="BZ144" i="11" s="1"/>
  <c r="BZ250" i="11" s="1"/>
  <c r="BZ311" i="11"/>
  <c r="BY268" i="11"/>
  <c r="CA233" i="11" l="1"/>
  <c r="BZ179" i="11"/>
  <c r="BZ182" i="11" s="1"/>
  <c r="CA31" i="11"/>
  <c r="CA327" i="11" s="1"/>
  <c r="CA328" i="11" s="1"/>
  <c r="BZ268" i="11"/>
  <c r="CA134" i="11"/>
  <c r="CB56" i="11"/>
  <c r="CB55" i="11"/>
  <c r="CA36" i="11"/>
  <c r="CB51" i="11"/>
  <c r="CA172" i="11"/>
  <c r="CA166" i="11"/>
  <c r="CA167" i="11"/>
  <c r="CA174" i="11"/>
  <c r="CA175" i="11" s="1"/>
  <c r="CA228" i="11"/>
  <c r="CA177" i="11"/>
  <c r="CA173" i="11"/>
  <c r="CA168" i="11"/>
  <c r="CA156" i="11"/>
  <c r="CA157" i="11" s="1"/>
  <c r="CA274" i="11" s="1"/>
  <c r="BZ205" i="11"/>
  <c r="CA275" i="11"/>
  <c r="BZ181" i="11" l="1"/>
  <c r="BZ301" i="11" s="1"/>
  <c r="CA128" i="11"/>
  <c r="CA127" i="11"/>
  <c r="BZ235" i="11"/>
  <c r="BZ303" i="11"/>
  <c r="CA169" i="11"/>
  <c r="CA178" i="11"/>
  <c r="CB102" i="11"/>
  <c r="CB106" i="11" s="1"/>
  <c r="CB125" i="11" s="1"/>
  <c r="CB25" i="11"/>
  <c r="CB57" i="11"/>
  <c r="CA311" i="11"/>
  <c r="CA292" i="11"/>
  <c r="CA308" i="11"/>
  <c r="CA309" i="11" s="1"/>
  <c r="CA312" i="11" s="1"/>
  <c r="CA310" i="11"/>
  <c r="CB152" i="11"/>
  <c r="CB29" i="11"/>
  <c r="CB160" i="11"/>
  <c r="CB164" i="11" s="1"/>
  <c r="CB30" i="11"/>
  <c r="CB139" i="11"/>
  <c r="CB117" i="11"/>
  <c r="CB121" i="11" s="1"/>
  <c r="CB123" i="11" s="1"/>
  <c r="CA143" i="11"/>
  <c r="CA144" i="11" s="1"/>
  <c r="CB233" i="11" l="1"/>
  <c r="CA179" i="11"/>
  <c r="CA182" i="11" s="1"/>
  <c r="CA205" i="11"/>
  <c r="CA250" i="11"/>
  <c r="CC56" i="11"/>
  <c r="CC55" i="11"/>
  <c r="CB36" i="11"/>
  <c r="CB134" i="11"/>
  <c r="CC51" i="11"/>
  <c r="CB156" i="11"/>
  <c r="CB157" i="11" s="1"/>
  <c r="CB31" i="11"/>
  <c r="CB327" i="11" s="1"/>
  <c r="CB328" i="11" s="1"/>
  <c r="CB174" i="11"/>
  <c r="CB175" i="11" s="1"/>
  <c r="CB166" i="11"/>
  <c r="CB173" i="11"/>
  <c r="CB167" i="11"/>
  <c r="CB177" i="11"/>
  <c r="CB228" i="11"/>
  <c r="CB172" i="11"/>
  <c r="CB168" i="11"/>
  <c r="CB275" i="11"/>
  <c r="CA181" i="11" l="1"/>
  <c r="CA301" i="11" s="1"/>
  <c r="CB128" i="11"/>
  <c r="CB127" i="11"/>
  <c r="CA303" i="11"/>
  <c r="CA235" i="11"/>
  <c r="CB169" i="11"/>
  <c r="CB274" i="11"/>
  <c r="CC25" i="11"/>
  <c r="CC102" i="11"/>
  <c r="CC106" i="11" s="1"/>
  <c r="CC125" i="11" s="1"/>
  <c r="CC57" i="11"/>
  <c r="CB143" i="11"/>
  <c r="CB144" i="11" s="1"/>
  <c r="CB311" i="11"/>
  <c r="CC152" i="11"/>
  <c r="CC29" i="11"/>
  <c r="CC160" i="11"/>
  <c r="CC164" i="11" s="1"/>
  <c r="CC30" i="11"/>
  <c r="CC117" i="11"/>
  <c r="CC121" i="11" s="1"/>
  <c r="CC123" i="11" s="1"/>
  <c r="CC139" i="11"/>
  <c r="CB308" i="11"/>
  <c r="CB309" i="11" s="1"/>
  <c r="CB312" i="11" s="1"/>
  <c r="CB310" i="11"/>
  <c r="CB178" i="11"/>
  <c r="CA268" i="11"/>
  <c r="CC233" i="11" l="1"/>
  <c r="CB179" i="11"/>
  <c r="CB235" i="11" s="1"/>
  <c r="CC31" i="11"/>
  <c r="CC327" i="11" s="1"/>
  <c r="CC328" i="11" s="1"/>
  <c r="CB205" i="11"/>
  <c r="CB250" i="11"/>
  <c r="CC174" i="11"/>
  <c r="CC175" i="11" s="1"/>
  <c r="CC177" i="11"/>
  <c r="CC228" i="11"/>
  <c r="CC173" i="11"/>
  <c r="CC167" i="11"/>
  <c r="CC172" i="11"/>
  <c r="CC168" i="11"/>
  <c r="CC166" i="11"/>
  <c r="CC156" i="11"/>
  <c r="CC157" i="11" s="1"/>
  <c r="CC275" i="11"/>
  <c r="CB292" i="11"/>
  <c r="CC36" i="11"/>
  <c r="CC134" i="11"/>
  <c r="J11" i="14"/>
  <c r="CD56" i="11"/>
  <c r="CD55" i="11"/>
  <c r="CD51" i="11"/>
  <c r="M184" i="2" l="1"/>
  <c r="M184" i="28" s="1"/>
  <c r="CB182" i="11"/>
  <c r="CB181" i="11"/>
  <c r="CB301" i="11" s="1"/>
  <c r="CC127" i="11"/>
  <c r="CC128" i="11"/>
  <c r="M18" i="2"/>
  <c r="M18" i="28" s="1"/>
  <c r="N12" i="28" s="1"/>
  <c r="CB303" i="11"/>
  <c r="CC169" i="11"/>
  <c r="CC178" i="11"/>
  <c r="CC274" i="11"/>
  <c r="CC292" i="11" s="1"/>
  <c r="CD25" i="11"/>
  <c r="CD102" i="11"/>
  <c r="CD57" i="11"/>
  <c r="CB268" i="11"/>
  <c r="CD29" i="11"/>
  <c r="CD152" i="11"/>
  <c r="CD160" i="11"/>
  <c r="J16" i="14"/>
  <c r="F44" i="14" s="1"/>
  <c r="J18" i="14"/>
  <c r="H44" i="14" s="1"/>
  <c r="J15" i="14"/>
  <c r="E44" i="14" s="1"/>
  <c r="J19" i="14"/>
  <c r="I44" i="14" s="1"/>
  <c r="J17" i="14"/>
  <c r="G44" i="14" s="1"/>
  <c r="CD30" i="11"/>
  <c r="CD117" i="11"/>
  <c r="CD121" i="11" s="1"/>
  <c r="CD123" i="11" s="1"/>
  <c r="CD139" i="11"/>
  <c r="CC143" i="11"/>
  <c r="CC144" i="11" s="1"/>
  <c r="CC250" i="11" s="1"/>
  <c r="M234" i="28"/>
  <c r="CC308" i="11"/>
  <c r="M219" i="2" s="1"/>
  <c r="M219" i="28" s="1"/>
  <c r="CC310" i="11"/>
  <c r="CC311" i="11"/>
  <c r="N12" i="2" l="1"/>
  <c r="M234" i="2"/>
  <c r="CC179" i="11"/>
  <c r="CC235" i="11" s="1"/>
  <c r="CC309" i="11"/>
  <c r="CC312" i="11" s="1"/>
  <c r="CC268" i="11"/>
  <c r="M183" i="2"/>
  <c r="M183" i="28" s="1"/>
  <c r="CC205" i="11"/>
  <c r="O54" i="14"/>
  <c r="O65" i="14"/>
  <c r="O60" i="14"/>
  <c r="O67" i="14"/>
  <c r="O56" i="14"/>
  <c r="O57" i="14"/>
  <c r="O59" i="14"/>
  <c r="O52" i="14"/>
  <c r="O55" i="14"/>
  <c r="CD134" i="11"/>
  <c r="CD36" i="11"/>
  <c r="CE56" i="11"/>
  <c r="CE55" i="11"/>
  <c r="CE51" i="11"/>
  <c r="M221" i="2"/>
  <c r="M221" i="28"/>
  <c r="M235" i="28"/>
  <c r="M235" i="2"/>
  <c r="CD106" i="11"/>
  <c r="CD125" i="11" s="1"/>
  <c r="CD31" i="11"/>
  <c r="CD327" i="11" s="1"/>
  <c r="CD328" i="11" s="1"/>
  <c r="CD164" i="11"/>
  <c r="CD156" i="11"/>
  <c r="CD157" i="11" s="1"/>
  <c r="CD128" i="11" l="1"/>
  <c r="CC182" i="11"/>
  <c r="CC181" i="11"/>
  <c r="CC301" i="11" s="1"/>
  <c r="CC303" i="11"/>
  <c r="M220" i="2"/>
  <c r="M220" i="28" s="1"/>
  <c r="CD274" i="11"/>
  <c r="M222" i="2"/>
  <c r="M222" i="28" s="1"/>
  <c r="CE117" i="11"/>
  <c r="CE121" i="11" s="1"/>
  <c r="CE123" i="11" s="1"/>
  <c r="CE139" i="11"/>
  <c r="CE30" i="11"/>
  <c r="CD311" i="11"/>
  <c r="CD143" i="11"/>
  <c r="CE152" i="11"/>
  <c r="CE29" i="11"/>
  <c r="CE160" i="11"/>
  <c r="CD228" i="11"/>
  <c r="CD173" i="11"/>
  <c r="CD172" i="11"/>
  <c r="CD167" i="11"/>
  <c r="CD174" i="11"/>
  <c r="CD177" i="11"/>
  <c r="CD168" i="11"/>
  <c r="CD166" i="11"/>
  <c r="CD275" i="11"/>
  <c r="CE25" i="11"/>
  <c r="CE102" i="11"/>
  <c r="CE57" i="11"/>
  <c r="CD233" i="11" l="1"/>
  <c r="CD127" i="11"/>
  <c r="M213" i="2"/>
  <c r="M213" i="28"/>
  <c r="CE31" i="11"/>
  <c r="CE327" i="11" s="1"/>
  <c r="CE328" i="11" s="1"/>
  <c r="CD169" i="11"/>
  <c r="CE106" i="11"/>
  <c r="CE125" i="11" s="1"/>
  <c r="CE164" i="11"/>
  <c r="CE156" i="11"/>
  <c r="CE157" i="11" s="1"/>
  <c r="CE274" i="11" s="1"/>
  <c r="CE134" i="11"/>
  <c r="CF56" i="11"/>
  <c r="CE36" i="11"/>
  <c r="CF55" i="11"/>
  <c r="CF51" i="11"/>
  <c r="CD310" i="11"/>
  <c r="CD308" i="11"/>
  <c r="CD309" i="11" s="1"/>
  <c r="CD312" i="11" s="1"/>
  <c r="CD175" i="11"/>
  <c r="CD144" i="11"/>
  <c r="CD292" i="11"/>
  <c r="CE128" i="11" l="1"/>
  <c r="CE292" i="11"/>
  <c r="CD205" i="11"/>
  <c r="CD250" i="11"/>
  <c r="CF25" i="11"/>
  <c r="CF102" i="11"/>
  <c r="CF57" i="11"/>
  <c r="CF152" i="11"/>
  <c r="CF29" i="11"/>
  <c r="CF160" i="11"/>
  <c r="CE311" i="11"/>
  <c r="CF117" i="11"/>
  <c r="CF121" i="11" s="1"/>
  <c r="CF123" i="11" s="1"/>
  <c r="CF139" i="11"/>
  <c r="CF30" i="11"/>
  <c r="CD178" i="11"/>
  <c r="CD179" i="11" s="1"/>
  <c r="CE166" i="11"/>
  <c r="CE167" i="11"/>
  <c r="CE168" i="11"/>
  <c r="CE173" i="11"/>
  <c r="CE177" i="11"/>
  <c r="CE172" i="11"/>
  <c r="CE174" i="11"/>
  <c r="CE228" i="11"/>
  <c r="CE275" i="11"/>
  <c r="CE143" i="11"/>
  <c r="CE144" i="11" s="1"/>
  <c r="CE205" i="11" s="1"/>
  <c r="CD181" i="11" l="1"/>
  <c r="CD182" i="11"/>
  <c r="CE233" i="11"/>
  <c r="CE127" i="11"/>
  <c r="CE169" i="11"/>
  <c r="CE310" i="11"/>
  <c r="CE308" i="11"/>
  <c r="CE309" i="11" s="1"/>
  <c r="CE312" i="11" s="1"/>
  <c r="CF164" i="11"/>
  <c r="CF31" i="11"/>
  <c r="CF327" i="11" s="1"/>
  <c r="CF328" i="11" s="1"/>
  <c r="CF156" i="11"/>
  <c r="CE175" i="11"/>
  <c r="CE178" i="11" s="1"/>
  <c r="CD268" i="11"/>
  <c r="CE250" i="11"/>
  <c r="CG55" i="11"/>
  <c r="CG56" i="11"/>
  <c r="CF134" i="11"/>
  <c r="CF36" i="11"/>
  <c r="CG51" i="11"/>
  <c r="CD235" i="11"/>
  <c r="CD303" i="11"/>
  <c r="CF106" i="11"/>
  <c r="CF125" i="11" s="1"/>
  <c r="CF275" i="11" l="1"/>
  <c r="CE179" i="11"/>
  <c r="CE268" i="11"/>
  <c r="CD301" i="11"/>
  <c r="CG102" i="11"/>
  <c r="CG25" i="11"/>
  <c r="CG57" i="11"/>
  <c r="CF143" i="11"/>
  <c r="CF144" i="11" s="1"/>
  <c r="CF157" i="11"/>
  <c r="CF274" i="11" s="1"/>
  <c r="CF311" i="11"/>
  <c r="CG30" i="11"/>
  <c r="CG117" i="11"/>
  <c r="CG121" i="11" s="1"/>
  <c r="CG123" i="11" s="1"/>
  <c r="CG139" i="11"/>
  <c r="CF228" i="11"/>
  <c r="CF173" i="11"/>
  <c r="CF174" i="11"/>
  <c r="CF167" i="11"/>
  <c r="CF166" i="11"/>
  <c r="CF177" i="11"/>
  <c r="CF172" i="11"/>
  <c r="CF168" i="11"/>
  <c r="CG152" i="11"/>
  <c r="CG29" i="11"/>
  <c r="CG160" i="11"/>
  <c r="CF310" i="11" l="1"/>
  <c r="CF308" i="11"/>
  <c r="CF309" i="11" s="1"/>
  <c r="CF312" i="11" s="1"/>
  <c r="CE235" i="11"/>
  <c r="CE182" i="11"/>
  <c r="CE181" i="11"/>
  <c r="CE301" i="11" s="1"/>
  <c r="CF233" i="11"/>
  <c r="CF128" i="11"/>
  <c r="CF127" i="11"/>
  <c r="CE303" i="11"/>
  <c r="CF205" i="11"/>
  <c r="CF250" i="11"/>
  <c r="CF292" i="11"/>
  <c r="CG156" i="11"/>
  <c r="CG157" i="11" s="1"/>
  <c r="CG274" i="11" s="1"/>
  <c r="CF169" i="11"/>
  <c r="CG36" i="11"/>
  <c r="CH56" i="11"/>
  <c r="CH55" i="11"/>
  <c r="CG134" i="11"/>
  <c r="CH51" i="11"/>
  <c r="CF175" i="11"/>
  <c r="CG31" i="11"/>
  <c r="CG327" i="11" s="1"/>
  <c r="CG328" i="11" s="1"/>
  <c r="CG106" i="11"/>
  <c r="CG125" i="11" s="1"/>
  <c r="CG164" i="11"/>
  <c r="CG275" i="11" l="1"/>
  <c r="CG292" i="11"/>
  <c r="CH139" i="11"/>
  <c r="CH117" i="11"/>
  <c r="CH121" i="11" s="1"/>
  <c r="CH123" i="11" s="1"/>
  <c r="CH30" i="11"/>
  <c r="CG311" i="11"/>
  <c r="CH152" i="11"/>
  <c r="CH29" i="11"/>
  <c r="CH160" i="11"/>
  <c r="CF178" i="11"/>
  <c r="CF179" i="11" s="1"/>
  <c r="CF181" i="11" s="1"/>
  <c r="CF268" i="11"/>
  <c r="CG172" i="11"/>
  <c r="CG168" i="11"/>
  <c r="CG177" i="11"/>
  <c r="CG166" i="11"/>
  <c r="CG173" i="11"/>
  <c r="CG174" i="11"/>
  <c r="CG228" i="11"/>
  <c r="CG167" i="11"/>
  <c r="CH25" i="11"/>
  <c r="CH102" i="11"/>
  <c r="CH57" i="11"/>
  <c r="CG143" i="11"/>
  <c r="CG144" i="11" s="1"/>
  <c r="CG205" i="11" s="1"/>
  <c r="CG310" i="11" l="1"/>
  <c r="CG308" i="11"/>
  <c r="CG309" i="11" s="1"/>
  <c r="CG312" i="11" s="1"/>
  <c r="CF182" i="11"/>
  <c r="CG233" i="11"/>
  <c r="CG128" i="11"/>
  <c r="CG127" i="11"/>
  <c r="CH31" i="11"/>
  <c r="CH327" i="11" s="1"/>
  <c r="CH328" i="11" s="1"/>
  <c r="CG169" i="11"/>
  <c r="CG175" i="11"/>
  <c r="CG178" i="11" s="1"/>
  <c r="CG250" i="11"/>
  <c r="CH164" i="11"/>
  <c r="CH36" i="11"/>
  <c r="CI56" i="11"/>
  <c r="CH134" i="11"/>
  <c r="CI55" i="11"/>
  <c r="CI51" i="11"/>
  <c r="CH156" i="11"/>
  <c r="CH157" i="11" s="1"/>
  <c r="CH274" i="11" s="1"/>
  <c r="CH106" i="11"/>
  <c r="CH125" i="11" s="1"/>
  <c r="CF235" i="11"/>
  <c r="CF303" i="11"/>
  <c r="CH275" i="11" l="1"/>
  <c r="CG179" i="11"/>
  <c r="CG235" i="11" s="1"/>
  <c r="CF301" i="11"/>
  <c r="CI25" i="11"/>
  <c r="CI102" i="11"/>
  <c r="CI106" i="11" s="1"/>
  <c r="CI57" i="11"/>
  <c r="CH292" i="11"/>
  <c r="CI29" i="11"/>
  <c r="CI152" i="11"/>
  <c r="CI160" i="11"/>
  <c r="CI164" i="11" s="1"/>
  <c r="CH143" i="11"/>
  <c r="CH144" i="11" s="1"/>
  <c r="CH205" i="11" s="1"/>
  <c r="CI117" i="11"/>
  <c r="CI121" i="11" s="1"/>
  <c r="CI123" i="11" s="1"/>
  <c r="CI139" i="11"/>
  <c r="CI30" i="11"/>
  <c r="CG268" i="11"/>
  <c r="CH311" i="11"/>
  <c r="CH172" i="11"/>
  <c r="CH174" i="11"/>
  <c r="CH166" i="11"/>
  <c r="CH177" i="11"/>
  <c r="CH168" i="11"/>
  <c r="CH173" i="11"/>
  <c r="CH167" i="11"/>
  <c r="CH228" i="11"/>
  <c r="CH310" i="11" l="1"/>
  <c r="CI125" i="11"/>
  <c r="CI233" i="11" s="1"/>
  <c r="CH308" i="11"/>
  <c r="CH309" i="11" s="1"/>
  <c r="CH312" i="11" s="1"/>
  <c r="CG182" i="11"/>
  <c r="CG181" i="11"/>
  <c r="CG301" i="11" s="1"/>
  <c r="CH233" i="11"/>
  <c r="CH128" i="11"/>
  <c r="CH127" i="11"/>
  <c r="CG303" i="11"/>
  <c r="CH169" i="11"/>
  <c r="CI275" i="11"/>
  <c r="CI172" i="11"/>
  <c r="CI168" i="11"/>
  <c r="CI174" i="11"/>
  <c r="CI175" i="11" s="1"/>
  <c r="CI167" i="11"/>
  <c r="CI177" i="11"/>
  <c r="CI173" i="11"/>
  <c r="CI166" i="11"/>
  <c r="CI228" i="11"/>
  <c r="CI31" i="11"/>
  <c r="CI327" i="11" s="1"/>
  <c r="CI328" i="11" s="1"/>
  <c r="CJ56" i="11"/>
  <c r="CJ55" i="11"/>
  <c r="CI36" i="11"/>
  <c r="CI134" i="11"/>
  <c r="CJ51" i="11"/>
  <c r="CH250" i="11"/>
  <c r="CI156" i="11"/>
  <c r="CI157" i="11" s="1"/>
  <c r="CI274" i="11" s="1"/>
  <c r="CH175" i="11"/>
  <c r="CH178" i="11" s="1"/>
  <c r="CI310" i="11" l="1"/>
  <c r="CI128" i="11"/>
  <c r="CI127" i="11"/>
  <c r="CI308" i="11"/>
  <c r="CI309" i="11" s="1"/>
  <c r="CI312" i="11" s="1"/>
  <c r="CH179" i="11"/>
  <c r="CH181" i="11" s="1"/>
  <c r="CI178" i="11"/>
  <c r="CI169" i="11"/>
  <c r="CI292" i="11"/>
  <c r="CH268" i="11"/>
  <c r="CI143" i="11"/>
  <c r="CI144" i="11" s="1"/>
  <c r="CI250" i="11" s="1"/>
  <c r="CI311" i="11"/>
  <c r="CJ152" i="11"/>
  <c r="CJ29" i="11"/>
  <c r="CJ160" i="11"/>
  <c r="CJ164" i="11" s="1"/>
  <c r="CJ102" i="11"/>
  <c r="CJ106" i="11" s="1"/>
  <c r="CJ125" i="11" s="1"/>
  <c r="CJ25" i="11"/>
  <c r="CJ57" i="11"/>
  <c r="CJ117" i="11"/>
  <c r="CJ121" i="11" s="1"/>
  <c r="CJ30" i="11"/>
  <c r="CJ139" i="11"/>
  <c r="CH182" i="11" l="1"/>
  <c r="CH303" i="11"/>
  <c r="CH235" i="11"/>
  <c r="CI179" i="11"/>
  <c r="CI235" i="11" s="1"/>
  <c r="CI268" i="11"/>
  <c r="CH301" i="11"/>
  <c r="CJ156" i="11"/>
  <c r="CJ157" i="11" s="1"/>
  <c r="CJ274" i="11" s="1"/>
  <c r="CJ31" i="11"/>
  <c r="CJ327" i="11" s="1"/>
  <c r="CJ328" i="11" s="1"/>
  <c r="CI205" i="11"/>
  <c r="CK56" i="11"/>
  <c r="CK55" i="11"/>
  <c r="CJ36" i="11"/>
  <c r="CJ134" i="11"/>
  <c r="CK51" i="11"/>
  <c r="CJ123" i="11"/>
  <c r="CJ275" i="11"/>
  <c r="CJ167" i="11"/>
  <c r="CJ174" i="11"/>
  <c r="CJ175" i="11" s="1"/>
  <c r="CJ173" i="11"/>
  <c r="CJ228" i="11"/>
  <c r="CJ172" i="11"/>
  <c r="CJ166" i="11"/>
  <c r="CJ177" i="11"/>
  <c r="CJ168" i="11"/>
  <c r="CI182" i="11" l="1"/>
  <c r="CI181" i="11"/>
  <c r="CI301" i="11" s="1"/>
  <c r="CI303" i="11"/>
  <c r="CJ169" i="11"/>
  <c r="CJ178" i="11"/>
  <c r="CJ292" i="11"/>
  <c r="CJ310" i="11"/>
  <c r="CJ308" i="11"/>
  <c r="CJ309" i="11" s="1"/>
  <c r="CJ312" i="11" s="1"/>
  <c r="CJ311" i="11"/>
  <c r="CK102" i="11"/>
  <c r="CK106" i="11" s="1"/>
  <c r="CK125" i="11" s="1"/>
  <c r="CK25" i="11"/>
  <c r="CK57" i="11"/>
  <c r="CJ143" i="11"/>
  <c r="CJ144" i="11" s="1"/>
  <c r="CK29" i="11"/>
  <c r="CK152" i="11"/>
  <c r="CK160" i="11"/>
  <c r="CK164" i="11" s="1"/>
  <c r="CJ127" i="11"/>
  <c r="CK117" i="11"/>
  <c r="CK121" i="11" s="1"/>
  <c r="CK123" i="11" s="1"/>
  <c r="CK30" i="11"/>
  <c r="CK139" i="11"/>
  <c r="CK233" i="11" l="1"/>
  <c r="CJ128" i="11"/>
  <c r="CJ179" i="11"/>
  <c r="CJ235" i="11" s="1"/>
  <c r="CK31" i="11"/>
  <c r="CK327" i="11" s="1"/>
  <c r="CK328" i="11" s="1"/>
  <c r="CJ205" i="11"/>
  <c r="CJ250" i="11"/>
  <c r="CK36" i="11"/>
  <c r="CL55" i="11"/>
  <c r="CK134" i="11"/>
  <c r="CL56" i="11"/>
  <c r="CL51" i="11"/>
  <c r="CK174" i="11"/>
  <c r="CK175" i="11" s="1"/>
  <c r="CK228" i="11"/>
  <c r="CK168" i="11"/>
  <c r="CK177" i="11"/>
  <c r="CK172" i="11"/>
  <c r="CK173" i="11"/>
  <c r="CK167" i="11"/>
  <c r="CK166" i="11"/>
  <c r="CK156" i="11"/>
  <c r="CK157" i="11" s="1"/>
  <c r="CK274" i="11" s="1"/>
  <c r="CJ233" i="11"/>
  <c r="CK275" i="11"/>
  <c r="CJ182" i="11" l="1"/>
  <c r="CJ181" i="11"/>
  <c r="CJ301" i="11" s="1"/>
  <c r="CK128" i="11"/>
  <c r="CK127" i="11"/>
  <c r="CJ303" i="11"/>
  <c r="CK169" i="11"/>
  <c r="CK292" i="11"/>
  <c r="CJ268" i="11"/>
  <c r="CK178" i="11"/>
  <c r="CL102" i="11"/>
  <c r="CL106" i="11" s="1"/>
  <c r="CL125" i="11" s="1"/>
  <c r="CL25" i="11"/>
  <c r="CL57" i="11"/>
  <c r="CL139" i="11"/>
  <c r="CL117" i="11"/>
  <c r="CL121" i="11" s="1"/>
  <c r="CL123" i="11" s="1"/>
  <c r="CL30" i="11"/>
  <c r="CK308" i="11"/>
  <c r="CK309" i="11" s="1"/>
  <c r="CK312" i="11" s="1"/>
  <c r="CK310" i="11"/>
  <c r="CK143" i="11"/>
  <c r="CK144" i="11" s="1"/>
  <c r="CL152" i="11"/>
  <c r="CL29" i="11"/>
  <c r="CL160" i="11"/>
  <c r="CL164" i="11" s="1"/>
  <c r="CK311" i="11"/>
  <c r="CL233" i="11" l="1"/>
  <c r="CK179" i="11"/>
  <c r="CK181" i="11" s="1"/>
  <c r="CL275" i="11"/>
  <c r="CK205" i="11"/>
  <c r="CK250" i="11"/>
  <c r="CL156" i="11"/>
  <c r="CL157" i="11" s="1"/>
  <c r="CL274" i="11" s="1"/>
  <c r="CM55" i="11"/>
  <c r="CM56" i="11"/>
  <c r="CL134" i="11"/>
  <c r="CL36" i="11"/>
  <c r="CM51" i="11"/>
  <c r="CL31" i="11"/>
  <c r="CL327" i="11" s="1"/>
  <c r="CL328" i="11" s="1"/>
  <c r="CL174" i="11"/>
  <c r="CL175" i="11" s="1"/>
  <c r="CL172" i="11"/>
  <c r="CL168" i="11"/>
  <c r="CL167" i="11"/>
  <c r="CL177" i="11"/>
  <c r="CL173" i="11"/>
  <c r="CL166" i="11"/>
  <c r="CL228" i="11"/>
  <c r="CL308" i="11" l="1"/>
  <c r="CL309" i="11" s="1"/>
  <c r="CL312" i="11" s="1"/>
  <c r="CK182" i="11"/>
  <c r="CL127" i="11"/>
  <c r="CL128" i="11"/>
  <c r="CK303" i="11"/>
  <c r="CK235" i="11"/>
  <c r="CL310" i="11"/>
  <c r="CL169" i="11"/>
  <c r="CL178" i="11"/>
  <c r="CM152" i="11"/>
  <c r="CM29" i="11"/>
  <c r="CM160" i="11"/>
  <c r="CM164" i="11" s="1"/>
  <c r="CM102" i="11"/>
  <c r="CM106" i="11" s="1"/>
  <c r="CM125" i="11" s="1"/>
  <c r="CM25" i="11"/>
  <c r="CM57" i="11"/>
  <c r="CL292" i="11"/>
  <c r="CK301" i="11"/>
  <c r="CL311" i="11"/>
  <c r="CK268" i="11"/>
  <c r="CL143" i="11"/>
  <c r="CL144" i="11" s="1"/>
  <c r="CM139" i="11"/>
  <c r="CM30" i="11"/>
  <c r="CM117" i="11"/>
  <c r="CM121" i="11" s="1"/>
  <c r="CM31" i="11" l="1"/>
  <c r="CM327" i="11" s="1"/>
  <c r="CM328" i="11" s="1"/>
  <c r="CL179" i="11"/>
  <c r="CL303" i="11" s="1"/>
  <c r="CL205" i="11"/>
  <c r="CL250" i="11"/>
  <c r="CM134" i="11"/>
  <c r="CN55" i="11"/>
  <c r="CM36" i="11"/>
  <c r="CN56" i="11"/>
  <c r="CN51" i="11"/>
  <c r="CM168" i="11"/>
  <c r="CM177" i="11"/>
  <c r="CM174" i="11"/>
  <c r="CM175" i="11" s="1"/>
  <c r="CM166" i="11"/>
  <c r="CM167" i="11"/>
  <c r="CM173" i="11"/>
  <c r="CM228" i="11"/>
  <c r="CM172" i="11"/>
  <c r="CM123" i="11"/>
  <c r="CM275" i="11"/>
  <c r="CM156" i="11"/>
  <c r="CM157" i="11" s="1"/>
  <c r="CM274" i="11" s="1"/>
  <c r="CL182" i="11" l="1"/>
  <c r="CL181" i="11"/>
  <c r="CL301" i="11" s="1"/>
  <c r="CL235" i="11"/>
  <c r="CM169" i="11"/>
  <c r="CM292" i="11"/>
  <c r="CM178" i="11"/>
  <c r="CM310" i="11"/>
  <c r="CM308" i="11"/>
  <c r="CM309" i="11" s="1"/>
  <c r="CM312" i="11" s="1"/>
  <c r="CN102" i="11"/>
  <c r="CN106" i="11" s="1"/>
  <c r="CN125" i="11" s="1"/>
  <c r="CN25" i="11"/>
  <c r="CN57" i="11"/>
  <c r="CM127" i="11"/>
  <c r="CN139" i="11"/>
  <c r="CN30" i="11"/>
  <c r="CN117" i="11"/>
  <c r="CN121" i="11" s="1"/>
  <c r="CN123" i="11" s="1"/>
  <c r="CL268" i="11"/>
  <c r="CM311" i="11"/>
  <c r="CN29" i="11"/>
  <c r="CN152" i="11"/>
  <c r="CN160" i="11"/>
  <c r="CN164" i="11" s="1"/>
  <c r="CM143" i="11"/>
  <c r="CM144" i="11" s="1"/>
  <c r="CN233" i="11" l="1"/>
  <c r="CM128" i="11"/>
  <c r="CM179" i="11"/>
  <c r="CM303" i="11" s="1"/>
  <c r="CN31" i="11"/>
  <c r="CN327" i="11" s="1"/>
  <c r="CN328" i="11" s="1"/>
  <c r="CM205" i="11"/>
  <c r="CM250" i="11"/>
  <c r="CN228" i="11"/>
  <c r="CN167" i="11"/>
  <c r="CN174" i="11"/>
  <c r="CN175" i="11" s="1"/>
  <c r="CN173" i="11"/>
  <c r="CN172" i="11"/>
  <c r="CN168" i="11"/>
  <c r="CN177" i="11"/>
  <c r="CN166" i="11"/>
  <c r="CN275" i="11"/>
  <c r="CM233" i="11"/>
  <c r="CN156" i="11"/>
  <c r="CN157" i="11" s="1"/>
  <c r="CN274" i="11" s="1"/>
  <c r="CN134" i="11"/>
  <c r="CN36" i="11"/>
  <c r="CO55" i="11"/>
  <c r="CO56" i="11"/>
  <c r="CO51" i="11"/>
  <c r="CM182" i="11" l="1"/>
  <c r="CM181" i="11"/>
  <c r="CM301" i="11" s="1"/>
  <c r="CN127" i="11"/>
  <c r="CN128" i="11"/>
  <c r="CM235" i="11"/>
  <c r="CN169" i="11"/>
  <c r="CN178" i="11"/>
  <c r="CN292" i="11"/>
  <c r="CN311" i="11"/>
  <c r="CO152" i="11"/>
  <c r="CO29" i="11"/>
  <c r="CO160" i="11"/>
  <c r="CO164" i="11" s="1"/>
  <c r="CM268" i="11"/>
  <c r="CN143" i="11"/>
  <c r="CN144" i="11" s="1"/>
  <c r="CO102" i="11"/>
  <c r="CO106" i="11" s="1"/>
  <c r="CO125" i="11" s="1"/>
  <c r="CO25" i="11"/>
  <c r="CO57" i="11"/>
  <c r="CO117" i="11"/>
  <c r="CO121" i="11" s="1"/>
  <c r="CO123" i="11" s="1"/>
  <c r="CO139" i="11"/>
  <c r="CO30" i="11"/>
  <c r="CN310" i="11"/>
  <c r="CN308" i="11"/>
  <c r="CN309" i="11" s="1"/>
  <c r="CN312" i="11" s="1"/>
  <c r="CO233" i="11" l="1"/>
  <c r="CN179" i="11"/>
  <c r="CN303" i="11" s="1"/>
  <c r="CO275" i="11"/>
  <c r="CN205" i="11"/>
  <c r="CN250" i="11"/>
  <c r="CO36" i="11"/>
  <c r="CO134" i="11"/>
  <c r="CP56" i="11"/>
  <c r="CP55" i="11"/>
  <c r="CP51" i="11"/>
  <c r="CO31" i="11"/>
  <c r="CO327" i="11" s="1"/>
  <c r="CO328" i="11" s="1"/>
  <c r="CO174" i="11"/>
  <c r="CO175" i="11" s="1"/>
  <c r="CO177" i="11"/>
  <c r="CO168" i="11"/>
  <c r="CO167" i="11"/>
  <c r="CO173" i="11"/>
  <c r="CO172" i="11"/>
  <c r="CO228" i="11"/>
  <c r="CO166" i="11"/>
  <c r="CO156" i="11"/>
  <c r="CO157" i="11" s="1"/>
  <c r="CO274" i="11" s="1"/>
  <c r="CN182" i="11" l="1"/>
  <c r="CN181" i="11"/>
  <c r="CN301" i="11" s="1"/>
  <c r="CO127" i="11"/>
  <c r="CO128" i="11"/>
  <c r="CO308" i="11"/>
  <c r="N219" i="2" s="1"/>
  <c r="N219" i="28" s="1"/>
  <c r="N184" i="2"/>
  <c r="N184" i="28" s="1"/>
  <c r="CN235" i="11"/>
  <c r="CO310" i="11"/>
  <c r="CO169" i="11"/>
  <c r="CP30" i="11"/>
  <c r="CP117" i="11"/>
  <c r="CP121" i="11" s="1"/>
  <c r="CP139" i="11"/>
  <c r="N18" i="2"/>
  <c r="CO143" i="11"/>
  <c r="CO144" i="11" s="1"/>
  <c r="CO292" i="11"/>
  <c r="CP29" i="11"/>
  <c r="CP152" i="11"/>
  <c r="CP160" i="11"/>
  <c r="CO311" i="11"/>
  <c r="CN268" i="11"/>
  <c r="CO178" i="11"/>
  <c r="CP102" i="11"/>
  <c r="CP25" i="11"/>
  <c r="CP57" i="11"/>
  <c r="CO309" i="11" l="1"/>
  <c r="CO312" i="11" s="1"/>
  <c r="CO179" i="11"/>
  <c r="CO181" i="11" s="1"/>
  <c r="CP31" i="11"/>
  <c r="CP327" i="11" s="1"/>
  <c r="CP328" i="11" s="1"/>
  <c r="CO205" i="11"/>
  <c r="CO250" i="11"/>
  <c r="N18" i="28"/>
  <c r="O12" i="28" s="1"/>
  <c r="O12" i="2"/>
  <c r="N234" i="28"/>
  <c r="N234" i="2"/>
  <c r="CP123" i="11"/>
  <c r="N221" i="28"/>
  <c r="N221" i="2"/>
  <c r="CP164" i="11"/>
  <c r="CP156" i="11"/>
  <c r="CP157" i="11" s="1"/>
  <c r="CP274" i="11" s="1"/>
  <c r="CP134" i="11"/>
  <c r="CQ56" i="11"/>
  <c r="CQ55" i="11"/>
  <c r="CP36" i="11"/>
  <c r="CQ51" i="11"/>
  <c r="CP106" i="11"/>
  <c r="CP125" i="11" s="1"/>
  <c r="CP127" i="11" l="1"/>
  <c r="CO182" i="11"/>
  <c r="CP275" i="11"/>
  <c r="N220" i="2"/>
  <c r="N220" i="28" s="1"/>
  <c r="CO303" i="11"/>
  <c r="N213" i="2" s="1"/>
  <c r="CO235" i="11"/>
  <c r="N235" i="2"/>
  <c r="N235" i="28"/>
  <c r="CQ25" i="11"/>
  <c r="CQ102" i="11"/>
  <c r="CQ57" i="11"/>
  <c r="N222" i="2"/>
  <c r="N222" i="28" s="1"/>
  <c r="CP292" i="11"/>
  <c r="CP166" i="11"/>
  <c r="CP173" i="11"/>
  <c r="CP228" i="11"/>
  <c r="CP177" i="11"/>
  <c r="CP168" i="11"/>
  <c r="CP172" i="11"/>
  <c r="CP174" i="11"/>
  <c r="CP167" i="11"/>
  <c r="CP311" i="11"/>
  <c r="CQ152" i="11"/>
  <c r="CQ29" i="11"/>
  <c r="CQ160" i="11"/>
  <c r="CQ139" i="11"/>
  <c r="CQ30" i="11"/>
  <c r="CQ117" i="11"/>
  <c r="CQ121" i="11" s="1"/>
  <c r="CQ123" i="11" s="1"/>
  <c r="N183" i="2"/>
  <c r="N183" i="28" s="1"/>
  <c r="CO268" i="11"/>
  <c r="CP143" i="11"/>
  <c r="CO301" i="11"/>
  <c r="CP310" i="11" l="1"/>
  <c r="N213" i="28"/>
  <c r="CP308" i="11"/>
  <c r="CP309" i="11" s="1"/>
  <c r="CP312" i="11" s="1"/>
  <c r="CP128" i="11"/>
  <c r="CP169" i="11"/>
  <c r="CP233" i="11"/>
  <c r="CR55" i="11"/>
  <c r="CR56" i="11"/>
  <c r="CQ134" i="11"/>
  <c r="CQ36" i="11"/>
  <c r="CR51" i="11"/>
  <c r="CQ106" i="11"/>
  <c r="CQ125" i="11" s="1"/>
  <c r="CQ164" i="11"/>
  <c r="CQ31" i="11"/>
  <c r="CQ327" i="11" s="1"/>
  <c r="CQ328" i="11" s="1"/>
  <c r="CQ156" i="11"/>
  <c r="CQ157" i="11" s="1"/>
  <c r="CP144" i="11"/>
  <c r="CP175" i="11"/>
  <c r="CP178" i="11" s="1"/>
  <c r="CQ275" i="11" l="1"/>
  <c r="CP179" i="11"/>
  <c r="CP235" i="11" s="1"/>
  <c r="CQ274" i="11"/>
  <c r="CP205" i="11"/>
  <c r="CP250" i="11"/>
  <c r="CR102" i="11"/>
  <c r="CR25" i="11"/>
  <c r="CR57" i="11"/>
  <c r="CQ311" i="11"/>
  <c r="CQ143" i="11"/>
  <c r="CQ144" i="11" s="1"/>
  <c r="CQ205" i="11" s="1"/>
  <c r="CQ166" i="11"/>
  <c r="CQ174" i="11"/>
  <c r="CQ168" i="11"/>
  <c r="CQ228" i="11"/>
  <c r="CQ167" i="11"/>
  <c r="CQ173" i="11"/>
  <c r="CQ177" i="11"/>
  <c r="CQ172" i="11"/>
  <c r="CR117" i="11"/>
  <c r="CR121" i="11" s="1"/>
  <c r="CR123" i="11" s="1"/>
  <c r="CR30" i="11"/>
  <c r="CR139" i="11"/>
  <c r="CR29" i="11"/>
  <c r="CR152" i="11"/>
  <c r="CR160" i="11"/>
  <c r="CQ308" i="11" l="1"/>
  <c r="CQ309" i="11" s="1"/>
  <c r="CQ312" i="11" s="1"/>
  <c r="CQ310" i="11"/>
  <c r="CP182" i="11"/>
  <c r="CP181" i="11"/>
  <c r="CP301" i="11" s="1"/>
  <c r="CQ233" i="11"/>
  <c r="CQ128" i="11"/>
  <c r="CQ127" i="11"/>
  <c r="CP303" i="11"/>
  <c r="CR156" i="11"/>
  <c r="CQ175" i="11"/>
  <c r="CQ178" i="11" s="1"/>
  <c r="CQ250" i="11"/>
  <c r="CP268" i="11"/>
  <c r="CQ169" i="11"/>
  <c r="CR164" i="11"/>
  <c r="CS55" i="11"/>
  <c r="CR134" i="11"/>
  <c r="CS56" i="11"/>
  <c r="CR36" i="11"/>
  <c r="CS51" i="11"/>
  <c r="CR31" i="11"/>
  <c r="CR327" i="11" s="1"/>
  <c r="CR328" i="11" s="1"/>
  <c r="CR106" i="11"/>
  <c r="CR125" i="11" s="1"/>
  <c r="CQ292" i="11"/>
  <c r="CR128" i="11" l="1"/>
  <c r="CQ268" i="11"/>
  <c r="CQ179" i="11"/>
  <c r="CQ181" i="11" s="1"/>
  <c r="CR311" i="11"/>
  <c r="CS117" i="11"/>
  <c r="CS121" i="11" s="1"/>
  <c r="CS123" i="11" s="1"/>
  <c r="CS30" i="11"/>
  <c r="CS139" i="11"/>
  <c r="CS25" i="11"/>
  <c r="CS102" i="11"/>
  <c r="CS57" i="11"/>
  <c r="CR143" i="11"/>
  <c r="CR172" i="11"/>
  <c r="CR174" i="11"/>
  <c r="CR173" i="11"/>
  <c r="CR168" i="11"/>
  <c r="CR228" i="11"/>
  <c r="CR167" i="11"/>
  <c r="CR166" i="11"/>
  <c r="CR177" i="11"/>
  <c r="CS29" i="11"/>
  <c r="CS152" i="11"/>
  <c r="CS160" i="11"/>
  <c r="CR157" i="11"/>
  <c r="CR274" i="11" s="1"/>
  <c r="CR275" i="11"/>
  <c r="CQ182" i="11" l="1"/>
  <c r="CR233" i="11"/>
  <c r="CR127" i="11"/>
  <c r="CS106" i="11"/>
  <c r="CS125" i="11" s="1"/>
  <c r="CS164" i="11"/>
  <c r="CR175" i="11"/>
  <c r="CR178" i="11" s="1"/>
  <c r="CS31" i="11"/>
  <c r="CS327" i="11" s="1"/>
  <c r="CS328" i="11" s="1"/>
  <c r="CQ235" i="11"/>
  <c r="CQ303" i="11"/>
  <c r="CS156" i="11"/>
  <c r="CS157" i="11" s="1"/>
  <c r="CS274" i="11" s="1"/>
  <c r="CR310" i="11"/>
  <c r="CR308" i="11"/>
  <c r="CR309" i="11" s="1"/>
  <c r="CR312" i="11" s="1"/>
  <c r="CR292" i="11"/>
  <c r="CR144" i="11"/>
  <c r="CR169" i="11"/>
  <c r="CT55" i="11"/>
  <c r="CT56" i="11"/>
  <c r="CS36" i="11"/>
  <c r="CS134" i="11"/>
  <c r="CT51" i="11"/>
  <c r="CS275" i="11" l="1"/>
  <c r="CR179" i="11"/>
  <c r="CR182" i="11" s="1"/>
  <c r="CR205" i="11"/>
  <c r="CR250" i="11"/>
  <c r="CT139" i="11"/>
  <c r="CT30" i="11"/>
  <c r="CT117" i="11"/>
  <c r="CT121" i="11" s="1"/>
  <c r="CT123" i="11" s="1"/>
  <c r="CT29" i="11"/>
  <c r="CT152" i="11"/>
  <c r="CT160" i="11"/>
  <c r="CS172" i="11"/>
  <c r="CS174" i="11"/>
  <c r="CS173" i="11"/>
  <c r="CS167" i="11"/>
  <c r="CS166" i="11"/>
  <c r="CS177" i="11"/>
  <c r="CS228" i="11"/>
  <c r="CS168" i="11"/>
  <c r="CS292" i="11"/>
  <c r="CS311" i="11"/>
  <c r="CQ301" i="11"/>
  <c r="CT25" i="11"/>
  <c r="CT102" i="11"/>
  <c r="CT57" i="11"/>
  <c r="CS143" i="11"/>
  <c r="CS144" i="11" s="1"/>
  <c r="CS205" i="11" s="1"/>
  <c r="CS308" i="11" l="1"/>
  <c r="CS309" i="11" s="1"/>
  <c r="CS312" i="11" s="1"/>
  <c r="CR181" i="11"/>
  <c r="CR301" i="11" s="1"/>
  <c r="CS310" i="11"/>
  <c r="CS233" i="11"/>
  <c r="CS128" i="11"/>
  <c r="CS127" i="11"/>
  <c r="CS169" i="11"/>
  <c r="CR303" i="11"/>
  <c r="CR235" i="11"/>
  <c r="CT36" i="11"/>
  <c r="CT134" i="11"/>
  <c r="CU55" i="11"/>
  <c r="CU56" i="11"/>
  <c r="CU51" i="11"/>
  <c r="CS250" i="11"/>
  <c r="CR268" i="11"/>
  <c r="CT106" i="11"/>
  <c r="CT125" i="11" s="1"/>
  <c r="CS175" i="11"/>
  <c r="CS178" i="11" s="1"/>
  <c r="CT31" i="11"/>
  <c r="CT327" i="11" s="1"/>
  <c r="CT328" i="11" s="1"/>
  <c r="CT164" i="11"/>
  <c r="CT156" i="11"/>
  <c r="CT157" i="11" s="1"/>
  <c r="CT274" i="11" s="1"/>
  <c r="CT275" i="11" l="1"/>
  <c r="CS179" i="11"/>
  <c r="CS235" i="11" s="1"/>
  <c r="CT292" i="11"/>
  <c r="CT311" i="11"/>
  <c r="CT174" i="11"/>
  <c r="CT172" i="11"/>
  <c r="CT228" i="11"/>
  <c r="CT168" i="11"/>
  <c r="CT177" i="11"/>
  <c r="CT166" i="11"/>
  <c r="CT173" i="11"/>
  <c r="CT167" i="11"/>
  <c r="CU25" i="11"/>
  <c r="CU102" i="11"/>
  <c r="CU106" i="11" s="1"/>
  <c r="CU125" i="11" s="1"/>
  <c r="CU57" i="11"/>
  <c r="CS268" i="11"/>
  <c r="CU30" i="11"/>
  <c r="CU139" i="11"/>
  <c r="CU117" i="11"/>
  <c r="CU121" i="11" s="1"/>
  <c r="CU123" i="11" s="1"/>
  <c r="CU29" i="11"/>
  <c r="CU152" i="11"/>
  <c r="CU160" i="11"/>
  <c r="CU164" i="11" s="1"/>
  <c r="CT143" i="11"/>
  <c r="CT144" i="11" s="1"/>
  <c r="CT310" i="11" l="1"/>
  <c r="CU233" i="11"/>
  <c r="CS182" i="11"/>
  <c r="CS181" i="11"/>
  <c r="CS301" i="11" s="1"/>
  <c r="CT308" i="11"/>
  <c r="CT309" i="11" s="1"/>
  <c r="CT312" i="11" s="1"/>
  <c r="CT233" i="11"/>
  <c r="CT128" i="11"/>
  <c r="CT127" i="11"/>
  <c r="CS303" i="11"/>
  <c r="CT169" i="11"/>
  <c r="CT205" i="11"/>
  <c r="CT250" i="11"/>
  <c r="CV55" i="11"/>
  <c r="CU134" i="11"/>
  <c r="CU36" i="11"/>
  <c r="CV56" i="11"/>
  <c r="CV51" i="11"/>
  <c r="CU228" i="11"/>
  <c r="CU177" i="11"/>
  <c r="CU172" i="11"/>
  <c r="CU166" i="11"/>
  <c r="CU173" i="11"/>
  <c r="CU174" i="11"/>
  <c r="CU175" i="11" s="1"/>
  <c r="CU168" i="11"/>
  <c r="CU167" i="11"/>
  <c r="CT175" i="11"/>
  <c r="CT178" i="11" s="1"/>
  <c r="CU31" i="11"/>
  <c r="CU327" i="11" s="1"/>
  <c r="CU328" i="11" s="1"/>
  <c r="CU156" i="11"/>
  <c r="CU157" i="11" s="1"/>
  <c r="CU275" i="11"/>
  <c r="CU127" i="11" l="1"/>
  <c r="CU128" i="11"/>
  <c r="CT179" i="11"/>
  <c r="CT235" i="11" s="1"/>
  <c r="CU169" i="11"/>
  <c r="CU274" i="11"/>
  <c r="CU178" i="11"/>
  <c r="CV152" i="11"/>
  <c r="CV29" i="11"/>
  <c r="CV160" i="11"/>
  <c r="CV164" i="11" s="1"/>
  <c r="CU143" i="11"/>
  <c r="CU144" i="11" s="1"/>
  <c r="CU310" i="11"/>
  <c r="CU308" i="11"/>
  <c r="CU309" i="11" s="1"/>
  <c r="CU312" i="11" s="1"/>
  <c r="CT268" i="11"/>
  <c r="CV25" i="11"/>
  <c r="CV102" i="11"/>
  <c r="CV106" i="11" s="1"/>
  <c r="CV125" i="11" s="1"/>
  <c r="CV57" i="11"/>
  <c r="CV117" i="11"/>
  <c r="CV121" i="11" s="1"/>
  <c r="CV123" i="11" s="1"/>
  <c r="CV139" i="11"/>
  <c r="CV30" i="11"/>
  <c r="CU311" i="11"/>
  <c r="CV233" i="11" l="1"/>
  <c r="CT182" i="11"/>
  <c r="CT181" i="11"/>
  <c r="CT301" i="11" s="1"/>
  <c r="CT303" i="11"/>
  <c r="CU179" i="11"/>
  <c r="CU182" i="11" s="1"/>
  <c r="CV31" i="11"/>
  <c r="CV327" i="11" s="1"/>
  <c r="CV328" i="11" s="1"/>
  <c r="CU205" i="11"/>
  <c r="CU250" i="11"/>
  <c r="CU292" i="11"/>
  <c r="CV156" i="11"/>
  <c r="CV157" i="11" s="1"/>
  <c r="CV274" i="11" s="1"/>
  <c r="CV134" i="11"/>
  <c r="CV36" i="11"/>
  <c r="CW56" i="11"/>
  <c r="CW55" i="11"/>
  <c r="CW51" i="11"/>
  <c r="CV275" i="11"/>
  <c r="CV177" i="11"/>
  <c r="CV172" i="11"/>
  <c r="CV168" i="11"/>
  <c r="CV228" i="11"/>
  <c r="CV174" i="11"/>
  <c r="CV175" i="11" s="1"/>
  <c r="CV167" i="11"/>
  <c r="CV166" i="11"/>
  <c r="CV173" i="11"/>
  <c r="CU181" i="11" l="1"/>
  <c r="CU301" i="11" s="1"/>
  <c r="CV128" i="11"/>
  <c r="CV127" i="11"/>
  <c r="CU303" i="11"/>
  <c r="CU235" i="11"/>
  <c r="CV169" i="11"/>
  <c r="CV292" i="11"/>
  <c r="CV143" i="11"/>
  <c r="CV144" i="11" s="1"/>
  <c r="CV178" i="11"/>
  <c r="CV310" i="11"/>
  <c r="CV308" i="11"/>
  <c r="CV309" i="11" s="1"/>
  <c r="CV312" i="11" s="1"/>
  <c r="CW25" i="11"/>
  <c r="CW102" i="11"/>
  <c r="CW106" i="11" s="1"/>
  <c r="CW125" i="11" s="1"/>
  <c r="CW57" i="11"/>
  <c r="CW29" i="11"/>
  <c r="CW152" i="11"/>
  <c r="CW160" i="11"/>
  <c r="CW164" i="11" s="1"/>
  <c r="CU268" i="11"/>
  <c r="CW30" i="11"/>
  <c r="CW139" i="11"/>
  <c r="CW117" i="11"/>
  <c r="CW121" i="11" s="1"/>
  <c r="CW123" i="11" s="1"/>
  <c r="CV311" i="11"/>
  <c r="CW233" i="11" l="1"/>
  <c r="CV179" i="11"/>
  <c r="CV235" i="11" s="1"/>
  <c r="CV205" i="11"/>
  <c r="CV250" i="11"/>
  <c r="CW31" i="11"/>
  <c r="CW327" i="11" s="1"/>
  <c r="CW328" i="11" s="1"/>
  <c r="CW174" i="11"/>
  <c r="CW175" i="11" s="1"/>
  <c r="CW168" i="11"/>
  <c r="CW167" i="11"/>
  <c r="CW173" i="11"/>
  <c r="CW166" i="11"/>
  <c r="CW228" i="11"/>
  <c r="CW177" i="11"/>
  <c r="CW172" i="11"/>
  <c r="CW275" i="11"/>
  <c r="CX55" i="11"/>
  <c r="CW36" i="11"/>
  <c r="CW134" i="11"/>
  <c r="CX56" i="11"/>
  <c r="CX51" i="11"/>
  <c r="CW156" i="11"/>
  <c r="CW157" i="11" s="1"/>
  <c r="CW274" i="11" s="1"/>
  <c r="CV182" i="11" l="1"/>
  <c r="CV181" i="11"/>
  <c r="CV301" i="11" s="1"/>
  <c r="CW128" i="11"/>
  <c r="CW127" i="11"/>
  <c r="CV303" i="11"/>
  <c r="CW169" i="11"/>
  <c r="CW292" i="11"/>
  <c r="CV268" i="11"/>
  <c r="CX25" i="11"/>
  <c r="CX102" i="11"/>
  <c r="CX106" i="11" s="1"/>
  <c r="CX125" i="11" s="1"/>
  <c r="CX57" i="11"/>
  <c r="CX117" i="11"/>
  <c r="CX121" i="11" s="1"/>
  <c r="CX123" i="11" s="1"/>
  <c r="CX139" i="11"/>
  <c r="CX30" i="11"/>
  <c r="CW311" i="11"/>
  <c r="CW310" i="11"/>
  <c r="CW308" i="11"/>
  <c r="CW309" i="11" s="1"/>
  <c r="CW312" i="11" s="1"/>
  <c r="CX29" i="11"/>
  <c r="CX152" i="11"/>
  <c r="CX160" i="11"/>
  <c r="CX164" i="11" s="1"/>
  <c r="CW143" i="11"/>
  <c r="CW144" i="11" s="1"/>
  <c r="CW178" i="11"/>
  <c r="CX233" i="11" l="1"/>
  <c r="CW179" i="11"/>
  <c r="CW235" i="11" s="1"/>
  <c r="CW205" i="11"/>
  <c r="CW250" i="11"/>
  <c r="CX31" i="11"/>
  <c r="CX327" i="11" s="1"/>
  <c r="CX328" i="11" s="1"/>
  <c r="CX156" i="11"/>
  <c r="CX157" i="11" s="1"/>
  <c r="CX274" i="11" s="1"/>
  <c r="CX275" i="11"/>
  <c r="CX134" i="11"/>
  <c r="CY56" i="11"/>
  <c r="CX36" i="11"/>
  <c r="CY55" i="11"/>
  <c r="CY51" i="11"/>
  <c r="CX173" i="11"/>
  <c r="CX174" i="11"/>
  <c r="CX175" i="11" s="1"/>
  <c r="CX167" i="11"/>
  <c r="CX166" i="11"/>
  <c r="CX228" i="11"/>
  <c r="CX172" i="11"/>
  <c r="CX177" i="11"/>
  <c r="CX168" i="11"/>
  <c r="CW182" i="11" l="1"/>
  <c r="CW181" i="11"/>
  <c r="CW301" i="11" s="1"/>
  <c r="CX127" i="11"/>
  <c r="CX128" i="11"/>
  <c r="CW303" i="11"/>
  <c r="CX169" i="11"/>
  <c r="CX178" i="11"/>
  <c r="CY117" i="11"/>
  <c r="CY121" i="11" s="1"/>
  <c r="CY123" i="11" s="1"/>
  <c r="CY139" i="11"/>
  <c r="CY30" i="11"/>
  <c r="CX308" i="11"/>
  <c r="CX309" i="11" s="1"/>
  <c r="CX312" i="11" s="1"/>
  <c r="CX310" i="11"/>
  <c r="CX143" i="11"/>
  <c r="CX144" i="11" s="1"/>
  <c r="CX292" i="11"/>
  <c r="CY152" i="11"/>
  <c r="CY29" i="11"/>
  <c r="CY160" i="11"/>
  <c r="CY164" i="11" s="1"/>
  <c r="CY25" i="11"/>
  <c r="CY102" i="11"/>
  <c r="CY106" i="11" s="1"/>
  <c r="CY125" i="11" s="1"/>
  <c r="CY57" i="11"/>
  <c r="CW268" i="11"/>
  <c r="CX311" i="11"/>
  <c r="CY233" i="11" l="1"/>
  <c r="CY275" i="11"/>
  <c r="CX179" i="11"/>
  <c r="CX235" i="11" s="1"/>
  <c r="CX205" i="11"/>
  <c r="CX250" i="11"/>
  <c r="CY156" i="11"/>
  <c r="CY157" i="11" s="1"/>
  <c r="CY274" i="11" s="1"/>
  <c r="CZ55" i="11"/>
  <c r="CZ56" i="11"/>
  <c r="CY134" i="11"/>
  <c r="CY36" i="11"/>
  <c r="CZ51" i="11"/>
  <c r="CY177" i="11"/>
  <c r="CY228" i="11"/>
  <c r="CY173" i="11"/>
  <c r="CY168" i="11"/>
  <c r="CY172" i="11"/>
  <c r="CY166" i="11"/>
  <c r="CY174" i="11"/>
  <c r="CY175" i="11" s="1"/>
  <c r="CY167" i="11"/>
  <c r="CY31" i="11"/>
  <c r="CY327" i="11" s="1"/>
  <c r="CY328" i="11" s="1"/>
  <c r="CY308" i="11" l="1"/>
  <c r="CY309" i="11" s="1"/>
  <c r="CY312" i="11" s="1"/>
  <c r="CX182" i="11"/>
  <c r="CX181" i="11"/>
  <c r="CX301" i="11" s="1"/>
  <c r="CY127" i="11"/>
  <c r="CY128" i="11"/>
  <c r="CX303" i="11"/>
  <c r="CY310" i="11"/>
  <c r="CY169" i="11"/>
  <c r="CY292" i="11"/>
  <c r="CY178" i="11"/>
  <c r="CX268" i="11"/>
  <c r="CZ25" i="11"/>
  <c r="CZ102" i="11"/>
  <c r="CZ106" i="11" s="1"/>
  <c r="CZ125" i="11" s="1"/>
  <c r="CZ57" i="11"/>
  <c r="CY311" i="11"/>
  <c r="CY143" i="11"/>
  <c r="CY144" i="11" s="1"/>
  <c r="CZ117" i="11"/>
  <c r="CZ121" i="11" s="1"/>
  <c r="CZ139" i="11"/>
  <c r="CZ30" i="11"/>
  <c r="CZ152" i="11"/>
  <c r="CZ29" i="11"/>
  <c r="CZ160" i="11"/>
  <c r="CZ164" i="11" s="1"/>
  <c r="CY179" i="11" l="1"/>
  <c r="CY182" i="11" s="1"/>
  <c r="CZ31" i="11"/>
  <c r="CZ327" i="11" s="1"/>
  <c r="CZ328" i="11" s="1"/>
  <c r="CY205" i="11"/>
  <c r="CY250" i="11"/>
  <c r="CZ123" i="11"/>
  <c r="CZ275" i="11"/>
  <c r="CZ156" i="11"/>
  <c r="CZ157" i="11" s="1"/>
  <c r="CZ274" i="11" s="1"/>
  <c r="CZ134" i="11"/>
  <c r="DA56" i="11"/>
  <c r="DA55" i="11"/>
  <c r="CZ36" i="11"/>
  <c r="DA51" i="11"/>
  <c r="CZ228" i="11"/>
  <c r="CZ167" i="11"/>
  <c r="CZ177" i="11"/>
  <c r="CZ166" i="11"/>
  <c r="CZ174" i="11"/>
  <c r="CZ175" i="11" s="1"/>
  <c r="CZ168" i="11"/>
  <c r="CZ172" i="11"/>
  <c r="CZ173" i="11"/>
  <c r="CY181" i="11" l="1"/>
  <c r="CY301" i="11" s="1"/>
  <c r="CY303" i="11"/>
  <c r="CY235" i="11"/>
  <c r="CZ169" i="11"/>
  <c r="CZ292" i="11"/>
  <c r="DA29" i="11"/>
  <c r="DA152" i="11"/>
  <c r="DA160" i="11"/>
  <c r="DA164" i="11" s="1"/>
  <c r="CY268" i="11"/>
  <c r="CZ178" i="11"/>
  <c r="CZ308" i="11"/>
  <c r="CZ309" i="11" s="1"/>
  <c r="CZ312" i="11" s="1"/>
  <c r="CZ310" i="11"/>
  <c r="DA117" i="11"/>
  <c r="DA121" i="11" s="1"/>
  <c r="DA123" i="11" s="1"/>
  <c r="DA139" i="11"/>
  <c r="DA30" i="11"/>
  <c r="CZ127" i="11"/>
  <c r="CZ311" i="11"/>
  <c r="CZ143" i="11"/>
  <c r="CZ144" i="11" s="1"/>
  <c r="DA102" i="11"/>
  <c r="DA106" i="11" s="1"/>
  <c r="DA125" i="11" s="1"/>
  <c r="DA25" i="11"/>
  <c r="DA57" i="11"/>
  <c r="DA233" i="11" l="1"/>
  <c r="CZ128" i="11"/>
  <c r="CZ179" i="11"/>
  <c r="CZ235" i="11" s="1"/>
  <c r="DA31" i="11"/>
  <c r="DA327" i="11" s="1"/>
  <c r="DA328" i="11" s="1"/>
  <c r="CZ205" i="11"/>
  <c r="CZ250" i="11"/>
  <c r="DA275" i="11"/>
  <c r="DA156" i="11"/>
  <c r="DA157" i="11" s="1"/>
  <c r="DA274" i="11" s="1"/>
  <c r="DA174" i="11"/>
  <c r="DA175" i="11" s="1"/>
  <c r="DA172" i="11"/>
  <c r="DA168" i="11"/>
  <c r="DA177" i="11"/>
  <c r="DA166" i="11"/>
  <c r="DA228" i="11"/>
  <c r="DA173" i="11"/>
  <c r="DA167" i="11"/>
  <c r="CZ233" i="11"/>
  <c r="DA36" i="11"/>
  <c r="DA134" i="11"/>
  <c r="DB55" i="11"/>
  <c r="DB56" i="11"/>
  <c r="DB51" i="11"/>
  <c r="O184" i="2" l="1"/>
  <c r="O184" i="28" s="1"/>
  <c r="CZ182" i="11"/>
  <c r="CZ181" i="11"/>
  <c r="CZ301" i="11" s="1"/>
  <c r="DA127" i="11"/>
  <c r="DA128" i="11"/>
  <c r="O18" i="2"/>
  <c r="O18" i="28" s="1"/>
  <c r="P12" i="28" s="1"/>
  <c r="CZ303" i="11"/>
  <c r="DA169" i="11"/>
  <c r="DA292" i="11"/>
  <c r="DB30" i="11"/>
  <c r="DB117" i="11"/>
  <c r="DB121" i="11" s="1"/>
  <c r="DB123" i="11" s="1"/>
  <c r="DB139" i="11"/>
  <c r="CZ268" i="11"/>
  <c r="DA308" i="11"/>
  <c r="O219" i="2" s="1"/>
  <c r="O219" i="28" s="1"/>
  <c r="DA310" i="11"/>
  <c r="DB29" i="11"/>
  <c r="DB152" i="11"/>
  <c r="DB160" i="11"/>
  <c r="DA143" i="11"/>
  <c r="DA144" i="11" s="1"/>
  <c r="DA311" i="11"/>
  <c r="O234" i="2"/>
  <c r="O234" i="28"/>
  <c r="DB25" i="11"/>
  <c r="DB102" i="11"/>
  <c r="DB57" i="11"/>
  <c r="DA178" i="11"/>
  <c r="P12" i="2" l="1"/>
  <c r="DA179" i="11"/>
  <c r="DA235" i="11" s="1"/>
  <c r="DA309" i="11"/>
  <c r="DA312" i="11" s="1"/>
  <c r="DA205" i="11"/>
  <c r="DA250" i="11"/>
  <c r="O235" i="28"/>
  <c r="O235" i="2"/>
  <c r="O221" i="2"/>
  <c r="O221" i="28"/>
  <c r="DB134" i="11"/>
  <c r="DC56" i="11"/>
  <c r="DC55" i="11"/>
  <c r="DB36" i="11"/>
  <c r="DC51" i="11"/>
  <c r="DB106" i="11"/>
  <c r="DB125" i="11" s="1"/>
  <c r="DB31" i="11"/>
  <c r="DB327" i="11" s="1"/>
  <c r="DB328" i="11" s="1"/>
  <c r="DB164" i="11"/>
  <c r="DB156" i="11"/>
  <c r="DB157" i="11" s="1"/>
  <c r="DB274" i="11" s="1"/>
  <c r="DA182" i="11" l="1"/>
  <c r="DA181" i="11"/>
  <c r="DA301" i="11" s="1"/>
  <c r="DB275" i="11"/>
  <c r="O220" i="2"/>
  <c r="O220" i="28" s="1"/>
  <c r="DA303" i="11"/>
  <c r="O213" i="28" s="1"/>
  <c r="DB292" i="11"/>
  <c r="DB311" i="11"/>
  <c r="DC29" i="11"/>
  <c r="DC152" i="11"/>
  <c r="DC160" i="11"/>
  <c r="DC139" i="11"/>
  <c r="DC117" i="11"/>
  <c r="DC121" i="11" s="1"/>
  <c r="DC123" i="11" s="1"/>
  <c r="DC30" i="11"/>
  <c r="DB143" i="11"/>
  <c r="DB144" i="11" s="1"/>
  <c r="O183" i="2"/>
  <c r="O183" i="28" s="1"/>
  <c r="DA268" i="11"/>
  <c r="O222" i="2"/>
  <c r="O222" i="28" s="1"/>
  <c r="DC25" i="11"/>
  <c r="DC102" i="11"/>
  <c r="DC57" i="11"/>
  <c r="DB228" i="11"/>
  <c r="DB177" i="11"/>
  <c r="DB166" i="11"/>
  <c r="DB173" i="11"/>
  <c r="DB168" i="11"/>
  <c r="DB174" i="11"/>
  <c r="DB172" i="11"/>
  <c r="DB167" i="11"/>
  <c r="O213" i="2"/>
  <c r="DB308" i="11" l="1"/>
  <c r="DB309" i="11" s="1"/>
  <c r="DB312" i="11" s="1"/>
  <c r="DB310" i="11"/>
  <c r="DB233" i="11"/>
  <c r="DB128" i="11"/>
  <c r="DB127" i="11"/>
  <c r="DC31" i="11"/>
  <c r="DC327" i="11" s="1"/>
  <c r="DC328" i="11" s="1"/>
  <c r="DB205" i="11"/>
  <c r="DB250" i="11"/>
  <c r="DD55" i="11"/>
  <c r="DC134" i="11"/>
  <c r="DC36" i="11"/>
  <c r="DD56" i="11"/>
  <c r="DD51" i="11"/>
  <c r="DC106" i="11"/>
  <c r="DC125" i="11" s="1"/>
  <c r="DC164" i="11"/>
  <c r="DB175" i="11"/>
  <c r="DB169" i="11"/>
  <c r="DC156" i="11"/>
  <c r="DC275" i="11" l="1"/>
  <c r="DD117" i="11"/>
  <c r="DD121" i="11" s="1"/>
  <c r="DD123" i="11" s="1"/>
  <c r="DD30" i="11"/>
  <c r="DD139" i="11"/>
  <c r="DD25" i="11"/>
  <c r="DD102" i="11"/>
  <c r="DD57" i="11"/>
  <c r="DC311" i="11"/>
  <c r="DC143" i="11"/>
  <c r="DC157" i="11"/>
  <c r="DC274" i="11" s="1"/>
  <c r="DC228" i="11"/>
  <c r="DC173" i="11"/>
  <c r="DC168" i="11"/>
  <c r="DC167" i="11"/>
  <c r="DC172" i="11"/>
  <c r="DC177" i="11"/>
  <c r="DC166" i="11"/>
  <c r="DC174" i="11"/>
  <c r="DD152" i="11"/>
  <c r="DD29" i="11"/>
  <c r="DD160" i="11"/>
  <c r="DB268" i="11"/>
  <c r="DB178" i="11"/>
  <c r="DB179" i="11" s="1"/>
  <c r="DB181" i="11" s="1"/>
  <c r="DC308" i="11" l="1"/>
  <c r="DC309" i="11" s="1"/>
  <c r="DC312" i="11" s="1"/>
  <c r="DC310" i="11"/>
  <c r="DB182" i="11"/>
  <c r="DC233" i="11"/>
  <c r="DC128" i="11"/>
  <c r="DC127" i="11"/>
  <c r="DC169" i="11"/>
  <c r="DD31" i="11"/>
  <c r="DD327" i="11" s="1"/>
  <c r="DD328" i="11" s="1"/>
  <c r="DB235" i="11"/>
  <c r="DB303" i="11"/>
  <c r="DC175" i="11"/>
  <c r="DC178" i="11" s="1"/>
  <c r="DC292" i="11"/>
  <c r="DD164" i="11"/>
  <c r="DE55" i="11"/>
  <c r="DE56" i="11"/>
  <c r="DD36" i="11"/>
  <c r="DD134" i="11"/>
  <c r="DE51" i="11"/>
  <c r="DD156" i="11"/>
  <c r="DC144" i="11"/>
  <c r="DD106" i="11"/>
  <c r="DD125" i="11" s="1"/>
  <c r="DD128" i="11" l="1"/>
  <c r="DC179" i="11"/>
  <c r="DC303" i="11" s="1"/>
  <c r="DE29" i="11"/>
  <c r="DE152" i="11"/>
  <c r="DE160" i="11"/>
  <c r="DE117" i="11"/>
  <c r="DE121" i="11" s="1"/>
  <c r="DE123" i="11" s="1"/>
  <c r="DE30" i="11"/>
  <c r="DE139" i="11"/>
  <c r="DB301" i="11"/>
  <c r="DD311" i="11"/>
  <c r="DD172" i="11"/>
  <c r="DD166" i="11"/>
  <c r="DD177" i="11"/>
  <c r="DD228" i="11"/>
  <c r="DD168" i="11"/>
  <c r="DD174" i="11"/>
  <c r="DD173" i="11"/>
  <c r="DD167" i="11"/>
  <c r="DD275" i="11"/>
  <c r="DC205" i="11"/>
  <c r="DC250" i="11"/>
  <c r="DE25" i="11"/>
  <c r="DE102" i="11"/>
  <c r="DE57" i="11"/>
  <c r="DD157" i="11"/>
  <c r="DD143" i="11"/>
  <c r="DD144" i="11" s="1"/>
  <c r="DD205" i="11" s="1"/>
  <c r="DC182" i="11" l="1"/>
  <c r="DC181" i="11"/>
  <c r="DC301" i="11" s="1"/>
  <c r="DD233" i="11"/>
  <c r="DD127" i="11"/>
  <c r="DC235" i="11"/>
  <c r="DE31" i="11"/>
  <c r="DE327" i="11" s="1"/>
  <c r="DE328" i="11" s="1"/>
  <c r="DD274" i="11"/>
  <c r="DD250" i="11"/>
  <c r="DC268" i="11"/>
  <c r="DE164" i="11"/>
  <c r="DE156" i="11"/>
  <c r="DE157" i="11" s="1"/>
  <c r="DD169" i="11"/>
  <c r="DF55" i="11"/>
  <c r="DF56" i="11"/>
  <c r="DE134" i="11"/>
  <c r="DE36" i="11"/>
  <c r="DF51" i="11"/>
  <c r="DD175" i="11"/>
  <c r="DD178" i="11" s="1"/>
  <c r="DE106" i="11"/>
  <c r="DE125" i="11" s="1"/>
  <c r="DD310" i="11"/>
  <c r="DD308" i="11"/>
  <c r="DD309" i="11" s="1"/>
  <c r="DD312" i="11" s="1"/>
  <c r="DE275" i="11" l="1"/>
  <c r="DD268" i="11"/>
  <c r="DF102" i="11"/>
  <c r="DF25" i="11"/>
  <c r="DF57" i="11"/>
  <c r="DE311" i="11"/>
  <c r="DE174" i="11"/>
  <c r="DE172" i="11"/>
  <c r="DE228" i="11"/>
  <c r="DE167" i="11"/>
  <c r="DE166" i="11"/>
  <c r="DE173" i="11"/>
  <c r="DE177" i="11"/>
  <c r="DE168" i="11"/>
  <c r="DE143" i="11"/>
  <c r="DE144" i="11" s="1"/>
  <c r="DE205" i="11" s="1"/>
  <c r="DD179" i="11"/>
  <c r="DD292" i="11"/>
  <c r="DE274" i="11"/>
  <c r="DF117" i="11"/>
  <c r="DF121" i="11" s="1"/>
  <c r="DF123" i="11" s="1"/>
  <c r="DF139" i="11"/>
  <c r="DF30" i="11"/>
  <c r="DF29" i="11"/>
  <c r="DF152" i="11"/>
  <c r="DF160" i="11"/>
  <c r="DE308" i="11" l="1"/>
  <c r="DE309" i="11" s="1"/>
  <c r="DE312" i="11" s="1"/>
  <c r="DD181" i="11"/>
  <c r="DD182" i="11"/>
  <c r="DE310" i="11"/>
  <c r="DE233" i="11"/>
  <c r="DE128" i="11"/>
  <c r="DE127" i="11"/>
  <c r="DE169" i="11"/>
  <c r="DF156" i="11"/>
  <c r="DF157" i="11" s="1"/>
  <c r="DF274" i="11" s="1"/>
  <c r="DE292" i="11"/>
  <c r="DG55" i="11"/>
  <c r="DG56" i="11"/>
  <c r="DF36" i="11"/>
  <c r="DF134" i="11"/>
  <c r="DG51" i="11"/>
  <c r="DD235" i="11"/>
  <c r="DD303" i="11"/>
  <c r="DF31" i="11"/>
  <c r="DF327" i="11" s="1"/>
  <c r="DF328" i="11" s="1"/>
  <c r="DF106" i="11"/>
  <c r="DF125" i="11" s="1"/>
  <c r="DE175" i="11"/>
  <c r="DE178" i="11" s="1"/>
  <c r="DE250" i="11"/>
  <c r="DF164" i="11"/>
  <c r="DF128" i="11" l="1"/>
  <c r="DE179" i="11"/>
  <c r="DE235" i="11" s="1"/>
  <c r="DF292" i="11"/>
  <c r="DF143" i="11"/>
  <c r="DF144" i="11" s="1"/>
  <c r="DF311" i="11"/>
  <c r="DG25" i="11"/>
  <c r="DG102" i="11"/>
  <c r="DG106" i="11" s="1"/>
  <c r="DG125" i="11" s="1"/>
  <c r="DG57" i="11"/>
  <c r="DF166" i="11"/>
  <c r="DF173" i="11"/>
  <c r="DF167" i="11"/>
  <c r="DF174" i="11"/>
  <c r="DF228" i="11"/>
  <c r="DF177" i="11"/>
  <c r="DF172" i="11"/>
  <c r="DF168" i="11"/>
  <c r="DG117" i="11"/>
  <c r="DG121" i="11" s="1"/>
  <c r="DG123" i="11" s="1"/>
  <c r="DG139" i="11"/>
  <c r="DG30" i="11"/>
  <c r="DG29" i="11"/>
  <c r="DG152" i="11"/>
  <c r="DG160" i="11"/>
  <c r="DG164" i="11" s="1"/>
  <c r="DE268" i="11"/>
  <c r="DD301" i="11"/>
  <c r="DF275" i="11"/>
  <c r="DF233" i="11" l="1"/>
  <c r="DG233" i="11"/>
  <c r="DE182" i="11"/>
  <c r="DE181" i="11"/>
  <c r="DE301" i="11" s="1"/>
  <c r="DF127" i="11"/>
  <c r="DE303" i="11"/>
  <c r="DF169" i="11"/>
  <c r="DG31" i="11"/>
  <c r="DG327" i="11" s="1"/>
  <c r="DG328" i="11" s="1"/>
  <c r="DF205" i="11"/>
  <c r="DF250" i="11"/>
  <c r="DG156" i="11"/>
  <c r="DG157" i="11" s="1"/>
  <c r="DF175" i="11"/>
  <c r="DF178" i="11" s="1"/>
  <c r="DF308" i="11"/>
  <c r="DF309" i="11" s="1"/>
  <c r="DF312" i="11" s="1"/>
  <c r="DG275" i="11"/>
  <c r="DF310" i="11"/>
  <c r="DH55" i="11"/>
  <c r="DG134" i="11"/>
  <c r="DH56" i="11"/>
  <c r="DG36" i="11"/>
  <c r="DH51" i="11"/>
  <c r="DG172" i="11"/>
  <c r="DG168" i="11"/>
  <c r="DG166" i="11"/>
  <c r="DG174" i="11"/>
  <c r="DG175" i="11" s="1"/>
  <c r="DG167" i="11"/>
  <c r="DG228" i="11"/>
  <c r="DG173" i="11"/>
  <c r="DG177" i="11"/>
  <c r="DG128" i="11" l="1"/>
  <c r="DG127" i="11"/>
  <c r="DF179" i="11"/>
  <c r="DG169" i="11"/>
  <c r="DG274" i="11"/>
  <c r="DG311" i="11"/>
  <c r="DH139" i="11"/>
  <c r="DH30" i="11"/>
  <c r="DH117" i="11"/>
  <c r="DH121" i="11" s="1"/>
  <c r="DH123" i="11" s="1"/>
  <c r="DG143" i="11"/>
  <c r="DG144" i="11" s="1"/>
  <c r="DF268" i="11"/>
  <c r="DH102" i="11"/>
  <c r="DH106" i="11" s="1"/>
  <c r="DH125" i="11" s="1"/>
  <c r="DH25" i="11"/>
  <c r="DH57" i="11"/>
  <c r="DG308" i="11"/>
  <c r="DG309" i="11" s="1"/>
  <c r="DG312" i="11" s="1"/>
  <c r="DG310" i="11"/>
  <c r="DH152" i="11"/>
  <c r="DH29" i="11"/>
  <c r="DH160" i="11"/>
  <c r="DH164" i="11" s="1"/>
  <c r="DG178" i="11"/>
  <c r="DH233" i="11" l="1"/>
  <c r="DF181" i="11"/>
  <c r="DF301" i="11" s="1"/>
  <c r="DF182" i="11"/>
  <c r="DF303" i="11"/>
  <c r="DG179" i="11"/>
  <c r="DG235" i="11" s="1"/>
  <c r="DF235" i="11"/>
  <c r="DH31" i="11"/>
  <c r="DH327" i="11" s="1"/>
  <c r="DH328" i="11" s="1"/>
  <c r="DG205" i="11"/>
  <c r="DG250" i="11"/>
  <c r="DH172" i="11"/>
  <c r="DH174" i="11"/>
  <c r="DH175" i="11" s="1"/>
  <c r="DH167" i="11"/>
  <c r="DH166" i="11"/>
  <c r="DH168" i="11"/>
  <c r="DH177" i="11"/>
  <c r="DH228" i="11"/>
  <c r="DH173" i="11"/>
  <c r="DG292" i="11"/>
  <c r="DH275" i="11"/>
  <c r="DH156" i="11"/>
  <c r="DH157" i="11" s="1"/>
  <c r="DH36" i="11"/>
  <c r="DI56" i="11"/>
  <c r="DI55" i="11"/>
  <c r="DH134" i="11"/>
  <c r="DI51" i="11"/>
  <c r="DG182" i="11" l="1"/>
  <c r="DG181" i="11"/>
  <c r="DG301" i="11" s="1"/>
  <c r="DH128" i="11"/>
  <c r="DH127" i="11"/>
  <c r="DG303" i="11"/>
  <c r="DH169" i="11"/>
  <c r="DH274" i="11"/>
  <c r="DI139" i="11"/>
  <c r="DI117" i="11"/>
  <c r="DI121" i="11" s="1"/>
  <c r="DI123" i="11" s="1"/>
  <c r="DI30" i="11"/>
  <c r="DH311" i="11"/>
  <c r="DH310" i="11"/>
  <c r="DH308" i="11"/>
  <c r="DH309" i="11" s="1"/>
  <c r="DH312" i="11" s="1"/>
  <c r="DI25" i="11"/>
  <c r="DI102" i="11"/>
  <c r="DI106" i="11" s="1"/>
  <c r="DI125" i="11" s="1"/>
  <c r="DI57" i="11"/>
  <c r="DH178" i="11"/>
  <c r="DH143" i="11"/>
  <c r="DH144" i="11" s="1"/>
  <c r="DG268" i="11"/>
  <c r="DI29" i="11"/>
  <c r="DI152" i="11"/>
  <c r="DI160" i="11"/>
  <c r="DI164" i="11" s="1"/>
  <c r="DI233" i="11" l="1"/>
  <c r="DH179" i="11"/>
  <c r="DH182" i="11" s="1"/>
  <c r="DI275" i="11"/>
  <c r="DH250" i="11"/>
  <c r="DJ55" i="11"/>
  <c r="DI36" i="11"/>
  <c r="DJ56" i="11"/>
  <c r="DI134" i="11"/>
  <c r="DJ51" i="11"/>
  <c r="DI167" i="11"/>
  <c r="DI173" i="11"/>
  <c r="DI177" i="11"/>
  <c r="DI166" i="11"/>
  <c r="DI228" i="11"/>
  <c r="DI172" i="11"/>
  <c r="DI174" i="11"/>
  <c r="DI175" i="11" s="1"/>
  <c r="DI168" i="11"/>
  <c r="DH292" i="11"/>
  <c r="DI156" i="11"/>
  <c r="DI157" i="11" s="1"/>
  <c r="DI274" i="11" s="1"/>
  <c r="DI31" i="11"/>
  <c r="DI327" i="11" s="1"/>
  <c r="DI328" i="11" s="1"/>
  <c r="DH205" i="11"/>
  <c r="DI308" i="11" l="1"/>
  <c r="DI309" i="11" s="1"/>
  <c r="DI312" i="11" s="1"/>
  <c r="DH181" i="11"/>
  <c r="DH301" i="11" s="1"/>
  <c r="DI128" i="11"/>
  <c r="DI127" i="11"/>
  <c r="DH303" i="11"/>
  <c r="DH235" i="11"/>
  <c r="DI169" i="11"/>
  <c r="DI310" i="11"/>
  <c r="DI292" i="11"/>
  <c r="DJ25" i="11"/>
  <c r="DJ102" i="11"/>
  <c r="DJ106" i="11" s="1"/>
  <c r="DJ125" i="11" s="1"/>
  <c r="DJ57" i="11"/>
  <c r="DI143" i="11"/>
  <c r="DI144" i="11" s="1"/>
  <c r="DI311" i="11"/>
  <c r="DH268" i="11"/>
  <c r="DI178" i="11"/>
  <c r="DJ152" i="11"/>
  <c r="DJ29" i="11"/>
  <c r="DJ160" i="11"/>
  <c r="DJ164" i="11" s="1"/>
  <c r="DJ139" i="11"/>
  <c r="DJ30" i="11"/>
  <c r="DJ117" i="11"/>
  <c r="DJ121" i="11" s="1"/>
  <c r="DI179" i="11" l="1"/>
  <c r="DI235" i="11" s="1"/>
  <c r="DI205" i="11"/>
  <c r="DI250" i="11"/>
  <c r="DJ134" i="11"/>
  <c r="DK55" i="11"/>
  <c r="DK56" i="11"/>
  <c r="DJ36" i="11"/>
  <c r="DK51" i="11"/>
  <c r="DJ173" i="11"/>
  <c r="DJ166" i="11"/>
  <c r="DJ168" i="11"/>
  <c r="DJ167" i="11"/>
  <c r="DJ228" i="11"/>
  <c r="DJ177" i="11"/>
  <c r="DJ174" i="11"/>
  <c r="DJ175" i="11" s="1"/>
  <c r="DJ172" i="11"/>
  <c r="DJ31" i="11"/>
  <c r="DJ327" i="11" s="1"/>
  <c r="DJ328" i="11" s="1"/>
  <c r="DJ156" i="11"/>
  <c r="DJ157" i="11" s="1"/>
  <c r="DJ274" i="11" s="1"/>
  <c r="DJ123" i="11"/>
  <c r="DJ275" i="11"/>
  <c r="DI181" i="11" l="1"/>
  <c r="DI301" i="11" s="1"/>
  <c r="DI182" i="11"/>
  <c r="DJ169" i="11"/>
  <c r="DI303" i="11"/>
  <c r="DJ178" i="11"/>
  <c r="DJ311" i="11"/>
  <c r="DI268" i="11"/>
  <c r="DJ127" i="11"/>
  <c r="DK139" i="11"/>
  <c r="DK30" i="11"/>
  <c r="DK117" i="11"/>
  <c r="DK121" i="11" s="1"/>
  <c r="DK123" i="11" s="1"/>
  <c r="DK152" i="11"/>
  <c r="DK29" i="11"/>
  <c r="DK160" i="11"/>
  <c r="DK164" i="11" s="1"/>
  <c r="DJ143" i="11"/>
  <c r="DJ144" i="11" s="1"/>
  <c r="DJ292" i="11"/>
  <c r="DJ308" i="11"/>
  <c r="DJ309" i="11" s="1"/>
  <c r="DJ312" i="11" s="1"/>
  <c r="DJ310" i="11"/>
  <c r="DK25" i="11"/>
  <c r="DK102" i="11"/>
  <c r="DK106" i="11" s="1"/>
  <c r="DK125" i="11" s="1"/>
  <c r="DK57" i="11"/>
  <c r="DK233" i="11" l="1"/>
  <c r="DJ128" i="11"/>
  <c r="DJ179" i="11"/>
  <c r="DJ235" i="11" s="1"/>
  <c r="DK31" i="11"/>
  <c r="DK327" i="11" s="1"/>
  <c r="DK328" i="11" s="1"/>
  <c r="DJ205" i="11"/>
  <c r="DJ250" i="11"/>
  <c r="DJ233" i="11"/>
  <c r="DK134" i="11"/>
  <c r="DL55" i="11"/>
  <c r="DK36" i="11"/>
  <c r="DL56" i="11"/>
  <c r="DL51" i="11"/>
  <c r="DK167" i="11"/>
  <c r="DK228" i="11"/>
  <c r="DK168" i="11"/>
  <c r="DK174" i="11"/>
  <c r="DK175" i="11" s="1"/>
  <c r="DK172" i="11"/>
  <c r="DK166" i="11"/>
  <c r="DK177" i="11"/>
  <c r="DK173" i="11"/>
  <c r="DK156" i="11"/>
  <c r="DK157" i="11" s="1"/>
  <c r="DK274" i="11" s="1"/>
  <c r="DK275" i="11"/>
  <c r="DJ182" i="11" l="1"/>
  <c r="DJ181" i="11"/>
  <c r="DJ301" i="11" s="1"/>
  <c r="DK127" i="11"/>
  <c r="DK128" i="11"/>
  <c r="DJ303" i="11"/>
  <c r="DK169" i="11"/>
  <c r="DK292" i="11"/>
  <c r="DL25" i="11"/>
  <c r="DL102" i="11"/>
  <c r="DL106" i="11" s="1"/>
  <c r="DL125" i="11" s="1"/>
  <c r="DL57" i="11"/>
  <c r="DL117" i="11"/>
  <c r="DL121" i="11" s="1"/>
  <c r="DL123" i="11" s="1"/>
  <c r="DL30" i="11"/>
  <c r="DL139" i="11"/>
  <c r="DK311" i="11"/>
  <c r="DK310" i="11"/>
  <c r="DK308" i="11"/>
  <c r="DK309" i="11" s="1"/>
  <c r="DK312" i="11" s="1"/>
  <c r="DL29" i="11"/>
  <c r="DL152" i="11"/>
  <c r="DL160" i="11"/>
  <c r="DL164" i="11" s="1"/>
  <c r="DK143" i="11"/>
  <c r="DK144" i="11" s="1"/>
  <c r="DK178" i="11"/>
  <c r="DJ268" i="11"/>
  <c r="DL233" i="11" l="1"/>
  <c r="DK179" i="11"/>
  <c r="DK181" i="11" s="1"/>
  <c r="DL275" i="11"/>
  <c r="DK205" i="11"/>
  <c r="DM55" i="11"/>
  <c r="DL36" i="11"/>
  <c r="DL134" i="11"/>
  <c r="DM56" i="11"/>
  <c r="DM51" i="11"/>
  <c r="DL156" i="11"/>
  <c r="DL157" i="11" s="1"/>
  <c r="DL274" i="11" s="1"/>
  <c r="DL166" i="11"/>
  <c r="DL168" i="11"/>
  <c r="DL177" i="11"/>
  <c r="DL167" i="11"/>
  <c r="DL228" i="11"/>
  <c r="DL174" i="11"/>
  <c r="DL175" i="11" s="1"/>
  <c r="DL173" i="11"/>
  <c r="DL172" i="11"/>
  <c r="DL31" i="11"/>
  <c r="DL327" i="11" s="1"/>
  <c r="DL328" i="11" s="1"/>
  <c r="DK250" i="11"/>
  <c r="DK182" i="11" l="1"/>
  <c r="DL127" i="11"/>
  <c r="DL128" i="11"/>
  <c r="DK235" i="11"/>
  <c r="DK301" i="11"/>
  <c r="DK303" i="11"/>
  <c r="DL169" i="11"/>
  <c r="DL292" i="11"/>
  <c r="DL311" i="11"/>
  <c r="DM29" i="11"/>
  <c r="DM152" i="11"/>
  <c r="DM160" i="11"/>
  <c r="DM164" i="11" s="1"/>
  <c r="DK268" i="11"/>
  <c r="DM25" i="11"/>
  <c r="DM102" i="11"/>
  <c r="DM106" i="11" s="1"/>
  <c r="DM125" i="11" s="1"/>
  <c r="DM57" i="11"/>
  <c r="DL310" i="11"/>
  <c r="DL308" i="11"/>
  <c r="DL309" i="11" s="1"/>
  <c r="DL312" i="11" s="1"/>
  <c r="DL178" i="11"/>
  <c r="DM117" i="11"/>
  <c r="DM121" i="11" s="1"/>
  <c r="DM123" i="11" s="1"/>
  <c r="DM139" i="11"/>
  <c r="DM30" i="11"/>
  <c r="DL143" i="11"/>
  <c r="DL144" i="11" s="1"/>
  <c r="DM233" i="11" l="1"/>
  <c r="DL179" i="11"/>
  <c r="DL182" i="11" s="1"/>
  <c r="DM31" i="11"/>
  <c r="DM327" i="11" s="1"/>
  <c r="DM328" i="11" s="1"/>
  <c r="DL205" i="11"/>
  <c r="DL250" i="11"/>
  <c r="DM134" i="11"/>
  <c r="DN51" i="11"/>
  <c r="DM36" i="11"/>
  <c r="DN56" i="11"/>
  <c r="DN55" i="11"/>
  <c r="DM275" i="11"/>
  <c r="DM156" i="11"/>
  <c r="DM157" i="11" s="1"/>
  <c r="DM274" i="11" s="1"/>
  <c r="DM177" i="11"/>
  <c r="DM173" i="11"/>
  <c r="DM174" i="11"/>
  <c r="DM175" i="11" s="1"/>
  <c r="DM172" i="11"/>
  <c r="DM167" i="11"/>
  <c r="DM166" i="11"/>
  <c r="DM168" i="11"/>
  <c r="DM228" i="11"/>
  <c r="P184" i="2" l="1"/>
  <c r="P184" i="28" s="1"/>
  <c r="DL181" i="11"/>
  <c r="DL301" i="11" s="1"/>
  <c r="DM128" i="11"/>
  <c r="DM127" i="11"/>
  <c r="DL303" i="11"/>
  <c r="DL235" i="11"/>
  <c r="P18" i="2"/>
  <c r="Q12" i="2" s="1"/>
  <c r="DM169" i="11"/>
  <c r="DM292" i="11"/>
  <c r="DN29" i="11"/>
  <c r="DN152" i="11"/>
  <c r="DN160" i="11"/>
  <c r="DN30" i="11"/>
  <c r="DN117" i="11"/>
  <c r="DN121" i="11" s="1"/>
  <c r="DN123" i="11" s="1"/>
  <c r="DN139" i="11"/>
  <c r="DM311" i="11"/>
  <c r="DN102" i="11"/>
  <c r="DN25" i="11"/>
  <c r="DN57" i="11"/>
  <c r="DL268" i="11"/>
  <c r="P234" i="2"/>
  <c r="P234" i="28"/>
  <c r="DM143" i="11"/>
  <c r="DM144" i="11" s="1"/>
  <c r="DM178" i="11"/>
  <c r="DM310" i="11"/>
  <c r="DM308" i="11"/>
  <c r="P219" i="2" s="1"/>
  <c r="P219" i="28" s="1"/>
  <c r="P18" i="28" l="1"/>
  <c r="Q12" i="28" s="1"/>
  <c r="DN31" i="11"/>
  <c r="DN327" i="11" s="1"/>
  <c r="DN328" i="11" s="1"/>
  <c r="DM179" i="11"/>
  <c r="DM235" i="11" s="1"/>
  <c r="DM309" i="11"/>
  <c r="DM312" i="11" s="1"/>
  <c r="DM205" i="11"/>
  <c r="DM250" i="11"/>
  <c r="DN106" i="11"/>
  <c r="DN125" i="11" s="1"/>
  <c r="P221" i="28"/>
  <c r="P221" i="2"/>
  <c r="DN156" i="11"/>
  <c r="DN164" i="11"/>
  <c r="P235" i="28"/>
  <c r="P235" i="2"/>
  <c r="DN134" i="11"/>
  <c r="DO55" i="11"/>
  <c r="DN36" i="11"/>
  <c r="DO56" i="11"/>
  <c r="DO51" i="11"/>
  <c r="DN128" i="11" l="1"/>
  <c r="DM182" i="11"/>
  <c r="DM181" i="11"/>
  <c r="DM301" i="11" s="1"/>
  <c r="DM303" i="11"/>
  <c r="P213" i="28" s="1"/>
  <c r="P220" i="2"/>
  <c r="P220" i="28" s="1"/>
  <c r="P222" i="2"/>
  <c r="P222" i="28" s="1"/>
  <c r="DN157" i="11"/>
  <c r="DN274" i="11" s="1"/>
  <c r="DO117" i="11"/>
  <c r="DO121" i="11" s="1"/>
  <c r="DO123" i="11" s="1"/>
  <c r="DO139" i="11"/>
  <c r="DO30" i="11"/>
  <c r="DN311" i="11"/>
  <c r="DN143" i="11"/>
  <c r="DN144" i="11" s="1"/>
  <c r="DN205" i="11" s="1"/>
  <c r="DM268" i="11"/>
  <c r="P183" i="2"/>
  <c r="P183" i="28" s="1"/>
  <c r="DO29" i="11"/>
  <c r="DO152" i="11"/>
  <c r="DO160" i="11"/>
  <c r="DN166" i="11"/>
  <c r="DN173" i="11"/>
  <c r="DN177" i="11"/>
  <c r="DN168" i="11"/>
  <c r="DN172" i="11"/>
  <c r="DN167" i="11"/>
  <c r="DN228" i="11"/>
  <c r="DN174" i="11"/>
  <c r="DN275" i="11"/>
  <c r="DO25" i="11"/>
  <c r="DO102" i="11"/>
  <c r="DO57" i="11"/>
  <c r="DN233" i="11" l="1"/>
  <c r="DN127" i="11"/>
  <c r="P213" i="2"/>
  <c r="DO31" i="11"/>
  <c r="DO327" i="11" s="1"/>
  <c r="DO328" i="11" s="1"/>
  <c r="DO106" i="11"/>
  <c r="DO125" i="11" s="1"/>
  <c r="DN250" i="11"/>
  <c r="DN308" i="11"/>
  <c r="DN309" i="11" s="1"/>
  <c r="DN312" i="11" s="1"/>
  <c r="DN310" i="11"/>
  <c r="DO164" i="11"/>
  <c r="DO134" i="11"/>
  <c r="DP51" i="11"/>
  <c r="DP56" i="11"/>
  <c r="DP55" i="11"/>
  <c r="DO36" i="11"/>
  <c r="DN175" i="11"/>
  <c r="DN178" i="11" s="1"/>
  <c r="DO156" i="11"/>
  <c r="DO157" i="11" s="1"/>
  <c r="DN292" i="11"/>
  <c r="DN169" i="11"/>
  <c r="DO275" i="11" l="1"/>
  <c r="DO274" i="11"/>
  <c r="DN179" i="11"/>
  <c r="DO311" i="11"/>
  <c r="DP29" i="11"/>
  <c r="DP152" i="11"/>
  <c r="DP160" i="11"/>
  <c r="DN268" i="11"/>
  <c r="DP30" i="11"/>
  <c r="DP139" i="11"/>
  <c r="DP117" i="11"/>
  <c r="DP121" i="11" s="1"/>
  <c r="DP123" i="11" s="1"/>
  <c r="DP25" i="11"/>
  <c r="DP102" i="11"/>
  <c r="DP57" i="11"/>
  <c r="DO172" i="11"/>
  <c r="DO174" i="11"/>
  <c r="DO173" i="11"/>
  <c r="DO168" i="11"/>
  <c r="DO228" i="11"/>
  <c r="DO177" i="11"/>
  <c r="DO166" i="11"/>
  <c r="DO167" i="11"/>
  <c r="DO143" i="11"/>
  <c r="DO308" i="11" l="1"/>
  <c r="DO309" i="11" s="1"/>
  <c r="DO312" i="11" s="1"/>
  <c r="DN181" i="11"/>
  <c r="DN182" i="11"/>
  <c r="DO310" i="11"/>
  <c r="DO233" i="11"/>
  <c r="DO128" i="11"/>
  <c r="DO127" i="11"/>
  <c r="DO175" i="11"/>
  <c r="DO178" i="11" s="1"/>
  <c r="DO169" i="11"/>
  <c r="DO144" i="11"/>
  <c r="DP164" i="11"/>
  <c r="DP156" i="11"/>
  <c r="DP157" i="11" s="1"/>
  <c r="DP36" i="11"/>
  <c r="DQ55" i="11"/>
  <c r="DP134" i="11"/>
  <c r="DQ51" i="11"/>
  <c r="DQ56" i="11"/>
  <c r="DP106" i="11"/>
  <c r="DP125" i="11" s="1"/>
  <c r="DO292" i="11"/>
  <c r="DP31" i="11"/>
  <c r="DP327" i="11" s="1"/>
  <c r="DP328" i="11" s="1"/>
  <c r="DN235" i="11"/>
  <c r="DN303" i="11"/>
  <c r="DP128" i="11" l="1"/>
  <c r="DP274" i="11"/>
  <c r="DP177" i="11"/>
  <c r="DP168" i="11"/>
  <c r="DP173" i="11"/>
  <c r="DP228" i="11"/>
  <c r="DP174" i="11"/>
  <c r="DP167" i="11"/>
  <c r="DP166" i="11"/>
  <c r="DP172" i="11"/>
  <c r="DQ117" i="11"/>
  <c r="DQ121" i="11" s="1"/>
  <c r="DQ123" i="11" s="1"/>
  <c r="DQ139" i="11"/>
  <c r="DQ30" i="11"/>
  <c r="DP275" i="11"/>
  <c r="DP143" i="11"/>
  <c r="DO179" i="11"/>
  <c r="DO181" i="11" s="1"/>
  <c r="DQ25" i="11"/>
  <c r="DQ102" i="11"/>
  <c r="DQ57" i="11"/>
  <c r="DQ29" i="11"/>
  <c r="DQ152" i="11"/>
  <c r="DQ160" i="11"/>
  <c r="DN301" i="11"/>
  <c r="DP311" i="11"/>
  <c r="DO205" i="11"/>
  <c r="DO250" i="11"/>
  <c r="DO182" i="11" l="1"/>
  <c r="DP233" i="11"/>
  <c r="DP127" i="11"/>
  <c r="DP169" i="11"/>
  <c r="DQ31" i="11"/>
  <c r="DQ327" i="11" s="1"/>
  <c r="DQ328" i="11" s="1"/>
  <c r="DP308" i="11"/>
  <c r="DP309" i="11" s="1"/>
  <c r="DP312" i="11" s="1"/>
  <c r="DP310" i="11"/>
  <c r="DQ164" i="11"/>
  <c r="DQ156" i="11"/>
  <c r="DQ157" i="11" s="1"/>
  <c r="DO268" i="11"/>
  <c r="DO235" i="11"/>
  <c r="DO303" i="11"/>
  <c r="DQ134" i="11"/>
  <c r="DR56" i="11"/>
  <c r="DR51" i="11"/>
  <c r="DQ36" i="11"/>
  <c r="DR55" i="11"/>
  <c r="DQ106" i="11"/>
  <c r="DQ125" i="11" s="1"/>
  <c r="DP144" i="11"/>
  <c r="DP292" i="11"/>
  <c r="DP175" i="11"/>
  <c r="DP178" i="11" s="1"/>
  <c r="DQ275" i="11" l="1"/>
  <c r="DP179" i="11"/>
  <c r="DQ274" i="11"/>
  <c r="DP205" i="11"/>
  <c r="DR102" i="11"/>
  <c r="DR57" i="11"/>
  <c r="DR25" i="11"/>
  <c r="DR117" i="11"/>
  <c r="DR121" i="11" s="1"/>
  <c r="DR123" i="11" s="1"/>
  <c r="DR139" i="11"/>
  <c r="DR30" i="11"/>
  <c r="DQ166" i="11"/>
  <c r="DQ172" i="11"/>
  <c r="DQ174" i="11"/>
  <c r="DQ173" i="11"/>
  <c r="DQ168" i="11"/>
  <c r="DQ177" i="11"/>
  <c r="DQ167" i="11"/>
  <c r="DQ228" i="11"/>
  <c r="DQ143" i="11"/>
  <c r="DQ144" i="11" s="1"/>
  <c r="DQ205" i="11" s="1"/>
  <c r="DQ311" i="11"/>
  <c r="DO301" i="11"/>
  <c r="DR152" i="11"/>
  <c r="DR29" i="11"/>
  <c r="DR160" i="11"/>
  <c r="DP250" i="11"/>
  <c r="DQ308" i="11" l="1"/>
  <c r="DQ309" i="11" s="1"/>
  <c r="DQ312" i="11" s="1"/>
  <c r="DQ310" i="11"/>
  <c r="DP181" i="11"/>
  <c r="DP301" i="11" s="1"/>
  <c r="DP182" i="11"/>
  <c r="DQ233" i="11"/>
  <c r="DQ128" i="11"/>
  <c r="DQ127" i="11"/>
  <c r="DP303" i="11"/>
  <c r="DP235" i="11"/>
  <c r="DQ169" i="11"/>
  <c r="DQ250" i="11"/>
  <c r="DP268" i="11"/>
  <c r="DR31" i="11"/>
  <c r="DR327" i="11" s="1"/>
  <c r="DR328" i="11" s="1"/>
  <c r="DS55" i="11"/>
  <c r="DR36" i="11"/>
  <c r="DS51" i="11"/>
  <c r="DR134" i="11"/>
  <c r="DS56" i="11"/>
  <c r="DR106" i="11"/>
  <c r="DR125" i="11" s="1"/>
  <c r="DQ175" i="11"/>
  <c r="DQ178" i="11" s="1"/>
  <c r="DR164" i="11"/>
  <c r="DR156" i="11"/>
  <c r="DR157" i="11" s="1"/>
  <c r="DR274" i="11" s="1"/>
  <c r="DQ292" i="11"/>
  <c r="DR128" i="11" l="1"/>
  <c r="DQ179" i="11"/>
  <c r="DQ182" i="11" s="1"/>
  <c r="DR292" i="11"/>
  <c r="DS25" i="11"/>
  <c r="DS57" i="11"/>
  <c r="DS102" i="11"/>
  <c r="DS106" i="11" s="1"/>
  <c r="DR311" i="11"/>
  <c r="DS29" i="11"/>
  <c r="DS152" i="11"/>
  <c r="DS160" i="11"/>
  <c r="DS164" i="11" s="1"/>
  <c r="DR166" i="11"/>
  <c r="DR167" i="11"/>
  <c r="DR177" i="11"/>
  <c r="DR174" i="11"/>
  <c r="DR172" i="11"/>
  <c r="DR173" i="11"/>
  <c r="DR228" i="11"/>
  <c r="DR168" i="11"/>
  <c r="DS117" i="11"/>
  <c r="DS121" i="11" s="1"/>
  <c r="DS123" i="11" s="1"/>
  <c r="DS139" i="11"/>
  <c r="DS30" i="11"/>
  <c r="DR143" i="11"/>
  <c r="DR144" i="11" s="1"/>
  <c r="DR205" i="11" s="1"/>
  <c r="DR275" i="11"/>
  <c r="DQ268" i="11"/>
  <c r="DS125" i="11" l="1"/>
  <c r="DS233" i="11" s="1"/>
  <c r="DR233" i="11"/>
  <c r="DQ303" i="11"/>
  <c r="DQ235" i="11"/>
  <c r="DR127" i="11"/>
  <c r="DQ181" i="11"/>
  <c r="DQ301" i="11" s="1"/>
  <c r="DR169" i="11"/>
  <c r="DR175" i="11"/>
  <c r="DR178" i="11" s="1"/>
  <c r="DS172" i="11"/>
  <c r="DS174" i="11"/>
  <c r="DS175" i="11" s="1"/>
  <c r="DS228" i="11"/>
  <c r="DS167" i="11"/>
  <c r="DS166" i="11"/>
  <c r="DS168" i="11"/>
  <c r="DS177" i="11"/>
  <c r="DS173" i="11"/>
  <c r="DS134" i="11"/>
  <c r="DS36" i="11"/>
  <c r="DT55" i="11"/>
  <c r="DT51" i="11"/>
  <c r="DT56" i="11"/>
  <c r="DR250" i="11"/>
  <c r="DS275" i="11"/>
  <c r="DR308" i="11"/>
  <c r="DR309" i="11" s="1"/>
  <c r="DR312" i="11" s="1"/>
  <c r="DR310" i="11"/>
  <c r="DS31" i="11"/>
  <c r="DS327" i="11" s="1"/>
  <c r="DS328" i="11" s="1"/>
  <c r="DS156" i="11"/>
  <c r="DS157" i="11" s="1"/>
  <c r="DS274" i="11" s="1"/>
  <c r="DS127" i="11" l="1"/>
  <c r="DS128" i="11"/>
  <c r="DR179" i="11"/>
  <c r="DR182" i="11" s="1"/>
  <c r="DS169" i="11"/>
  <c r="DS143" i="11"/>
  <c r="DS144" i="11" s="1"/>
  <c r="DS178" i="11"/>
  <c r="DT117" i="11"/>
  <c r="DT121" i="11" s="1"/>
  <c r="DT123" i="11" s="1"/>
  <c r="DT30" i="11"/>
  <c r="DT139" i="11"/>
  <c r="DR268" i="11"/>
  <c r="DS292" i="11"/>
  <c r="DT25" i="11"/>
  <c r="DT102" i="11"/>
  <c r="DT106" i="11" s="1"/>
  <c r="DT125" i="11" s="1"/>
  <c r="DT57" i="11"/>
  <c r="DS310" i="11"/>
  <c r="DS308" i="11"/>
  <c r="DS309" i="11" s="1"/>
  <c r="DS312" i="11" s="1"/>
  <c r="DT29" i="11"/>
  <c r="DT152" i="11"/>
  <c r="DT160" i="11"/>
  <c r="DT164" i="11" s="1"/>
  <c r="DS311" i="11"/>
  <c r="DT233" i="11" l="1"/>
  <c r="DR181" i="11"/>
  <c r="DR301" i="11" s="1"/>
  <c r="DR303" i="11"/>
  <c r="DR235" i="11"/>
  <c r="DS179" i="11"/>
  <c r="DS182" i="11" s="1"/>
  <c r="DS205" i="11"/>
  <c r="DS250" i="11"/>
  <c r="DT275" i="11"/>
  <c r="DT156" i="11"/>
  <c r="DT157" i="11" s="1"/>
  <c r="DT274" i="11" s="1"/>
  <c r="DT134" i="11"/>
  <c r="DU56" i="11"/>
  <c r="DU55" i="11"/>
  <c r="DT36" i="11"/>
  <c r="DU51" i="11"/>
  <c r="DT172" i="11"/>
  <c r="DT174" i="11"/>
  <c r="DT175" i="11" s="1"/>
  <c r="DT167" i="11"/>
  <c r="DT173" i="11"/>
  <c r="DT166" i="11"/>
  <c r="DT228" i="11"/>
  <c r="DT168" i="11"/>
  <c r="DT177" i="11"/>
  <c r="DT31" i="11"/>
  <c r="DT327" i="11" s="1"/>
  <c r="DT328" i="11" s="1"/>
  <c r="DS181" i="11" l="1"/>
  <c r="DS301" i="11" s="1"/>
  <c r="DT127" i="11"/>
  <c r="DT128" i="11"/>
  <c r="DS303" i="11"/>
  <c r="DS235" i="11"/>
  <c r="DT169" i="11"/>
  <c r="DT292" i="11"/>
  <c r="DU102" i="11"/>
  <c r="DU106" i="11" s="1"/>
  <c r="DU125" i="11" s="1"/>
  <c r="DU57" i="11"/>
  <c r="DU25" i="11"/>
  <c r="DU152" i="11"/>
  <c r="DU29" i="11"/>
  <c r="DU160" i="11"/>
  <c r="DU164" i="11" s="1"/>
  <c r="DS268" i="11"/>
  <c r="DT311" i="11"/>
  <c r="DU139" i="11"/>
  <c r="DU30" i="11"/>
  <c r="DU117" i="11"/>
  <c r="DU121" i="11" s="1"/>
  <c r="DU123" i="11" s="1"/>
  <c r="DT308" i="11"/>
  <c r="DT309" i="11" s="1"/>
  <c r="DT312" i="11" s="1"/>
  <c r="DT310" i="11"/>
  <c r="DT143" i="11"/>
  <c r="DT144" i="11" s="1"/>
  <c r="DT178" i="11"/>
  <c r="DU233" i="11" l="1"/>
  <c r="DT179" i="11"/>
  <c r="DT303" i="11" s="1"/>
  <c r="DU275" i="11"/>
  <c r="DT205" i="11"/>
  <c r="DT250" i="11"/>
  <c r="DU156" i="11"/>
  <c r="DU157" i="11" s="1"/>
  <c r="DU274" i="11" s="1"/>
  <c r="DU31" i="11"/>
  <c r="DU327" i="11" s="1"/>
  <c r="DU328" i="11" s="1"/>
  <c r="DU166" i="11"/>
  <c r="DU167" i="11"/>
  <c r="DU172" i="11"/>
  <c r="DU168" i="11"/>
  <c r="DU177" i="11"/>
  <c r="DU228" i="11"/>
  <c r="DU174" i="11"/>
  <c r="DU175" i="11" s="1"/>
  <c r="DU173" i="11"/>
  <c r="DV55" i="11"/>
  <c r="DV56" i="11"/>
  <c r="DV51" i="11"/>
  <c r="DU134" i="11"/>
  <c r="DU36" i="11"/>
  <c r="DU308" i="11" l="1"/>
  <c r="DU309" i="11" s="1"/>
  <c r="DU312" i="11" s="1"/>
  <c r="DT181" i="11"/>
  <c r="DT301" i="11" s="1"/>
  <c r="DT182" i="11"/>
  <c r="DU128" i="11"/>
  <c r="DU127" i="11"/>
  <c r="DU310" i="11"/>
  <c r="DT235" i="11"/>
  <c r="DU169" i="11"/>
  <c r="DU292" i="11"/>
  <c r="DV30" i="11"/>
  <c r="DV117" i="11"/>
  <c r="DV121" i="11" s="1"/>
  <c r="DV139" i="11"/>
  <c r="DV29" i="11"/>
  <c r="DV152" i="11"/>
  <c r="DV160" i="11"/>
  <c r="DV164" i="11" s="1"/>
  <c r="DU178" i="11"/>
  <c r="DT268" i="11"/>
  <c r="DU143" i="11"/>
  <c r="DU144" i="11" s="1"/>
  <c r="DV57" i="11"/>
  <c r="DV25" i="11"/>
  <c r="DV102" i="11"/>
  <c r="DV106" i="11" s="1"/>
  <c r="DV125" i="11" s="1"/>
  <c r="DU311" i="11"/>
  <c r="DU179" i="11" l="1"/>
  <c r="DU235" i="11" s="1"/>
  <c r="DV31" i="11"/>
  <c r="DV327" i="11" s="1"/>
  <c r="DV328" i="11" s="1"/>
  <c r="DU205" i="11"/>
  <c r="DU250" i="11"/>
  <c r="DV123" i="11"/>
  <c r="DV275" i="11"/>
  <c r="DV156" i="11"/>
  <c r="DV157" i="11" s="1"/>
  <c r="DV274" i="11" s="1"/>
  <c r="DV172" i="11"/>
  <c r="DV167" i="11"/>
  <c r="DV173" i="11"/>
  <c r="DV177" i="11"/>
  <c r="DV168" i="11"/>
  <c r="DV174" i="11"/>
  <c r="DV175" i="11" s="1"/>
  <c r="DV228" i="11"/>
  <c r="DV166" i="11"/>
  <c r="DW56" i="11"/>
  <c r="DV36" i="11"/>
  <c r="DW55" i="11"/>
  <c r="DW51" i="11"/>
  <c r="DV134" i="11"/>
  <c r="DU181" i="11" l="1"/>
  <c r="DU182" i="11"/>
  <c r="DU303" i="11"/>
  <c r="DV169" i="11"/>
  <c r="DV292" i="11"/>
  <c r="DV310" i="11"/>
  <c r="DV308" i="11"/>
  <c r="DV309" i="11" s="1"/>
  <c r="DV312" i="11" s="1"/>
  <c r="DW25" i="11"/>
  <c r="DW102" i="11"/>
  <c r="DW106" i="11" s="1"/>
  <c r="DW125" i="11" s="1"/>
  <c r="DW57" i="11"/>
  <c r="DV127" i="11"/>
  <c r="DV143" i="11"/>
  <c r="DV144" i="11" s="1"/>
  <c r="DV250" i="11" s="1"/>
  <c r="DW29" i="11"/>
  <c r="DW152" i="11"/>
  <c r="DW160" i="11"/>
  <c r="DW164" i="11" s="1"/>
  <c r="DV311" i="11"/>
  <c r="DV178" i="11"/>
  <c r="DU268" i="11"/>
  <c r="DW117" i="11"/>
  <c r="DW121" i="11" s="1"/>
  <c r="DW123" i="11" s="1"/>
  <c r="DW30" i="11"/>
  <c r="DW139" i="11"/>
  <c r="DW233" i="11" l="1"/>
  <c r="DV128" i="11"/>
  <c r="DU301" i="11"/>
  <c r="DV179" i="11"/>
  <c r="DW31" i="11"/>
  <c r="DW327" i="11" s="1"/>
  <c r="DW328" i="11" s="1"/>
  <c r="DW36" i="11"/>
  <c r="DX56" i="11"/>
  <c r="DX55" i="11"/>
  <c r="DX51" i="11"/>
  <c r="DW134" i="11"/>
  <c r="DW275" i="11"/>
  <c r="DV268" i="11"/>
  <c r="DW172" i="11"/>
  <c r="DW174" i="11"/>
  <c r="DW175" i="11" s="1"/>
  <c r="DW168" i="11"/>
  <c r="DW173" i="11"/>
  <c r="DW167" i="11"/>
  <c r="DW177" i="11"/>
  <c r="DW166" i="11"/>
  <c r="DW228" i="11"/>
  <c r="DW156" i="11"/>
  <c r="DW157" i="11" s="1"/>
  <c r="DW274" i="11" s="1"/>
  <c r="DV205" i="11"/>
  <c r="DV233" i="11"/>
  <c r="DV182" i="11" l="1"/>
  <c r="DV181" i="11"/>
  <c r="DV301" i="11" s="1"/>
  <c r="DW127" i="11"/>
  <c r="DW128" i="11"/>
  <c r="DV303" i="11"/>
  <c r="DV235" i="11"/>
  <c r="DW169" i="11"/>
  <c r="DW292" i="11"/>
  <c r="DX102" i="11"/>
  <c r="DX106" i="11" s="1"/>
  <c r="DX125" i="11" s="1"/>
  <c r="DX25" i="11"/>
  <c r="DX57" i="11"/>
  <c r="DX152" i="11"/>
  <c r="DX29" i="11"/>
  <c r="DX160" i="11"/>
  <c r="DX164" i="11" s="1"/>
  <c r="DX117" i="11"/>
  <c r="DX121" i="11" s="1"/>
  <c r="DX123" i="11" s="1"/>
  <c r="DX30" i="11"/>
  <c r="DX139" i="11"/>
  <c r="DW311" i="11"/>
  <c r="DW178" i="11"/>
  <c r="DW308" i="11"/>
  <c r="DW309" i="11" s="1"/>
  <c r="DW312" i="11" s="1"/>
  <c r="DW310" i="11"/>
  <c r="DW143" i="11"/>
  <c r="DW144" i="11" s="1"/>
  <c r="DX233" i="11" l="1"/>
  <c r="DW179" i="11"/>
  <c r="DW182" i="11" s="1"/>
  <c r="DW205" i="11"/>
  <c r="DW250" i="11"/>
  <c r="DX156" i="11"/>
  <c r="DX157" i="11" s="1"/>
  <c r="DX274" i="11" s="1"/>
  <c r="DX172" i="11"/>
  <c r="DX173" i="11"/>
  <c r="DX177" i="11"/>
  <c r="DX168" i="11"/>
  <c r="DX166" i="11"/>
  <c r="DX167" i="11"/>
  <c r="DX228" i="11"/>
  <c r="DX174" i="11"/>
  <c r="DX175" i="11" s="1"/>
  <c r="DX275" i="11"/>
  <c r="DY55" i="11"/>
  <c r="DY56" i="11"/>
  <c r="DX36" i="11"/>
  <c r="DY51" i="11"/>
  <c r="DX134" i="11"/>
  <c r="DX31" i="11"/>
  <c r="DX327" i="11" s="1"/>
  <c r="DX328" i="11" s="1"/>
  <c r="DW181" i="11" l="1"/>
  <c r="DW301" i="11" s="1"/>
  <c r="DX128" i="11"/>
  <c r="DX127" i="11"/>
  <c r="DW303" i="11"/>
  <c r="DW235" i="11"/>
  <c r="DX169" i="11"/>
  <c r="DX292" i="11"/>
  <c r="DX143" i="11"/>
  <c r="DX144" i="11" s="1"/>
  <c r="DY102" i="11"/>
  <c r="DY25" i="11"/>
  <c r="DY57" i="11"/>
  <c r="DX178" i="11"/>
  <c r="DX311" i="11"/>
  <c r="DY139" i="11"/>
  <c r="DY30" i="11"/>
  <c r="DY117" i="11"/>
  <c r="DY121" i="11" s="1"/>
  <c r="DY123" i="11" s="1"/>
  <c r="DW268" i="11"/>
  <c r="DX310" i="11"/>
  <c r="DX308" i="11"/>
  <c r="DX309" i="11" s="1"/>
  <c r="DX312" i="11" s="1"/>
  <c r="DY29" i="11"/>
  <c r="DY152" i="11"/>
  <c r="DY160" i="11"/>
  <c r="DX179" i="11" l="1"/>
  <c r="DX235" i="11" s="1"/>
  <c r="DY31" i="11"/>
  <c r="DY327" i="11" s="1"/>
  <c r="DY328" i="11" s="1"/>
  <c r="DX205" i="11"/>
  <c r="DX250" i="11"/>
  <c r="I57" i="2"/>
  <c r="I57" i="28" s="1"/>
  <c r="J57" i="2"/>
  <c r="J57" i="28" s="1"/>
  <c r="K57" i="2"/>
  <c r="K57" i="28" s="1"/>
  <c r="L57" i="2"/>
  <c r="L57" i="28" s="1"/>
  <c r="M57" i="2"/>
  <c r="M57" i="28" s="1"/>
  <c r="N57" i="2"/>
  <c r="N57" i="28" s="1"/>
  <c r="O57" i="2"/>
  <c r="O57" i="28" s="1"/>
  <c r="P57" i="2"/>
  <c r="P57" i="28" s="1"/>
  <c r="Q57" i="2"/>
  <c r="Q57" i="28" s="1"/>
  <c r="I17" i="2"/>
  <c r="I17" i="28"/>
  <c r="J17" i="28"/>
  <c r="J17" i="2"/>
  <c r="K17" i="2"/>
  <c r="K17" i="28"/>
  <c r="L17" i="28"/>
  <c r="L17" i="2"/>
  <c r="M17" i="2"/>
  <c r="M17" i="28"/>
  <c r="N17" i="28"/>
  <c r="N17" i="2"/>
  <c r="O17" i="2"/>
  <c r="O17" i="28"/>
  <c r="P17" i="2"/>
  <c r="P17" i="28"/>
  <c r="Q17" i="28"/>
  <c r="Q17" i="2"/>
  <c r="DY164" i="11"/>
  <c r="I80" i="2"/>
  <c r="J80" i="2"/>
  <c r="K80" i="2"/>
  <c r="L80" i="2"/>
  <c r="M80" i="2"/>
  <c r="N80" i="2"/>
  <c r="O80" i="2"/>
  <c r="P80" i="2"/>
  <c r="Q80" i="2"/>
  <c r="DY134" i="11"/>
  <c r="DY36" i="11"/>
  <c r="DY106" i="11"/>
  <c r="I29" i="2"/>
  <c r="J29" i="2"/>
  <c r="K29" i="2"/>
  <c r="L29" i="2"/>
  <c r="M29" i="2"/>
  <c r="N29" i="2"/>
  <c r="O29" i="2"/>
  <c r="P29" i="2"/>
  <c r="Q29" i="2"/>
  <c r="I70" i="2"/>
  <c r="DY156" i="11"/>
  <c r="DY157" i="11" s="1"/>
  <c r="DY274" i="11" s="1"/>
  <c r="DY292" i="11" s="1"/>
  <c r="H292" i="11" s="1"/>
  <c r="E18" i="30" s="1"/>
  <c r="J70" i="2"/>
  <c r="K70" i="2"/>
  <c r="L70" i="2"/>
  <c r="M70" i="2"/>
  <c r="N70" i="2"/>
  <c r="O70" i="2"/>
  <c r="P70" i="2"/>
  <c r="Q70" i="2"/>
  <c r="I16" i="28"/>
  <c r="I16" i="2"/>
  <c r="J16" i="2"/>
  <c r="J16" i="28"/>
  <c r="K16" i="28"/>
  <c r="K16" i="2"/>
  <c r="L16" i="28"/>
  <c r="L16" i="2"/>
  <c r="M16" i="2"/>
  <c r="M16" i="28"/>
  <c r="N16" i="2"/>
  <c r="N16" i="28"/>
  <c r="O16" i="2"/>
  <c r="O16" i="28"/>
  <c r="P16" i="2"/>
  <c r="P16" i="28"/>
  <c r="Q16" i="2"/>
  <c r="Q16" i="28"/>
  <c r="I41" i="2"/>
  <c r="J41" i="2"/>
  <c r="K41" i="2"/>
  <c r="L41" i="2"/>
  <c r="M41" i="2"/>
  <c r="N41" i="2"/>
  <c r="O41" i="2"/>
  <c r="P41" i="2"/>
  <c r="Q41" i="2"/>
  <c r="Q41" i="28" s="1"/>
  <c r="DY125" i="11" l="1"/>
  <c r="DY128" i="11" s="1"/>
  <c r="DX182" i="11"/>
  <c r="DX181" i="11"/>
  <c r="DX301" i="11" s="1"/>
  <c r="Q18" i="2"/>
  <c r="Q18" i="28" s="1"/>
  <c r="Q234" i="28"/>
  <c r="DX303" i="11"/>
  <c r="M70" i="28"/>
  <c r="O41" i="28"/>
  <c r="L70" i="28"/>
  <c r="O33" i="2"/>
  <c r="O29" i="28"/>
  <c r="O33" i="28" s="1"/>
  <c r="P80" i="28"/>
  <c r="P84" i="28" s="1"/>
  <c r="P84" i="2"/>
  <c r="I43" i="2"/>
  <c r="I43" i="28" s="1"/>
  <c r="J43" i="2"/>
  <c r="J43" i="28" s="1"/>
  <c r="K43" i="2"/>
  <c r="K43" i="28" s="1"/>
  <c r="L43" i="2"/>
  <c r="L43" i="28" s="1"/>
  <c r="M43" i="2"/>
  <c r="M43" i="28" s="1"/>
  <c r="N43" i="2"/>
  <c r="N43" i="28" s="1"/>
  <c r="O43" i="2"/>
  <c r="O43" i="28" s="1"/>
  <c r="P43" i="2"/>
  <c r="P43" i="28" s="1"/>
  <c r="N41" i="28"/>
  <c r="K70" i="28"/>
  <c r="N29" i="28"/>
  <c r="N33" i="28" s="1"/>
  <c r="N33" i="2"/>
  <c r="O80" i="28"/>
  <c r="O84" i="28" s="1"/>
  <c r="O84" i="2"/>
  <c r="P41" i="28"/>
  <c r="Q80" i="28"/>
  <c r="Q84" i="28" s="1"/>
  <c r="Q84" i="2"/>
  <c r="J70" i="28"/>
  <c r="M29" i="28"/>
  <c r="M33" i="28" s="1"/>
  <c r="M33" i="2"/>
  <c r="N80" i="28"/>
  <c r="N84" i="28" s="1"/>
  <c r="N84" i="2"/>
  <c r="I80" i="28"/>
  <c r="I84" i="28" s="1"/>
  <c r="I84" i="2"/>
  <c r="M41" i="28"/>
  <c r="L41" i="28"/>
  <c r="Q70" i="28"/>
  <c r="L29" i="28"/>
  <c r="L33" i="28" s="1"/>
  <c r="L33" i="2"/>
  <c r="M80" i="28"/>
  <c r="M84" i="28" s="1"/>
  <c r="M84" i="2"/>
  <c r="Q234" i="2"/>
  <c r="DX268" i="11"/>
  <c r="P33" i="2"/>
  <c r="P29" i="28"/>
  <c r="P33" i="28" s="1"/>
  <c r="DY166" i="11"/>
  <c r="DY168" i="11"/>
  <c r="DY174" i="11"/>
  <c r="DY167" i="11"/>
  <c r="DY173" i="11"/>
  <c r="DY172" i="11"/>
  <c r="DY177" i="11"/>
  <c r="DY228" i="11"/>
  <c r="DY275" i="11"/>
  <c r="K41" i="28"/>
  <c r="P70" i="28"/>
  <c r="I74" i="2"/>
  <c r="I74" i="28" s="1"/>
  <c r="J74" i="2"/>
  <c r="J74" i="28" s="1"/>
  <c r="K74" i="2"/>
  <c r="K74" i="28" s="1"/>
  <c r="L74" i="2"/>
  <c r="L74" i="28" s="1"/>
  <c r="M74" i="2"/>
  <c r="M74" i="28" s="1"/>
  <c r="N74" i="2"/>
  <c r="N74" i="28" s="1"/>
  <c r="O74" i="2"/>
  <c r="O74" i="28" s="1"/>
  <c r="P74" i="2"/>
  <c r="P74" i="28" s="1"/>
  <c r="Q74" i="2"/>
  <c r="Q74" i="28" s="1"/>
  <c r="K33" i="2"/>
  <c r="K29" i="28"/>
  <c r="K33" i="28" s="1"/>
  <c r="L80" i="28"/>
  <c r="L84" i="28" s="1"/>
  <c r="L84" i="2"/>
  <c r="J41" i="28"/>
  <c r="O70" i="28"/>
  <c r="I70" i="28"/>
  <c r="J33" i="2"/>
  <c r="J29" i="28"/>
  <c r="J33" i="28" s="1"/>
  <c r="DY311" i="11"/>
  <c r="K84" i="2"/>
  <c r="K80" i="28"/>
  <c r="K84" i="28" s="1"/>
  <c r="I41" i="28"/>
  <c r="N70" i="28"/>
  <c r="Q33" i="2"/>
  <c r="Q29" i="28"/>
  <c r="Q33" i="28" s="1"/>
  <c r="I33" i="2"/>
  <c r="I29" i="28"/>
  <c r="I33" i="28" s="1"/>
  <c r="DY143" i="11"/>
  <c r="I52" i="2"/>
  <c r="J52" i="2"/>
  <c r="K52" i="2"/>
  <c r="L52" i="2"/>
  <c r="M52" i="2"/>
  <c r="N52" i="2"/>
  <c r="O52" i="2"/>
  <c r="P52" i="2"/>
  <c r="Q52" i="2"/>
  <c r="J80" i="28"/>
  <c r="J84" i="28" s="1"/>
  <c r="J84" i="2"/>
  <c r="Q184" i="2" l="1"/>
  <c r="Q184" i="28" s="1"/>
  <c r="Q43" i="2"/>
  <c r="Q43" i="28" s="1"/>
  <c r="I46" i="2"/>
  <c r="J46" i="2"/>
  <c r="K46" i="2"/>
  <c r="L46" i="2"/>
  <c r="M46" i="2"/>
  <c r="N46" i="2"/>
  <c r="O46" i="2"/>
  <c r="P46" i="2"/>
  <c r="P46" i="28" s="1"/>
  <c r="Q46" i="2"/>
  <c r="Q46" i="28" s="1"/>
  <c r="DY127" i="11"/>
  <c r="DY233" i="11"/>
  <c r="Q160" i="2" s="1"/>
  <c r="Q160" i="28" s="1"/>
  <c r="Q235" i="28"/>
  <c r="DY169" i="11"/>
  <c r="O75" i="2"/>
  <c r="K52" i="28"/>
  <c r="L75" i="28"/>
  <c r="J52" i="28"/>
  <c r="N75" i="2"/>
  <c r="O75" i="28"/>
  <c r="I87" i="2"/>
  <c r="I87" i="28" s="1"/>
  <c r="J87" i="2"/>
  <c r="J87" i="28" s="1"/>
  <c r="K87" i="2"/>
  <c r="K87" i="28" s="1"/>
  <c r="L87" i="2"/>
  <c r="L87" i="28" s="1"/>
  <c r="M87" i="2"/>
  <c r="M87" i="28" s="1"/>
  <c r="N87" i="2"/>
  <c r="N87" i="28" s="1"/>
  <c r="O87" i="2"/>
  <c r="O87" i="28" s="1"/>
  <c r="P87" i="2"/>
  <c r="P87" i="28" s="1"/>
  <c r="Q87" i="2"/>
  <c r="Q87" i="28" s="1"/>
  <c r="Q52" i="28"/>
  <c r="DY310" i="11"/>
  <c r="DY308" i="11"/>
  <c r="K75" i="2"/>
  <c r="P52" i="28"/>
  <c r="DY175" i="11"/>
  <c r="I93" i="2"/>
  <c r="I93" i="28" s="1"/>
  <c r="J93" i="2"/>
  <c r="J93" i="28" s="1"/>
  <c r="K93" i="2"/>
  <c r="K93" i="28" s="1"/>
  <c r="L93" i="2"/>
  <c r="L93" i="28" s="1"/>
  <c r="M93" i="2"/>
  <c r="M93" i="28" s="1"/>
  <c r="N93" i="2"/>
  <c r="N93" i="28" s="1"/>
  <c r="O93" i="2"/>
  <c r="O93" i="28" s="1"/>
  <c r="P93" i="2"/>
  <c r="P93" i="28" s="1"/>
  <c r="Q93" i="2"/>
  <c r="Q93" i="28" s="1"/>
  <c r="K75" i="28"/>
  <c r="M75" i="2"/>
  <c r="I52" i="28"/>
  <c r="N75" i="28"/>
  <c r="I61" i="2"/>
  <c r="I61" i="28" s="1"/>
  <c r="J61" i="2"/>
  <c r="J61" i="28" s="1"/>
  <c r="K61" i="2"/>
  <c r="K61" i="28" s="1"/>
  <c r="L61" i="2"/>
  <c r="L61" i="28" s="1"/>
  <c r="M61" i="2"/>
  <c r="M61" i="28" s="1"/>
  <c r="N61" i="2"/>
  <c r="N61" i="28" s="1"/>
  <c r="O61" i="2"/>
  <c r="O61" i="28" s="1"/>
  <c r="P61" i="2"/>
  <c r="P61" i="28" s="1"/>
  <c r="Q61" i="2"/>
  <c r="Q61" i="28" s="1"/>
  <c r="Q221" i="2"/>
  <c r="Q221" i="28"/>
  <c r="O52" i="28"/>
  <c r="DY144" i="11"/>
  <c r="I155" i="2"/>
  <c r="J155" i="2"/>
  <c r="K155" i="2"/>
  <c r="L155" i="2"/>
  <c r="M155" i="2"/>
  <c r="N155" i="2"/>
  <c r="O155" i="2"/>
  <c r="P155" i="2"/>
  <c r="Q155" i="2"/>
  <c r="I88" i="2"/>
  <c r="I88" i="28" s="1"/>
  <c r="J88" i="2"/>
  <c r="J88" i="28" s="1"/>
  <c r="K88" i="2"/>
  <c r="K88" i="28" s="1"/>
  <c r="L88" i="2"/>
  <c r="L88" i="28" s="1"/>
  <c r="M88" i="2"/>
  <c r="M88" i="28" s="1"/>
  <c r="N88" i="2"/>
  <c r="N88" i="28" s="1"/>
  <c r="O88" i="2"/>
  <c r="O88" i="28" s="1"/>
  <c r="P88" i="2"/>
  <c r="P88" i="28" s="1"/>
  <c r="Q88" i="2"/>
  <c r="Q88" i="28" s="1"/>
  <c r="Q75" i="2"/>
  <c r="J75" i="2"/>
  <c r="M75" i="28"/>
  <c r="I96" i="2"/>
  <c r="I96" i="28" s="1"/>
  <c r="J96" i="2"/>
  <c r="J96" i="28" s="1"/>
  <c r="K96" i="2"/>
  <c r="K96" i="28" s="1"/>
  <c r="L96" i="2"/>
  <c r="L96" i="28" s="1"/>
  <c r="M96" i="2"/>
  <c r="M96" i="28" s="1"/>
  <c r="N96" i="2"/>
  <c r="N96" i="28" s="1"/>
  <c r="O96" i="2"/>
  <c r="O96" i="28" s="1"/>
  <c r="P96" i="2"/>
  <c r="P96" i="28" s="1"/>
  <c r="Q96" i="2"/>
  <c r="Q96" i="28" s="1"/>
  <c r="Q75" i="28"/>
  <c r="J75" i="28"/>
  <c r="N52" i="28"/>
  <c r="P75" i="2"/>
  <c r="I91" i="2"/>
  <c r="J91" i="2"/>
  <c r="K91" i="2"/>
  <c r="L91" i="2"/>
  <c r="M91" i="2"/>
  <c r="N91" i="2"/>
  <c r="O91" i="2"/>
  <c r="P91" i="2"/>
  <c r="Q91" i="2"/>
  <c r="I86" i="2"/>
  <c r="I86" i="28" s="1"/>
  <c r="J86" i="2"/>
  <c r="J86" i="28" s="1"/>
  <c r="K86" i="2"/>
  <c r="K86" i="28" s="1"/>
  <c r="L86" i="2"/>
  <c r="L86" i="28" s="1"/>
  <c r="M86" i="2"/>
  <c r="M86" i="28" s="1"/>
  <c r="N86" i="2"/>
  <c r="N86" i="28" s="1"/>
  <c r="O86" i="2"/>
  <c r="O86" i="28" s="1"/>
  <c r="P86" i="2"/>
  <c r="P86" i="28" s="1"/>
  <c r="Q86" i="2"/>
  <c r="Q86" i="28" s="1"/>
  <c r="M52" i="28"/>
  <c r="I75" i="2"/>
  <c r="L52" i="28"/>
  <c r="I75" i="28"/>
  <c r="P75" i="28"/>
  <c r="I92" i="2"/>
  <c r="I92" i="28" s="1"/>
  <c r="J92" i="2"/>
  <c r="J92" i="28" s="1"/>
  <c r="K92" i="2"/>
  <c r="K92" i="28" s="1"/>
  <c r="L92" i="2"/>
  <c r="L92" i="28" s="1"/>
  <c r="M92" i="2"/>
  <c r="M92" i="28" s="1"/>
  <c r="N92" i="2"/>
  <c r="N92" i="28" s="1"/>
  <c r="O92" i="2"/>
  <c r="O92" i="28" s="1"/>
  <c r="P92" i="2"/>
  <c r="P92" i="28" s="1"/>
  <c r="Q92" i="2"/>
  <c r="Q92" i="28" s="1"/>
  <c r="I160" i="2"/>
  <c r="I160" i="28" s="1"/>
  <c r="J160" i="2"/>
  <c r="J160" i="28" s="1"/>
  <c r="K160" i="2"/>
  <c r="K160" i="28" s="1"/>
  <c r="L160" i="2"/>
  <c r="L160" i="28" s="1"/>
  <c r="M160" i="2"/>
  <c r="M160" i="28" s="1"/>
  <c r="N160" i="2"/>
  <c r="N160" i="28" s="1"/>
  <c r="O160" i="2"/>
  <c r="O160" i="28" s="1"/>
  <c r="P160" i="2"/>
  <c r="P160" i="28" s="1"/>
  <c r="L75" i="2"/>
  <c r="O46" i="28" l="1"/>
  <c r="O77" i="28" s="1"/>
  <c r="O77" i="2"/>
  <c r="N46" i="28"/>
  <c r="N77" i="28" s="1"/>
  <c r="N77" i="2"/>
  <c r="M46" i="28"/>
  <c r="M77" i="28" s="1"/>
  <c r="M77" i="2"/>
  <c r="L46" i="28"/>
  <c r="L77" i="28" s="1"/>
  <c r="L77" i="2"/>
  <c r="K46" i="28"/>
  <c r="K77" i="28" s="1"/>
  <c r="K77" i="2"/>
  <c r="J46" i="28"/>
  <c r="J77" i="28" s="1"/>
  <c r="J77" i="2"/>
  <c r="Q77" i="28"/>
  <c r="Q77" i="2"/>
  <c r="I46" i="28"/>
  <c r="I77" i="28" s="1"/>
  <c r="I77" i="2"/>
  <c r="P77" i="28"/>
  <c r="P77" i="2"/>
  <c r="I45" i="2"/>
  <c r="J45" i="2"/>
  <c r="K45" i="2"/>
  <c r="L45" i="2"/>
  <c r="M45" i="2"/>
  <c r="N45" i="2"/>
  <c r="O45" i="2"/>
  <c r="P45" i="2"/>
  <c r="Q45" i="2"/>
  <c r="Q62" i="28"/>
  <c r="Q235" i="2"/>
  <c r="M62" i="28"/>
  <c r="M89" i="28"/>
  <c r="L62" i="28"/>
  <c r="O89" i="28"/>
  <c r="N62" i="2"/>
  <c r="N62" i="28"/>
  <c r="N89" i="28"/>
  <c r="M62" i="2"/>
  <c r="K89" i="28"/>
  <c r="Q89" i="28"/>
  <c r="I89" i="28"/>
  <c r="L89" i="28"/>
  <c r="K62" i="2"/>
  <c r="J89" i="28"/>
  <c r="O89" i="2"/>
  <c r="Q89" i="2"/>
  <c r="N89" i="2"/>
  <c r="O62" i="2"/>
  <c r="O62" i="28"/>
  <c r="P89" i="28"/>
  <c r="L62" i="2"/>
  <c r="M91" i="28"/>
  <c r="P155" i="28"/>
  <c r="Q62" i="2"/>
  <c r="K62" i="28"/>
  <c r="L91" i="28"/>
  <c r="O155" i="28"/>
  <c r="L89" i="2"/>
  <c r="M89" i="2"/>
  <c r="K91" i="28"/>
  <c r="J89" i="2"/>
  <c r="N155" i="28"/>
  <c r="P89" i="2"/>
  <c r="J91" i="28"/>
  <c r="M155" i="28"/>
  <c r="P62" i="2"/>
  <c r="I89" i="2"/>
  <c r="K89" i="2"/>
  <c r="N91" i="28"/>
  <c r="Q155" i="28"/>
  <c r="I94" i="2"/>
  <c r="I94" i="28" s="1"/>
  <c r="J94" i="2"/>
  <c r="J94" i="28" s="1"/>
  <c r="K94" i="2"/>
  <c r="K94" i="28" s="1"/>
  <c r="L94" i="2"/>
  <c r="L94" i="28" s="1"/>
  <c r="M94" i="2"/>
  <c r="M94" i="28" s="1"/>
  <c r="N94" i="2"/>
  <c r="N94" i="28" s="1"/>
  <c r="O94" i="2"/>
  <c r="O94" i="28" s="1"/>
  <c r="P94" i="2"/>
  <c r="P94" i="28" s="1"/>
  <c r="Q94" i="2"/>
  <c r="Q94" i="28" s="1"/>
  <c r="Q91" i="28"/>
  <c r="I91" i="28"/>
  <c r="L155" i="28"/>
  <c r="DY205" i="11"/>
  <c r="DY250" i="11"/>
  <c r="P62" i="28"/>
  <c r="I155" i="28"/>
  <c r="P91" i="28"/>
  <c r="DY178" i="11"/>
  <c r="DY179" i="11" s="1"/>
  <c r="K155" i="28"/>
  <c r="I62" i="28"/>
  <c r="Q219" i="2"/>
  <c r="Q219" i="28" s="1"/>
  <c r="DY309" i="11"/>
  <c r="J62" i="2"/>
  <c r="O91" i="28"/>
  <c r="J155" i="28"/>
  <c r="I62" i="2"/>
  <c r="J62" i="28"/>
  <c r="N45" i="28" l="1"/>
  <c r="N76" i="28" s="1"/>
  <c r="N76" i="2"/>
  <c r="M45" i="28"/>
  <c r="M76" i="28" s="1"/>
  <c r="M76" i="2"/>
  <c r="L45" i="28"/>
  <c r="L76" i="28" s="1"/>
  <c r="L76" i="2"/>
  <c r="K45" i="28"/>
  <c r="K76" i="28" s="1"/>
  <c r="K76" i="2"/>
  <c r="J45" i="28"/>
  <c r="J76" i="28" s="1"/>
  <c r="J76" i="2"/>
  <c r="Q45" i="28"/>
  <c r="Q76" i="28" s="1"/>
  <c r="Q76" i="2"/>
  <c r="I45" i="28"/>
  <c r="I76" i="28" s="1"/>
  <c r="I76" i="2"/>
  <c r="P45" i="28"/>
  <c r="P76" i="28" s="1"/>
  <c r="P76" i="2"/>
  <c r="O45" i="28"/>
  <c r="O76" i="28" s="1"/>
  <c r="O76" i="2"/>
  <c r="DY181" i="11"/>
  <c r="DY301" i="11" s="1"/>
  <c r="DY182" i="11"/>
  <c r="O97" i="28"/>
  <c r="O99" i="28" s="1"/>
  <c r="O102" i="28" s="1"/>
  <c r="O97" i="2"/>
  <c r="O99" i="2" s="1"/>
  <c r="O101" i="2" s="1"/>
  <c r="J97" i="2"/>
  <c r="J99" i="2" s="1"/>
  <c r="J102" i="2" s="1"/>
  <c r="L97" i="2"/>
  <c r="L99" i="2" s="1"/>
  <c r="L102" i="2" s="1"/>
  <c r="Q183" i="2"/>
  <c r="Q183" i="28" s="1"/>
  <c r="DY268" i="11"/>
  <c r="H268" i="11" s="1"/>
  <c r="E15" i="30" s="1"/>
  <c r="K97" i="28"/>
  <c r="K99" i="28" s="1"/>
  <c r="K102" i="28" s="1"/>
  <c r="L97" i="28"/>
  <c r="L99" i="28" s="1"/>
  <c r="K97" i="2"/>
  <c r="K99" i="2" s="1"/>
  <c r="DY235" i="11"/>
  <c r="DY303" i="11"/>
  <c r="P97" i="2"/>
  <c r="P99" i="2" s="1"/>
  <c r="P102" i="2" s="1"/>
  <c r="I97" i="2"/>
  <c r="I99" i="2" s="1"/>
  <c r="M97" i="28"/>
  <c r="M99" i="28" s="1"/>
  <c r="Q97" i="28"/>
  <c r="I130" i="2"/>
  <c r="I130" i="28" s="1"/>
  <c r="J130" i="2"/>
  <c r="J130" i="28" s="1"/>
  <c r="K130" i="2"/>
  <c r="K130" i="28" s="1"/>
  <c r="L130" i="2"/>
  <c r="L130" i="28" s="1"/>
  <c r="M130" i="2"/>
  <c r="M130" i="28" s="1"/>
  <c r="N130" i="2"/>
  <c r="N130" i="28" s="1"/>
  <c r="O130" i="2"/>
  <c r="O130" i="28" s="1"/>
  <c r="P130" i="2"/>
  <c r="P130" i="28" s="1"/>
  <c r="Q130" i="2"/>
  <c r="Q130" i="28" s="1"/>
  <c r="P97" i="28"/>
  <c r="P99" i="28" s="1"/>
  <c r="P102" i="28" s="1"/>
  <c r="I97" i="28"/>
  <c r="I99" i="28" s="1"/>
  <c r="I102" i="28" s="1"/>
  <c r="N97" i="28"/>
  <c r="N99" i="28" s="1"/>
  <c r="M97" i="2"/>
  <c r="M99" i="2" s="1"/>
  <c r="DY312" i="11"/>
  <c r="Q220" i="2"/>
  <c r="Q220" i="28" s="1"/>
  <c r="Q97" i="2"/>
  <c r="Q99" i="2" s="1"/>
  <c r="Q102" i="2" s="1"/>
  <c r="N97" i="2"/>
  <c r="N99" i="2" s="1"/>
  <c r="J97" i="28"/>
  <c r="J99" i="28" s="1"/>
  <c r="J102" i="28" s="1"/>
  <c r="Q99" i="28" l="1"/>
  <c r="O102" i="2"/>
  <c r="O121" i="2" s="1"/>
  <c r="O101" i="28"/>
  <c r="P101" i="28"/>
  <c r="J101" i="2"/>
  <c r="K101" i="28"/>
  <c r="L101" i="2"/>
  <c r="L120" i="2" s="1"/>
  <c r="K101" i="2"/>
  <c r="K102" i="2"/>
  <c r="I102" i="2"/>
  <c r="I101" i="2"/>
  <c r="M101" i="2"/>
  <c r="M102" i="2"/>
  <c r="I162" i="2"/>
  <c r="J162" i="2"/>
  <c r="K162" i="2"/>
  <c r="L162" i="2"/>
  <c r="M162" i="2"/>
  <c r="N162" i="2"/>
  <c r="O162" i="2"/>
  <c r="P162" i="2"/>
  <c r="Q162" i="2"/>
  <c r="Q222" i="2"/>
  <c r="Q222" i="28" s="1"/>
  <c r="P104" i="28"/>
  <c r="J101" i="28"/>
  <c r="P101" i="2"/>
  <c r="P104" i="2"/>
  <c r="P121" i="2"/>
  <c r="J121" i="2"/>
  <c r="J104" i="2"/>
  <c r="I101" i="28"/>
  <c r="L102" i="28"/>
  <c r="L101" i="28"/>
  <c r="N102" i="2"/>
  <c r="N101" i="2"/>
  <c r="Q213" i="28"/>
  <c r="Q213" i="2"/>
  <c r="K104" i="28"/>
  <c r="O104" i="28"/>
  <c r="J104" i="28"/>
  <c r="Q121" i="2"/>
  <c r="Q104" i="2"/>
  <c r="N102" i="28"/>
  <c r="N101" i="28"/>
  <c r="M101" i="28"/>
  <c r="M102" i="28"/>
  <c r="I104" i="28"/>
  <c r="I111" i="28"/>
  <c r="Q101" i="2"/>
  <c r="L104" i="2"/>
  <c r="L121" i="2"/>
  <c r="O211" i="2"/>
  <c r="O103" i="2"/>
  <c r="O120" i="2"/>
  <c r="K103" i="28" l="1"/>
  <c r="P103" i="28"/>
  <c r="J120" i="2"/>
  <c r="J103" i="2"/>
  <c r="Q101" i="28"/>
  <c r="Q102" i="28"/>
  <c r="J211" i="2"/>
  <c r="P211" i="28"/>
  <c r="K211" i="28"/>
  <c r="O104" i="2"/>
  <c r="L211" i="2"/>
  <c r="O211" i="28"/>
  <c r="O103" i="28"/>
  <c r="L103" i="2"/>
  <c r="O162" i="28"/>
  <c r="N104" i="28"/>
  <c r="N104" i="2"/>
  <c r="N121" i="2"/>
  <c r="I110" i="28"/>
  <c r="I211" i="28"/>
  <c r="I103" i="28"/>
  <c r="N162" i="28"/>
  <c r="L104" i="28"/>
  <c r="M162" i="28"/>
  <c r="M121" i="2"/>
  <c r="M104" i="2"/>
  <c r="L162" i="28"/>
  <c r="M103" i="2"/>
  <c r="M120" i="2"/>
  <c r="M211" i="2"/>
  <c r="K162" i="28"/>
  <c r="I103" i="2"/>
  <c r="I211" i="2"/>
  <c r="I120" i="2"/>
  <c r="I110" i="2"/>
  <c r="Q103" i="2"/>
  <c r="Q120" i="2"/>
  <c r="Q211" i="2"/>
  <c r="J162" i="28"/>
  <c r="I104" i="2"/>
  <c r="I121" i="2"/>
  <c r="I111" i="2"/>
  <c r="I113" i="2"/>
  <c r="I113" i="28" s="1"/>
  <c r="M104" i="28"/>
  <c r="Q162" i="28"/>
  <c r="I162" i="28"/>
  <c r="K121" i="2"/>
  <c r="K104" i="2"/>
  <c r="N103" i="28"/>
  <c r="N211" i="28"/>
  <c r="N120" i="2"/>
  <c r="N211" i="2"/>
  <c r="N103" i="2"/>
  <c r="P120" i="2"/>
  <c r="P103" i="2"/>
  <c r="P211" i="2"/>
  <c r="M211" i="28"/>
  <c r="M103" i="28"/>
  <c r="L103" i="28"/>
  <c r="L211" i="28"/>
  <c r="J103" i="28"/>
  <c r="J211" i="28"/>
  <c r="P162" i="28"/>
  <c r="K103" i="2"/>
  <c r="K211" i="2"/>
  <c r="K120" i="2"/>
  <c r="I116" i="28" l="1"/>
  <c r="I118" i="28" s="1"/>
  <c r="Q103" i="28"/>
  <c r="Q211" i="28"/>
  <c r="Q104" i="28"/>
  <c r="I115" i="2"/>
  <c r="I117" i="2" s="1"/>
  <c r="I129" i="2"/>
  <c r="I166" i="2"/>
  <c r="I115" i="28"/>
  <c r="I116" i="2"/>
  <c r="I118" i="2" s="1"/>
  <c r="I117" i="28" l="1"/>
  <c r="I166" i="28"/>
  <c r="I121" i="28"/>
  <c r="I122" i="2"/>
  <c r="I212" i="2"/>
  <c r="I122" i="28"/>
  <c r="I123" i="2"/>
  <c r="I212" i="28"/>
  <c r="I129" i="28"/>
  <c r="I132" i="28" s="1"/>
  <c r="I146" i="28" s="1"/>
  <c r="I132" i="2"/>
  <c r="I149" i="2" l="1"/>
  <c r="I146" i="2"/>
  <c r="I150" i="2"/>
  <c r="I150" i="28"/>
  <c r="I149" i="28"/>
  <c r="G138" i="3"/>
  <c r="E50" i="7" s="1"/>
  <c r="E47" i="7"/>
  <c r="E48" i="7"/>
  <c r="AZ47" i="7" l="1"/>
  <c r="AH47" i="7"/>
  <c r="AO52" i="7"/>
  <c r="AO53" i="7" s="1"/>
  <c r="AO11" i="7" s="1"/>
  <c r="AP52" i="7"/>
  <c r="AP53" i="7" s="1"/>
  <c r="AP11" i="7" s="1"/>
  <c r="AN52" i="7"/>
  <c r="AN53" i="7" s="1"/>
  <c r="AN11" i="7" s="1"/>
  <c r="AZ57" i="7"/>
  <c r="AZ48" i="7"/>
  <c r="DB52" i="7"/>
  <c r="DB53" i="7" s="1"/>
  <c r="DB11" i="7" s="1"/>
  <c r="DC52" i="7"/>
  <c r="DC53" i="7" s="1"/>
  <c r="DC11" i="7" s="1"/>
  <c r="DD52" i="7"/>
  <c r="DD53" i="7" s="1"/>
  <c r="DD11" i="7" s="1"/>
  <c r="DE52" i="7"/>
  <c r="DE53" i="7" s="1"/>
  <c r="DE11" i="7" s="1"/>
  <c r="DF52" i="7"/>
  <c r="DF53" i="7" s="1"/>
  <c r="DF11" i="7" s="1"/>
  <c r="DG52" i="7"/>
  <c r="DG53" i="7" s="1"/>
  <c r="DG11" i="7" s="1"/>
  <c r="AK47" i="7"/>
  <c r="AL54" i="7" s="1"/>
  <c r="AT47" i="7"/>
  <c r="CS52" i="7"/>
  <c r="CS53" i="7" s="1"/>
  <c r="CS11" i="7" s="1"/>
  <c r="CT52" i="7"/>
  <c r="CT53" i="7" s="1"/>
  <c r="CT11" i="7" s="1"/>
  <c r="CU52" i="7"/>
  <c r="CU53" i="7" s="1"/>
  <c r="CU11" i="7" s="1"/>
  <c r="CV52" i="7"/>
  <c r="CV53" i="7" s="1"/>
  <c r="CV11" i="7" s="1"/>
  <c r="CW52" i="7"/>
  <c r="CW53" i="7" s="1"/>
  <c r="CW11" i="7" s="1"/>
  <c r="CX52" i="7"/>
  <c r="CX53" i="7" s="1"/>
  <c r="CX11" i="7" s="1"/>
  <c r="CY52" i="7"/>
  <c r="CY53" i="7" s="1"/>
  <c r="CY11" i="7" s="1"/>
  <c r="CZ52" i="7"/>
  <c r="CZ53" i="7" s="1"/>
  <c r="CZ11" i="7" s="1"/>
  <c r="DA52" i="7"/>
  <c r="DA53" i="7" s="1"/>
  <c r="DA11" i="7" s="1"/>
  <c r="AM54" i="7"/>
  <c r="AO54" i="7"/>
  <c r="AN54" i="7"/>
  <c r="AK54" i="7"/>
  <c r="BC52" i="7"/>
  <c r="BC53" i="7" s="1"/>
  <c r="BC11" i="7" s="1"/>
  <c r="BD52" i="7"/>
  <c r="BD53" i="7" s="1"/>
  <c r="BD11" i="7" s="1"/>
  <c r="BK52" i="7"/>
  <c r="BK53" i="7" s="1"/>
  <c r="BK11" i="7" s="1"/>
  <c r="BF52" i="7"/>
  <c r="BF53" i="7" s="1"/>
  <c r="BF11" i="7" s="1"/>
  <c r="BA52" i="7"/>
  <c r="BA53" i="7" s="1"/>
  <c r="BA11" i="7" s="1"/>
  <c r="AR52" i="7"/>
  <c r="AR53" i="7" s="1"/>
  <c r="AR11" i="7" s="1"/>
  <c r="BG52" i="7"/>
  <c r="BG53" i="7" s="1"/>
  <c r="BG11" i="7" s="1"/>
  <c r="BS52" i="7"/>
  <c r="BS53" i="7" s="1"/>
  <c r="BS11" i="7" s="1"/>
  <c r="AV52" i="7"/>
  <c r="AV53" i="7" s="1"/>
  <c r="AV11" i="7" s="1"/>
  <c r="AY52" i="7"/>
  <c r="AY53" i="7" s="1"/>
  <c r="AY11" i="7" s="1"/>
  <c r="BO52" i="7"/>
  <c r="BO53" i="7" s="1"/>
  <c r="BO11" i="7" s="1"/>
  <c r="AU52" i="7"/>
  <c r="AU53" i="7" s="1"/>
  <c r="AU11" i="7" s="1"/>
  <c r="AZ52" i="7"/>
  <c r="AZ53" i="7" s="1"/>
  <c r="AZ11" i="7" s="1"/>
  <c r="CC52" i="7"/>
  <c r="CC53" i="7" s="1"/>
  <c r="CC11" i="7" s="1"/>
  <c r="BE52" i="7"/>
  <c r="BE53" i="7" s="1"/>
  <c r="BE11" i="7" s="1"/>
  <c r="BV52" i="7"/>
  <c r="BV53" i="7" s="1"/>
  <c r="BV11" i="7" s="1"/>
  <c r="BL52" i="7"/>
  <c r="BL53" i="7" s="1"/>
  <c r="BL11" i="7" s="1"/>
  <c r="CD52" i="7"/>
  <c r="CD53" i="7" s="1"/>
  <c r="CD11" i="7" s="1"/>
  <c r="CQ52" i="7"/>
  <c r="CQ53" i="7" s="1"/>
  <c r="CQ11" i="7" s="1"/>
  <c r="BT52" i="7"/>
  <c r="BT53" i="7" s="1"/>
  <c r="BT11" i="7" s="1"/>
  <c r="BZ52" i="7"/>
  <c r="BZ53" i="7" s="1"/>
  <c r="BZ11" i="7" s="1"/>
  <c r="BR52" i="7"/>
  <c r="BR53" i="7" s="1"/>
  <c r="BR11" i="7" s="1"/>
  <c r="AW52" i="7"/>
  <c r="AW53" i="7" s="1"/>
  <c r="AW11" i="7" s="1"/>
  <c r="AQ52" i="7"/>
  <c r="AQ53" i="7" s="1"/>
  <c r="AQ11" i="7" s="1"/>
  <c r="CB52" i="7"/>
  <c r="CB53" i="7" s="1"/>
  <c r="CB11" i="7" s="1"/>
  <c r="BH52" i="7"/>
  <c r="BH53" i="7" s="1"/>
  <c r="BH11" i="7" s="1"/>
  <c r="BJ52" i="7"/>
  <c r="BJ53" i="7" s="1"/>
  <c r="BJ11" i="7" s="1"/>
  <c r="AX52" i="7"/>
  <c r="AX53" i="7" s="1"/>
  <c r="AX11" i="7" s="1"/>
  <c r="AT52" i="7"/>
  <c r="AT53" i="7" s="1"/>
  <c r="AT11" i="7" s="1"/>
  <c r="BN52" i="7"/>
  <c r="BN53" i="7" s="1"/>
  <c r="BN11" i="7" s="1"/>
  <c r="BP52" i="7"/>
  <c r="BP53" i="7" s="1"/>
  <c r="BP11" i="7" s="1"/>
  <c r="BY52" i="7"/>
  <c r="BY53" i="7" s="1"/>
  <c r="BY11" i="7" s="1"/>
  <c r="AS52" i="7"/>
  <c r="AS53" i="7" s="1"/>
  <c r="AS11" i="7" s="1"/>
  <c r="BX52" i="7"/>
  <c r="BX53" i="7" s="1"/>
  <c r="BX11" i="7" s="1"/>
  <c r="CN52" i="7"/>
  <c r="CN53" i="7" s="1"/>
  <c r="CN11" i="7" s="1"/>
  <c r="BI52" i="7"/>
  <c r="BI53" i="7" s="1"/>
  <c r="BI11" i="7" s="1"/>
  <c r="CA52" i="7"/>
  <c r="CA53" i="7" s="1"/>
  <c r="CA11" i="7" s="1"/>
  <c r="BW52" i="7"/>
  <c r="BW53" i="7" s="1"/>
  <c r="BW11" i="7" s="1"/>
  <c r="BU52" i="7"/>
  <c r="BU53" i="7" s="1"/>
  <c r="BU11" i="7" s="1"/>
  <c r="BQ52" i="7"/>
  <c r="BQ53" i="7" s="1"/>
  <c r="BQ11" i="7" s="1"/>
  <c r="BB52" i="7"/>
  <c r="BB53" i="7" s="1"/>
  <c r="BB11" i="7" s="1"/>
  <c r="BM52" i="7"/>
  <c r="BM53" i="7" s="1"/>
  <c r="BM11" i="7" s="1"/>
  <c r="CO52" i="7"/>
  <c r="CO53" i="7" s="1"/>
  <c r="CO11" i="7" s="1"/>
  <c r="CK52" i="7"/>
  <c r="CK53" i="7" s="1"/>
  <c r="CK11" i="7" s="1"/>
  <c r="CJ52" i="7"/>
  <c r="CJ53" i="7" s="1"/>
  <c r="CJ11" i="7" s="1"/>
  <c r="CH52" i="7"/>
  <c r="CH53" i="7" s="1"/>
  <c r="CH11" i="7" s="1"/>
  <c r="CE52" i="7"/>
  <c r="CE53" i="7" s="1"/>
  <c r="CE11" i="7" s="1"/>
  <c r="CP52" i="7"/>
  <c r="CP53" i="7" s="1"/>
  <c r="CP11" i="7" s="1"/>
  <c r="CF52" i="7"/>
  <c r="CF53" i="7" s="1"/>
  <c r="CF11" i="7" s="1"/>
  <c r="CR52" i="7"/>
  <c r="CR53" i="7" s="1"/>
  <c r="CR11" i="7" s="1"/>
  <c r="CM52" i="7"/>
  <c r="CM53" i="7" s="1"/>
  <c r="CM11" i="7" s="1"/>
  <c r="CI52" i="7"/>
  <c r="CI53" i="7" s="1"/>
  <c r="CI11" i="7" s="1"/>
  <c r="CL52" i="7"/>
  <c r="CL53" i="7" s="1"/>
  <c r="CL11" i="7" s="1"/>
  <c r="CG52" i="7"/>
  <c r="CG53" i="7" s="1"/>
  <c r="CG11" i="7" s="1"/>
  <c r="AN216" i="11" l="1"/>
  <c r="AN234" i="11"/>
  <c r="AP54" i="7"/>
  <c r="AP216" i="11"/>
  <c r="AP234" i="11"/>
  <c r="AK57" i="7"/>
  <c r="AO216" i="11"/>
  <c r="AO234" i="11"/>
  <c r="AK48" i="7"/>
  <c r="AH57" i="7"/>
  <c r="AH48" i="7"/>
  <c r="AJ54" i="7"/>
  <c r="AH54" i="7"/>
  <c r="AI54" i="7"/>
  <c r="DG216" i="11"/>
  <c r="DG234" i="11"/>
  <c r="DF216" i="11"/>
  <c r="DF234" i="11"/>
  <c r="DE216" i="11"/>
  <c r="DE234" i="11"/>
  <c r="DD234" i="11"/>
  <c r="DD216" i="11"/>
  <c r="DC234" i="11"/>
  <c r="DC216" i="11"/>
  <c r="DB234" i="11"/>
  <c r="DB216" i="11"/>
  <c r="AZ58" i="7"/>
  <c r="AZ10" i="7"/>
  <c r="CX234" i="11"/>
  <c r="CX216" i="11"/>
  <c r="CW234" i="11"/>
  <c r="CW216" i="11"/>
  <c r="CV216" i="11"/>
  <c r="CV234" i="11"/>
  <c r="CU234" i="11"/>
  <c r="CU216" i="11"/>
  <c r="CT234" i="11"/>
  <c r="CT216" i="11"/>
  <c r="DA216" i="11"/>
  <c r="DA234" i="11"/>
  <c r="CS216" i="11"/>
  <c r="CS234" i="11"/>
  <c r="CZ234" i="11"/>
  <c r="CZ216" i="11"/>
  <c r="AT48" i="7"/>
  <c r="AT57" i="7"/>
  <c r="CY234" i="11"/>
  <c r="CY216" i="11"/>
  <c r="AR54" i="7"/>
  <c r="BB234" i="11"/>
  <c r="BB216" i="11"/>
  <c r="DN54" i="7"/>
  <c r="BS54" i="7"/>
  <c r="BJ54" i="7"/>
  <c r="DL54" i="7"/>
  <c r="CP234" i="11"/>
  <c r="CP216" i="11"/>
  <c r="BQ234" i="11"/>
  <c r="BQ216" i="11"/>
  <c r="BY234" i="11"/>
  <c r="BY216" i="11"/>
  <c r="AQ234" i="11"/>
  <c r="AQ216" i="11"/>
  <c r="BV234" i="11"/>
  <c r="BV216" i="11"/>
  <c r="BS234" i="11"/>
  <c r="BS216" i="11"/>
  <c r="BC54" i="7"/>
  <c r="CC54" i="7"/>
  <c r="CY54" i="7"/>
  <c r="CJ54" i="7"/>
  <c r="BY54" i="7"/>
  <c r="BR54" i="7"/>
  <c r="AV54" i="7"/>
  <c r="DJ54" i="7"/>
  <c r="AT54" i="7"/>
  <c r="DK54" i="7"/>
  <c r="DT54" i="7"/>
  <c r="CO54" i="7"/>
  <c r="BL234" i="11"/>
  <c r="BL216" i="11"/>
  <c r="BD54" i="7"/>
  <c r="DB54" i="7"/>
  <c r="DC54" i="7"/>
  <c r="CA54" i="7"/>
  <c r="CE234" i="11"/>
  <c r="CE216" i="11"/>
  <c r="BU234" i="11"/>
  <c r="BU216" i="11"/>
  <c r="BP234" i="11"/>
  <c r="BP216" i="11"/>
  <c r="AW234" i="11"/>
  <c r="AW216" i="11"/>
  <c r="BE234" i="11"/>
  <c r="BE216" i="11"/>
  <c r="BG234" i="11"/>
  <c r="BG216" i="11"/>
  <c r="CW54" i="7"/>
  <c r="CE54" i="7"/>
  <c r="DG54" i="7"/>
  <c r="CR54" i="7"/>
  <c r="BU54" i="7"/>
  <c r="AS54" i="7"/>
  <c r="BH54" i="7"/>
  <c r="DR54" i="7"/>
  <c r="DS54" i="7"/>
  <c r="BX54" i="7"/>
  <c r="BW54" i="7"/>
  <c r="AV234" i="11"/>
  <c r="AV216" i="11"/>
  <c r="CG234" i="11"/>
  <c r="CG216" i="11"/>
  <c r="CH234" i="11"/>
  <c r="CH216" i="11"/>
  <c r="BW234" i="11"/>
  <c r="BW216" i="11"/>
  <c r="BN234" i="11"/>
  <c r="BN216" i="11"/>
  <c r="BR234" i="11"/>
  <c r="BR216" i="11"/>
  <c r="CC234" i="11"/>
  <c r="CC216" i="11"/>
  <c r="AR234" i="11"/>
  <c r="AR216" i="11"/>
  <c r="AQ54" i="7"/>
  <c r="CD54" i="7"/>
  <c r="DO54" i="7"/>
  <c r="CZ54" i="7"/>
  <c r="AX54" i="7"/>
  <c r="CK54" i="7"/>
  <c r="AW54" i="7"/>
  <c r="CB54" i="7"/>
  <c r="AK10" i="7"/>
  <c r="AK58" i="7"/>
  <c r="CG54" i="7"/>
  <c r="BC234" i="11"/>
  <c r="BC216" i="11"/>
  <c r="BA54" i="7"/>
  <c r="CL234" i="11"/>
  <c r="CL216" i="11"/>
  <c r="CJ234" i="11"/>
  <c r="CJ216" i="11"/>
  <c r="CA234" i="11"/>
  <c r="CA216" i="11"/>
  <c r="AT216" i="11"/>
  <c r="AT234" i="11"/>
  <c r="BZ234" i="11"/>
  <c r="BZ216" i="11"/>
  <c r="AZ234" i="11"/>
  <c r="AZ216" i="11"/>
  <c r="BA234" i="11"/>
  <c r="BA216" i="11"/>
  <c r="AY54" i="7"/>
  <c r="BE54" i="7"/>
  <c r="DW54" i="7"/>
  <c r="DH54" i="7"/>
  <c r="DA54" i="7"/>
  <c r="CS54" i="7"/>
  <c r="BF54" i="7"/>
  <c r="BQ54" i="7"/>
  <c r="BT54" i="7"/>
  <c r="AU54" i="7"/>
  <c r="DE54" i="7"/>
  <c r="BV54" i="7"/>
  <c r="CF234" i="11"/>
  <c r="CF216" i="11"/>
  <c r="CI234" i="11"/>
  <c r="CI216" i="11"/>
  <c r="CK234" i="11"/>
  <c r="CK216" i="11"/>
  <c r="BI234" i="11"/>
  <c r="BI216" i="11"/>
  <c r="AX234" i="11"/>
  <c r="AX216" i="11"/>
  <c r="BT234" i="11"/>
  <c r="BT216" i="11"/>
  <c r="AU234" i="11"/>
  <c r="AU216" i="11"/>
  <c r="BF216" i="11"/>
  <c r="BF234" i="11"/>
  <c r="BN54" i="7"/>
  <c r="BK54" i="7"/>
  <c r="DP54" i="7"/>
  <c r="DQ54" i="7"/>
  <c r="DI54" i="7"/>
  <c r="BL54" i="7"/>
  <c r="BO54" i="7"/>
  <c r="BZ54" i="7"/>
  <c r="CN54" i="7"/>
  <c r="DM54" i="7"/>
  <c r="CH54" i="7"/>
  <c r="AS234" i="11"/>
  <c r="AS216" i="11"/>
  <c r="CQ54" i="7"/>
  <c r="CO234" i="11"/>
  <c r="CO216" i="11"/>
  <c r="CN234" i="11"/>
  <c r="CN216" i="11"/>
  <c r="BJ234" i="11"/>
  <c r="BJ216" i="11"/>
  <c r="CQ234" i="11"/>
  <c r="CQ216" i="11"/>
  <c r="BO234" i="11"/>
  <c r="BO216" i="11"/>
  <c r="BK234" i="11"/>
  <c r="BK216" i="11"/>
  <c r="CP54" i="7"/>
  <c r="BP54" i="7"/>
  <c r="DX54" i="7"/>
  <c r="DY54" i="7"/>
  <c r="CL54" i="7"/>
  <c r="BB54" i="7"/>
  <c r="CM54" i="7"/>
  <c r="CV54" i="7"/>
  <c r="DU54" i="7"/>
  <c r="CX54" i="7"/>
  <c r="CB234" i="11"/>
  <c r="CB216" i="11"/>
  <c r="CM234" i="11"/>
  <c r="CM216" i="11"/>
  <c r="CR234" i="11"/>
  <c r="CR216" i="11"/>
  <c r="BM234" i="11"/>
  <c r="BM216" i="11"/>
  <c r="BX234" i="11"/>
  <c r="BX216" i="11"/>
  <c r="BH234" i="11"/>
  <c r="BH216" i="11"/>
  <c r="CD234" i="11"/>
  <c r="CD216" i="11"/>
  <c r="AY234" i="11"/>
  <c r="AY216" i="11"/>
  <c r="BD234" i="11"/>
  <c r="BD216" i="11"/>
  <c r="DF54" i="7"/>
  <c r="CI54" i="7"/>
  <c r="BG54" i="7"/>
  <c r="BI54" i="7"/>
  <c r="CF54" i="7"/>
  <c r="CT54" i="7"/>
  <c r="AZ54" i="7"/>
  <c r="CU54" i="7"/>
  <c r="DD54" i="7"/>
  <c r="BM54" i="7"/>
  <c r="DV54" i="7"/>
  <c r="AH58" i="7" l="1"/>
  <c r="AH10" i="7"/>
  <c r="AH49" i="7"/>
  <c r="P141" i="2"/>
  <c r="P141" i="28" s="1"/>
  <c r="P161" i="2"/>
  <c r="P161" i="28" s="1"/>
  <c r="AZ215" i="11"/>
  <c r="AZ231" i="11"/>
  <c r="AT58" i="7"/>
  <c r="AT10" i="7"/>
  <c r="O141" i="2"/>
  <c r="M141" i="2"/>
  <c r="O161" i="2"/>
  <c r="O161" i="28" s="1"/>
  <c r="N141" i="2"/>
  <c r="M161" i="2"/>
  <c r="M161" i="28" s="1"/>
  <c r="J141" i="2"/>
  <c r="J141" i="28" s="1"/>
  <c r="J161" i="2"/>
  <c r="J161" i="28" s="1"/>
  <c r="N161" i="2"/>
  <c r="N161" i="28" s="1"/>
  <c r="L161" i="2"/>
  <c r="L161" i="28" s="1"/>
  <c r="AK231" i="11"/>
  <c r="AK215" i="11"/>
  <c r="L141" i="2"/>
  <c r="K161" i="2"/>
  <c r="K161" i="28" s="1"/>
  <c r="K141" i="2"/>
  <c r="AH55" i="7" l="1"/>
  <c r="AH12" i="7" s="1"/>
  <c r="AH184" i="11" s="1"/>
  <c r="AI49" i="7"/>
  <c r="AH56" i="7"/>
  <c r="AI13" i="7" s="1"/>
  <c r="AI185" i="11" s="1"/>
  <c r="AI217" i="11" s="1"/>
  <c r="AI218" i="11" s="1"/>
  <c r="AH24" i="7"/>
  <c r="AH14" i="7"/>
  <c r="AH231" i="11"/>
  <c r="J158" i="2" s="1"/>
  <c r="AH215" i="11"/>
  <c r="J173" i="2" s="1"/>
  <c r="AT231" i="11"/>
  <c r="K158" i="2" s="1"/>
  <c r="K158" i="28" s="1"/>
  <c r="AT215" i="11"/>
  <c r="N141" i="28"/>
  <c r="O141" i="28"/>
  <c r="M141" i="28"/>
  <c r="K141" i="28"/>
  <c r="L141" i="28"/>
  <c r="J140" i="2" l="1"/>
  <c r="J140" i="28" s="1"/>
  <c r="AH218" i="11"/>
  <c r="AH257" i="11"/>
  <c r="AH281" i="11"/>
  <c r="AI56" i="7"/>
  <c r="AJ13" i="7" s="1"/>
  <c r="AJ185" i="11" s="1"/>
  <c r="AJ217" i="11" s="1"/>
  <c r="AJ218" i="11" s="1"/>
  <c r="AI55" i="7"/>
  <c r="AI12" i="7" s="1"/>
  <c r="AI184" i="11" s="1"/>
  <c r="AJ49" i="7"/>
  <c r="AI24" i="7"/>
  <c r="AI14" i="7"/>
  <c r="AH238" i="11"/>
  <c r="AH304" i="11"/>
  <c r="AH189" i="11"/>
  <c r="AH188" i="11"/>
  <c r="K140" i="2"/>
  <c r="K140" i="28" s="1"/>
  <c r="K173" i="2"/>
  <c r="Q174" i="2" s="1"/>
  <c r="J158" i="28"/>
  <c r="J171" i="2"/>
  <c r="J174" i="2"/>
  <c r="J173" i="28"/>
  <c r="AH192" i="11" l="1"/>
  <c r="AJ55" i="7"/>
  <c r="AJ12" i="7" s="1"/>
  <c r="AJ184" i="11" s="1"/>
  <c r="AJ56" i="7"/>
  <c r="AK13" i="7" s="1"/>
  <c r="AK185" i="11" s="1"/>
  <c r="AK217" i="11" s="1"/>
  <c r="AK218" i="11" s="1"/>
  <c r="AJ24" i="7"/>
  <c r="AJ14" i="7"/>
  <c r="AK49" i="7"/>
  <c r="AI238" i="11"/>
  <c r="AF320" i="11" s="1"/>
  <c r="AI304" i="11"/>
  <c r="AI188" i="11"/>
  <c r="AI189" i="11"/>
  <c r="AI281" i="11"/>
  <c r="AH282" i="11"/>
  <c r="AH19" i="7"/>
  <c r="AI257" i="11"/>
  <c r="AH258" i="11"/>
  <c r="AH313" i="11"/>
  <c r="AH191" i="11"/>
  <c r="AH194" i="11" s="1"/>
  <c r="AH196" i="11" s="1"/>
  <c r="AE320" i="11"/>
  <c r="L174" i="2"/>
  <c r="M174" i="2"/>
  <c r="N174" i="2"/>
  <c r="P174" i="2"/>
  <c r="K174" i="2"/>
  <c r="O174" i="2"/>
  <c r="K173" i="28"/>
  <c r="K171" i="28" s="1"/>
  <c r="K171" i="2"/>
  <c r="L172" i="2" s="1"/>
  <c r="J171" i="28"/>
  <c r="J174" i="28"/>
  <c r="J172" i="2"/>
  <c r="AI192" i="11" l="1"/>
  <c r="AH197" i="11"/>
  <c r="AH204" i="11"/>
  <c r="AH302" i="11"/>
  <c r="AI19" i="7"/>
  <c r="AJ257" i="11"/>
  <c r="AI258" i="11"/>
  <c r="AI313" i="11"/>
  <c r="AI191" i="11"/>
  <c r="AI194" i="11" s="1"/>
  <c r="AI197" i="11" s="1"/>
  <c r="AH21" i="7"/>
  <c r="AH22" i="7"/>
  <c r="AK24" i="7"/>
  <c r="AK14" i="7"/>
  <c r="AL49" i="7"/>
  <c r="AK55" i="7"/>
  <c r="AK12" i="7" s="1"/>
  <c r="AK184" i="11" s="1"/>
  <c r="AK56" i="7"/>
  <c r="AL13" i="7" s="1"/>
  <c r="AL185" i="11" s="1"/>
  <c r="AL217" i="11" s="1"/>
  <c r="AL218" i="11" s="1"/>
  <c r="AJ281" i="11"/>
  <c r="AI282" i="11"/>
  <c r="AH239" i="11"/>
  <c r="AH305" i="11"/>
  <c r="AJ238" i="11"/>
  <c r="AJ304" i="11"/>
  <c r="AJ188" i="11"/>
  <c r="AJ189" i="11"/>
  <c r="O174" i="28"/>
  <c r="P172" i="2"/>
  <c r="M172" i="2"/>
  <c r="N174" i="28"/>
  <c r="K172" i="2"/>
  <c r="Q174" i="28"/>
  <c r="N172" i="2"/>
  <c r="M174" i="28"/>
  <c r="Q172" i="2"/>
  <c r="K174" i="28"/>
  <c r="P174" i="28"/>
  <c r="O172" i="2"/>
  <c r="L174" i="28"/>
  <c r="M172" i="28"/>
  <c r="P172" i="28"/>
  <c r="Q172" i="28"/>
  <c r="O172" i="28"/>
  <c r="L172" i="28"/>
  <c r="K172" i="28"/>
  <c r="J172" i="28"/>
  <c r="N172" i="28"/>
  <c r="AH27" i="7" l="1"/>
  <c r="AJ192" i="11"/>
  <c r="AJ191" i="11"/>
  <c r="AJ194" i="11" s="1"/>
  <c r="AJ196" i="11" s="1"/>
  <c r="AG320" i="11"/>
  <c r="AL14" i="7"/>
  <c r="AL24" i="7"/>
  <c r="AM49" i="7"/>
  <c r="AL56" i="7"/>
  <c r="AM13" i="7" s="1"/>
  <c r="AM185" i="11" s="1"/>
  <c r="AM217" i="11" s="1"/>
  <c r="AM218" i="11" s="1"/>
  <c r="AL55" i="7"/>
  <c r="AL12" i="7" s="1"/>
  <c r="AL184" i="11" s="1"/>
  <c r="AJ19" i="7"/>
  <c r="AJ258" i="11"/>
  <c r="AJ313" i="11"/>
  <c r="AK257" i="11"/>
  <c r="AI21" i="7"/>
  <c r="AI22" i="7"/>
  <c r="AK304" i="11"/>
  <c r="AK189" i="11"/>
  <c r="AK188" i="11"/>
  <c r="AK238" i="11"/>
  <c r="AI239" i="11"/>
  <c r="AI305" i="11"/>
  <c r="AJ282" i="11"/>
  <c r="AK281" i="11"/>
  <c r="AI196" i="11"/>
  <c r="AH222" i="11"/>
  <c r="AH207" i="11"/>
  <c r="AJ197" i="11" l="1"/>
  <c r="AK192" i="11"/>
  <c r="AK19" i="7"/>
  <c r="AL257" i="11"/>
  <c r="AK258" i="11"/>
  <c r="AK313" i="11"/>
  <c r="AI27" i="7"/>
  <c r="AH320" i="11"/>
  <c r="I229" i="28"/>
  <c r="I229" i="2"/>
  <c r="AI302" i="11"/>
  <c r="AI204" i="11"/>
  <c r="AK191" i="11"/>
  <c r="AK194" i="11" s="1"/>
  <c r="AK196" i="11" s="1"/>
  <c r="AJ22" i="7"/>
  <c r="AJ21" i="7"/>
  <c r="AJ302" i="11"/>
  <c r="AJ204" i="11"/>
  <c r="AM24" i="7"/>
  <c r="AM56" i="7"/>
  <c r="AN13" i="7" s="1"/>
  <c r="AN185" i="11" s="1"/>
  <c r="AN217" i="11" s="1"/>
  <c r="AN218" i="11" s="1"/>
  <c r="AM14" i="7"/>
  <c r="AN49" i="7"/>
  <c r="AM55" i="7"/>
  <c r="AM12" i="7" s="1"/>
  <c r="AM184" i="11" s="1"/>
  <c r="AL281" i="11"/>
  <c r="AK282" i="11"/>
  <c r="AL304" i="11"/>
  <c r="AL189" i="11"/>
  <c r="AL238" i="11"/>
  <c r="AL188" i="11"/>
  <c r="AL191" i="11" s="1"/>
  <c r="AL194" i="11" s="1"/>
  <c r="AJ305" i="11"/>
  <c r="AJ239" i="11"/>
  <c r="AK197" i="11" l="1"/>
  <c r="AL192" i="11"/>
  <c r="AL197" i="11"/>
  <c r="AJ27" i="7"/>
  <c r="AK204" i="11"/>
  <c r="AK302" i="11"/>
  <c r="AJ222" i="11"/>
  <c r="AJ207" i="11"/>
  <c r="AM188" i="11"/>
  <c r="AM304" i="11"/>
  <c r="AM238" i="11"/>
  <c r="AJ320" i="11" s="1"/>
  <c r="AM189" i="11"/>
  <c r="AN55" i="7"/>
  <c r="AN12" i="7" s="1"/>
  <c r="AN184" i="11" s="1"/>
  <c r="AO49" i="7"/>
  <c r="AN56" i="7"/>
  <c r="AO13" i="7" s="1"/>
  <c r="AO185" i="11" s="1"/>
  <c r="AO217" i="11" s="1"/>
  <c r="AO218" i="11" s="1"/>
  <c r="AN14" i="7"/>
  <c r="AN24" i="7"/>
  <c r="AK305" i="11"/>
  <c r="AK239" i="11"/>
  <c r="AL282" i="11"/>
  <c r="AM281" i="11"/>
  <c r="AL196" i="11"/>
  <c r="AL239" i="11"/>
  <c r="AL305" i="11"/>
  <c r="AI320" i="11"/>
  <c r="AI222" i="11"/>
  <c r="AI207" i="11"/>
  <c r="AL258" i="11"/>
  <c r="AM257" i="11"/>
  <c r="AL19" i="7"/>
  <c r="AL313" i="11"/>
  <c r="AK22" i="7"/>
  <c r="AK21" i="7"/>
  <c r="AK27" i="7" l="1"/>
  <c r="AM192" i="11"/>
  <c r="AL21" i="7"/>
  <c r="AL22" i="7"/>
  <c r="AM191" i="11"/>
  <c r="AM194" i="11" s="1"/>
  <c r="AM196" i="11" s="1"/>
  <c r="AL204" i="11"/>
  <c r="AL302" i="11"/>
  <c r="AN281" i="11"/>
  <c r="AM282" i="11"/>
  <c r="AO24" i="7"/>
  <c r="AO56" i="7"/>
  <c r="AP13" i="7" s="1"/>
  <c r="AP185" i="11" s="1"/>
  <c r="AP217" i="11" s="1"/>
  <c r="AP218" i="11" s="1"/>
  <c r="AO14" i="7"/>
  <c r="AO55" i="7"/>
  <c r="AO12" i="7" s="1"/>
  <c r="AO184" i="11" s="1"/>
  <c r="AP49" i="7"/>
  <c r="AM258" i="11"/>
  <c r="AM19" i="7"/>
  <c r="AM313" i="11"/>
  <c r="AN257" i="11"/>
  <c r="AN238" i="11"/>
  <c r="AN188" i="11"/>
  <c r="AN191" i="11" s="1"/>
  <c r="AN194" i="11" s="1"/>
  <c r="AN189" i="11"/>
  <c r="AN304" i="11"/>
  <c r="AK207" i="11"/>
  <c r="AK222" i="11"/>
  <c r="AM197" i="11" l="1"/>
  <c r="AN192" i="11"/>
  <c r="AN197" i="11"/>
  <c r="AM22" i="7"/>
  <c r="AM21" i="7"/>
  <c r="AN282" i="11"/>
  <c r="AO281" i="11"/>
  <c r="AP55" i="7"/>
  <c r="AP12" i="7" s="1"/>
  <c r="AP184" i="11" s="1"/>
  <c r="AP56" i="7"/>
  <c r="AQ13" i="7" s="1"/>
  <c r="AQ185" i="11" s="1"/>
  <c r="AP14" i="7"/>
  <c r="AQ49" i="7"/>
  <c r="AP24" i="7"/>
  <c r="AL222" i="11"/>
  <c r="AL207" i="11"/>
  <c r="AO189" i="11"/>
  <c r="AO304" i="11"/>
  <c r="AO238" i="11"/>
  <c r="AO188" i="11"/>
  <c r="AO191" i="11" s="1"/>
  <c r="AO194" i="11" s="1"/>
  <c r="AM204" i="11"/>
  <c r="AM302" i="11"/>
  <c r="AN196" i="11"/>
  <c r="AN239" i="11"/>
  <c r="AN305" i="11"/>
  <c r="AM305" i="11"/>
  <c r="AM239" i="11"/>
  <c r="AK320" i="11"/>
  <c r="AN258" i="11"/>
  <c r="AN19" i="7"/>
  <c r="AN313" i="11"/>
  <c r="AO257" i="11"/>
  <c r="AL27" i="7"/>
  <c r="AM27" i="7" l="1"/>
  <c r="AO192" i="11"/>
  <c r="AO197" i="11"/>
  <c r="AO196" i="11"/>
  <c r="AO239" i="11"/>
  <c r="AO305" i="11"/>
  <c r="AQ217" i="11"/>
  <c r="AN302" i="11"/>
  <c r="AN204" i="11"/>
  <c r="AR49" i="7"/>
  <c r="AQ24" i="7"/>
  <c r="AQ56" i="7"/>
  <c r="AR13" i="7" s="1"/>
  <c r="AR185" i="11" s="1"/>
  <c r="AR217" i="11" s="1"/>
  <c r="AR218" i="11" s="1"/>
  <c r="AQ14" i="7"/>
  <c r="AQ55" i="7"/>
  <c r="AQ12" i="7" s="1"/>
  <c r="AQ184" i="11" s="1"/>
  <c r="AO19" i="7"/>
  <c r="AO258" i="11"/>
  <c r="AP257" i="11"/>
  <c r="AO313" i="11"/>
  <c r="AL320" i="11"/>
  <c r="AP189" i="11"/>
  <c r="AP188" i="11"/>
  <c r="AP191" i="11" s="1"/>
  <c r="AP194" i="11" s="1"/>
  <c r="AP238" i="11"/>
  <c r="AM320" i="11" s="1"/>
  <c r="AP304" i="11"/>
  <c r="AO282" i="11"/>
  <c r="AP281" i="11"/>
  <c r="AN22" i="7"/>
  <c r="AN21" i="7"/>
  <c r="AM207" i="11"/>
  <c r="AM222" i="11"/>
  <c r="AP192" i="11" l="1"/>
  <c r="AP197" i="11"/>
  <c r="AN27" i="7"/>
  <c r="AR55" i="7"/>
  <c r="AR12" i="7" s="1"/>
  <c r="AR184" i="11" s="1"/>
  <c r="AR56" i="7"/>
  <c r="AS13" i="7" s="1"/>
  <c r="AS185" i="11" s="1"/>
  <c r="AR14" i="7"/>
  <c r="AR24" i="7"/>
  <c r="AS49" i="7"/>
  <c r="AN222" i="11"/>
  <c r="AN207" i="11"/>
  <c r="AO22" i="7"/>
  <c r="AO21" i="7"/>
  <c r="AP196" i="11"/>
  <c r="AP305" i="11"/>
  <c r="AP239" i="11"/>
  <c r="AQ304" i="11"/>
  <c r="AQ189" i="11"/>
  <c r="AQ238" i="11"/>
  <c r="AN320" i="11" s="1"/>
  <c r="AQ188" i="11"/>
  <c r="AQ191" i="11" s="1"/>
  <c r="AQ194" i="11" s="1"/>
  <c r="AQ218" i="11"/>
  <c r="AP313" i="11"/>
  <c r="AP19" i="7"/>
  <c r="AQ257" i="11"/>
  <c r="AP258" i="11"/>
  <c r="AQ281" i="11"/>
  <c r="AP282" i="11"/>
  <c r="AO302" i="11"/>
  <c r="AO204" i="11"/>
  <c r="AO27" i="7" l="1"/>
  <c r="AQ192" i="11"/>
  <c r="AQ197" i="11"/>
  <c r="AP22" i="7"/>
  <c r="AP21" i="7"/>
  <c r="AO207" i="11"/>
  <c r="AO222" i="11"/>
  <c r="AS55" i="7"/>
  <c r="AS12" i="7" s="1"/>
  <c r="AS184" i="11" s="1"/>
  <c r="AT49" i="7"/>
  <c r="AS56" i="7"/>
  <c r="AT13" i="7" s="1"/>
  <c r="AT185" i="11" s="1"/>
  <c r="AT217" i="11" s="1"/>
  <c r="AT218" i="11" s="1"/>
  <c r="AS14" i="7"/>
  <c r="AS24" i="7"/>
  <c r="AQ313" i="11"/>
  <c r="AQ19" i="7"/>
  <c r="AR257" i="11"/>
  <c r="AQ258" i="11"/>
  <c r="AP204" i="11"/>
  <c r="AP302" i="11"/>
  <c r="AR281" i="11"/>
  <c r="AQ282" i="11"/>
  <c r="AS217" i="11"/>
  <c r="J107" i="2"/>
  <c r="J107" i="28" s="1"/>
  <c r="AQ196" i="11"/>
  <c r="AQ305" i="11"/>
  <c r="AQ239" i="11"/>
  <c r="AR238" i="11"/>
  <c r="AO320" i="11" s="1"/>
  <c r="AR188" i="11"/>
  <c r="AR191" i="11" s="1"/>
  <c r="AR194" i="11" s="1"/>
  <c r="AR304" i="11"/>
  <c r="AR189" i="11"/>
  <c r="AP27" i="7" l="1"/>
  <c r="AR192" i="11"/>
  <c r="AR197" i="11"/>
  <c r="AP207" i="11"/>
  <c r="AP222" i="11"/>
  <c r="AT24" i="7"/>
  <c r="AT14" i="7"/>
  <c r="AU49" i="7"/>
  <c r="AT56" i="7"/>
  <c r="AU13" i="7" s="1"/>
  <c r="AU185" i="11" s="1"/>
  <c r="AU217" i="11" s="1"/>
  <c r="AU218" i="11" s="1"/>
  <c r="AT55" i="7"/>
  <c r="AT12" i="7" s="1"/>
  <c r="AT184" i="11" s="1"/>
  <c r="AQ204" i="11"/>
  <c r="AQ302" i="11"/>
  <c r="AS188" i="11"/>
  <c r="AS191" i="11" s="1"/>
  <c r="AS194" i="11" s="1"/>
  <c r="AS189" i="11"/>
  <c r="AS304" i="11"/>
  <c r="AS238" i="11"/>
  <c r="AR313" i="11"/>
  <c r="AS257" i="11"/>
  <c r="AR19" i="7"/>
  <c r="AR258" i="11"/>
  <c r="AS218" i="11"/>
  <c r="J142" i="2"/>
  <c r="AQ21" i="7"/>
  <c r="AQ22" i="7"/>
  <c r="AR196" i="11"/>
  <c r="AR239" i="11"/>
  <c r="AR305" i="11"/>
  <c r="AS281" i="11"/>
  <c r="AR282" i="11"/>
  <c r="AS192" i="11" l="1"/>
  <c r="AS197" i="11"/>
  <c r="AS19" i="7"/>
  <c r="AS258" i="11"/>
  <c r="AT257" i="11"/>
  <c r="AS313" i="11"/>
  <c r="J223" i="2" s="1"/>
  <c r="J223" i="28" s="1"/>
  <c r="AT188" i="11"/>
  <c r="AT191" i="11" s="1"/>
  <c r="AT194" i="11" s="1"/>
  <c r="AT189" i="11"/>
  <c r="AT304" i="11"/>
  <c r="AT238" i="11"/>
  <c r="AQ27" i="7"/>
  <c r="AP320" i="11"/>
  <c r="AU56" i="7"/>
  <c r="AV13" i="7" s="1"/>
  <c r="AV185" i="11" s="1"/>
  <c r="AV217" i="11" s="1"/>
  <c r="AV218" i="11" s="1"/>
  <c r="AU14" i="7"/>
  <c r="AU24" i="7"/>
  <c r="AU55" i="7"/>
  <c r="AU12" i="7" s="1"/>
  <c r="AU184" i="11" s="1"/>
  <c r="AV49" i="7"/>
  <c r="J142" i="28"/>
  <c r="J143" i="28" s="1"/>
  <c r="J143" i="2"/>
  <c r="J214" i="28"/>
  <c r="J214" i="2"/>
  <c r="AS196" i="11"/>
  <c r="AS305" i="11"/>
  <c r="AS239" i="11"/>
  <c r="AQ222" i="11"/>
  <c r="AQ207" i="11"/>
  <c r="AR302" i="11"/>
  <c r="AR204" i="11"/>
  <c r="J190" i="2"/>
  <c r="AS282" i="11"/>
  <c r="AT281" i="11"/>
  <c r="AR22" i="7"/>
  <c r="AR21" i="7"/>
  <c r="AT192" i="11" l="1"/>
  <c r="AT197" i="11"/>
  <c r="AR27" i="7"/>
  <c r="AU304" i="11"/>
  <c r="AU238" i="11"/>
  <c r="AU189" i="11"/>
  <c r="AU188" i="11"/>
  <c r="AU191" i="11" s="1"/>
  <c r="AU194" i="11" s="1"/>
  <c r="J215" i="28"/>
  <c r="J215" i="2"/>
  <c r="J190" i="28"/>
  <c r="J191" i="2"/>
  <c r="AS302" i="11"/>
  <c r="AS204" i="11"/>
  <c r="J129" i="2" s="1"/>
  <c r="AT282" i="11"/>
  <c r="AU281" i="11"/>
  <c r="AT196" i="11"/>
  <c r="AT305" i="11"/>
  <c r="AT239" i="11"/>
  <c r="AQ320" i="11"/>
  <c r="AR207" i="11"/>
  <c r="AR222" i="11"/>
  <c r="AR320" i="11"/>
  <c r="AT258" i="11"/>
  <c r="AT19" i="7"/>
  <c r="AU257" i="11"/>
  <c r="AT313" i="11"/>
  <c r="AW49" i="7"/>
  <c r="AV56" i="7"/>
  <c r="AW13" i="7" s="1"/>
  <c r="AW185" i="11" s="1"/>
  <c r="AW217" i="11" s="1"/>
  <c r="AW218" i="11" s="1"/>
  <c r="AV14" i="7"/>
  <c r="AV24" i="7"/>
  <c r="AV55" i="7"/>
  <c r="AV12" i="7" s="1"/>
  <c r="AV184" i="11" s="1"/>
  <c r="AS22" i="7"/>
  <c r="AS21" i="7"/>
  <c r="AU192" i="11" l="1"/>
  <c r="AU197" i="11"/>
  <c r="AS27" i="7"/>
  <c r="J191" i="28"/>
  <c r="AT302" i="11"/>
  <c r="AT204" i="11"/>
  <c r="AU282" i="11"/>
  <c r="AV281" i="11"/>
  <c r="AU196" i="11"/>
  <c r="AU305" i="11"/>
  <c r="AU239" i="11"/>
  <c r="AW55" i="7"/>
  <c r="AW12" i="7" s="1"/>
  <c r="AW184" i="11" s="1"/>
  <c r="AW14" i="7"/>
  <c r="AW56" i="7"/>
  <c r="AX13" i="7" s="1"/>
  <c r="AX185" i="11" s="1"/>
  <c r="AX217" i="11" s="1"/>
  <c r="AX218" i="11" s="1"/>
  <c r="AX49" i="7"/>
  <c r="AW24" i="7"/>
  <c r="AS207" i="11"/>
  <c r="AS222" i="11"/>
  <c r="J132" i="2"/>
  <c r="J129" i="28"/>
  <c r="J132" i="28" s="1"/>
  <c r="AU258" i="11"/>
  <c r="AV257" i="11"/>
  <c r="AU313" i="11"/>
  <c r="AU19" i="7"/>
  <c r="AV304" i="11"/>
  <c r="AV188" i="11"/>
  <c r="AV191" i="11" s="1"/>
  <c r="AV194" i="11" s="1"/>
  <c r="AV238" i="11"/>
  <c r="AV189" i="11"/>
  <c r="AT22" i="7"/>
  <c r="AT21" i="7"/>
  <c r="AT27" i="7" s="1"/>
  <c r="AV192" i="11" l="1"/>
  <c r="AV197" i="11"/>
  <c r="AW281" i="11"/>
  <c r="AV282" i="11"/>
  <c r="AX55" i="7"/>
  <c r="AX12" i="7" s="1"/>
  <c r="AX184" i="11" s="1"/>
  <c r="AX14" i="7"/>
  <c r="AX24" i="7"/>
  <c r="AX56" i="7"/>
  <c r="AY13" i="7" s="1"/>
  <c r="AY185" i="11" s="1"/>
  <c r="AY217" i="11" s="1"/>
  <c r="AY218" i="11" s="1"/>
  <c r="AY49" i="7"/>
  <c r="AV196" i="11"/>
  <c r="AV239" i="11"/>
  <c r="AV305" i="11"/>
  <c r="AT222" i="11"/>
  <c r="AT207" i="11"/>
  <c r="AV313" i="11"/>
  <c r="AV258" i="11"/>
  <c r="AV19" i="7"/>
  <c r="AW257" i="11"/>
  <c r="AU22" i="7"/>
  <c r="AU21" i="7"/>
  <c r="AW188" i="11"/>
  <c r="AW191" i="11" s="1"/>
  <c r="AW194" i="11" s="1"/>
  <c r="AW304" i="11"/>
  <c r="AW238" i="11"/>
  <c r="AT320" i="11" s="1"/>
  <c r="AW189" i="11"/>
  <c r="AU204" i="11"/>
  <c r="AU302" i="11"/>
  <c r="J146" i="28"/>
  <c r="J150" i="28"/>
  <c r="AS320" i="11"/>
  <c r="J146" i="2"/>
  <c r="J150" i="2"/>
  <c r="AW192" i="11" l="1"/>
  <c r="AW197" i="11"/>
  <c r="AU27" i="7"/>
  <c r="AW258" i="11"/>
  <c r="AX257" i="11"/>
  <c r="AW313" i="11"/>
  <c r="AW19" i="7"/>
  <c r="AV302" i="11"/>
  <c r="AV204" i="11"/>
  <c r="AW196" i="11"/>
  <c r="AW239" i="11"/>
  <c r="AW305" i="11"/>
  <c r="J229" i="2"/>
  <c r="J229" i="28"/>
  <c r="AX188" i="11"/>
  <c r="AX191" i="11" s="1"/>
  <c r="AX194" i="11" s="1"/>
  <c r="AX189" i="11"/>
  <c r="AX238" i="11"/>
  <c r="AU320" i="11" s="1"/>
  <c r="AX304" i="11"/>
  <c r="AV22" i="7"/>
  <c r="AV21" i="7"/>
  <c r="AV27" i="7" s="1"/>
  <c r="AZ49" i="7"/>
  <c r="AY56" i="7"/>
  <c r="AZ13" i="7" s="1"/>
  <c r="AZ185" i="11" s="1"/>
  <c r="AZ217" i="11" s="1"/>
  <c r="AZ218" i="11" s="1"/>
  <c r="AY14" i="7"/>
  <c r="AY24" i="7"/>
  <c r="AY55" i="7"/>
  <c r="AY12" i="7" s="1"/>
  <c r="AY184" i="11" s="1"/>
  <c r="AU207" i="11"/>
  <c r="AU222" i="11"/>
  <c r="AX281" i="11"/>
  <c r="AW282" i="11"/>
  <c r="AX192" i="11" l="1"/>
  <c r="AX197" i="11"/>
  <c r="AY189" i="11"/>
  <c r="AY238" i="11"/>
  <c r="AV320" i="11" s="1"/>
  <c r="AY188" i="11"/>
  <c r="AY191" i="11" s="1"/>
  <c r="AY194" i="11" s="1"/>
  <c r="AY304" i="11"/>
  <c r="AV207" i="11"/>
  <c r="AV222" i="11"/>
  <c r="AX196" i="11"/>
  <c r="AX305" i="11"/>
  <c r="AX239" i="11"/>
  <c r="AW22" i="7"/>
  <c r="AW21" i="7"/>
  <c r="AW27" i="7" s="1"/>
  <c r="AX258" i="11"/>
  <c r="AX313" i="11"/>
  <c r="AY257" i="11"/>
  <c r="AX19" i="7"/>
  <c r="AW302" i="11"/>
  <c r="AW204" i="11"/>
  <c r="AZ56" i="7"/>
  <c r="BA13" i="7" s="1"/>
  <c r="BA185" i="11" s="1"/>
  <c r="BA217" i="11" s="1"/>
  <c r="BA218" i="11" s="1"/>
  <c r="AZ14" i="7"/>
  <c r="AZ24" i="7"/>
  <c r="BA49" i="7"/>
  <c r="AZ55" i="7"/>
  <c r="AZ12" i="7" s="1"/>
  <c r="AZ184" i="11" s="1"/>
  <c r="AY281" i="11"/>
  <c r="AX282" i="11"/>
  <c r="AY192" i="11" l="1"/>
  <c r="AY197" i="11"/>
  <c r="AX302" i="11"/>
  <c r="AX204" i="11"/>
  <c r="BA55" i="7"/>
  <c r="BA12" i="7" s="1"/>
  <c r="BA184" i="11" s="1"/>
  <c r="BA14" i="7"/>
  <c r="BA56" i="7"/>
  <c r="BB13" i="7" s="1"/>
  <c r="BB185" i="11" s="1"/>
  <c r="BB217" i="11" s="1"/>
  <c r="BB218" i="11" s="1"/>
  <c r="BA24" i="7"/>
  <c r="BB49" i="7"/>
  <c r="AZ238" i="11"/>
  <c r="AW320" i="11" s="1"/>
  <c r="AZ188" i="11"/>
  <c r="AZ191" i="11" s="1"/>
  <c r="AZ194" i="11" s="1"/>
  <c r="AZ189" i="11"/>
  <c r="AZ304" i="11"/>
  <c r="AY282" i="11"/>
  <c r="AZ281" i="11"/>
  <c r="AY196" i="11"/>
  <c r="AY239" i="11"/>
  <c r="AY305" i="11"/>
  <c r="AX21" i="7"/>
  <c r="AX22" i="7"/>
  <c r="AW222" i="11"/>
  <c r="AW207" i="11"/>
  <c r="AY258" i="11"/>
  <c r="AZ257" i="11"/>
  <c r="AY19" i="7"/>
  <c r="AY313" i="11"/>
  <c r="AZ192" i="11" l="1"/>
  <c r="AZ197" i="11"/>
  <c r="AY22" i="7"/>
  <c r="AY21" i="7"/>
  <c r="AY27" i="7" s="1"/>
  <c r="AZ282" i="11"/>
  <c r="BA281" i="11"/>
  <c r="AY204" i="11"/>
  <c r="AY302" i="11"/>
  <c r="BB55" i="7"/>
  <c r="BB12" i="7" s="1"/>
  <c r="BB184" i="11" s="1"/>
  <c r="BB56" i="7"/>
  <c r="BC13" i="7" s="1"/>
  <c r="BC185" i="11" s="1"/>
  <c r="BC217" i="11" s="1"/>
  <c r="BC218" i="11" s="1"/>
  <c r="BB24" i="7"/>
  <c r="BC49" i="7"/>
  <c r="BB14" i="7"/>
  <c r="BA188" i="11"/>
  <c r="BA304" i="11"/>
  <c r="BA189" i="11"/>
  <c r="BA238" i="11"/>
  <c r="AZ19" i="7"/>
  <c r="BA257" i="11"/>
  <c r="AZ313" i="11"/>
  <c r="AZ258" i="11"/>
  <c r="AX27" i="7"/>
  <c r="AX207" i="11"/>
  <c r="AX222" i="11"/>
  <c r="AZ196" i="11"/>
  <c r="AZ305" i="11"/>
  <c r="AZ239" i="11"/>
  <c r="BA192" i="11" l="1"/>
  <c r="AX320" i="11"/>
  <c r="AY207" i="11"/>
  <c r="AY222" i="11"/>
  <c r="AZ302" i="11"/>
  <c r="AZ204" i="11"/>
  <c r="BA191" i="11"/>
  <c r="BA194" i="11" s="1"/>
  <c r="BA197" i="11" s="1"/>
  <c r="BB281" i="11"/>
  <c r="BA282" i="11"/>
  <c r="BB188" i="11"/>
  <c r="BB191" i="11" s="1"/>
  <c r="BB194" i="11" s="1"/>
  <c r="BB238" i="11"/>
  <c r="AY320" i="11" s="1"/>
  <c r="BB189" i="11"/>
  <c r="BB304" i="11"/>
  <c r="BA313" i="11"/>
  <c r="BA19" i="7"/>
  <c r="BB257" i="11"/>
  <c r="BA258" i="11"/>
  <c r="BC55" i="7"/>
  <c r="BC12" i="7" s="1"/>
  <c r="BC184" i="11" s="1"/>
  <c r="BC24" i="7"/>
  <c r="BD49" i="7"/>
  <c r="BC56" i="7"/>
  <c r="BD13" i="7" s="1"/>
  <c r="BD185" i="11" s="1"/>
  <c r="BD217" i="11" s="1"/>
  <c r="BD218" i="11" s="1"/>
  <c r="BC14" i="7"/>
  <c r="AZ21" i="7"/>
  <c r="AZ22" i="7"/>
  <c r="BB192" i="11" l="1"/>
  <c r="BB197" i="11"/>
  <c r="BD55" i="7"/>
  <c r="BD12" i="7" s="1"/>
  <c r="BD184" i="11" s="1"/>
  <c r="BE49" i="7"/>
  <c r="BD14" i="7"/>
  <c r="BD24" i="7"/>
  <c r="BD56" i="7"/>
  <c r="BE13" i="7" s="1"/>
  <c r="BE185" i="11" s="1"/>
  <c r="BE217" i="11" s="1"/>
  <c r="BE218" i="11" s="1"/>
  <c r="AZ207" i="11"/>
  <c r="AZ222" i="11"/>
  <c r="BA239" i="11"/>
  <c r="BA305" i="11"/>
  <c r="BB196" i="11"/>
  <c r="BB305" i="11"/>
  <c r="BB239" i="11"/>
  <c r="BC257" i="11"/>
  <c r="BB19" i="7"/>
  <c r="BB258" i="11"/>
  <c r="BB313" i="11"/>
  <c r="BA196" i="11"/>
  <c r="BC188" i="11"/>
  <c r="BC191" i="11" s="1"/>
  <c r="BC194" i="11" s="1"/>
  <c r="BC304" i="11"/>
  <c r="BC189" i="11"/>
  <c r="BC238" i="11"/>
  <c r="AZ27" i="7"/>
  <c r="BA21" i="7"/>
  <c r="BA22" i="7"/>
  <c r="BC281" i="11"/>
  <c r="BB282" i="11"/>
  <c r="BC192" i="11" l="1"/>
  <c r="BC197" i="11"/>
  <c r="BA27" i="7"/>
  <c r="BC19" i="7"/>
  <c r="BC313" i="11"/>
  <c r="BD257" i="11"/>
  <c r="BC258" i="11"/>
  <c r="BB21" i="7"/>
  <c r="BB22" i="7"/>
  <c r="BC196" i="11"/>
  <c r="BC239" i="11"/>
  <c r="BC305" i="11"/>
  <c r="BA204" i="11"/>
  <c r="BA302" i="11"/>
  <c r="BB204" i="11"/>
  <c r="BB302" i="11"/>
  <c r="AZ320" i="11"/>
  <c r="BE55" i="7"/>
  <c r="BE12" i="7" s="1"/>
  <c r="BE184" i="11" s="1"/>
  <c r="BE24" i="7"/>
  <c r="BE56" i="7"/>
  <c r="BF13" i="7" s="1"/>
  <c r="BF185" i="11" s="1"/>
  <c r="BF217" i="11" s="1"/>
  <c r="BF218" i="11" s="1"/>
  <c r="BF49" i="7"/>
  <c r="BE14" i="7"/>
  <c r="BC282" i="11"/>
  <c r="BD281" i="11"/>
  <c r="BD238" i="11"/>
  <c r="BA320" i="11" s="1"/>
  <c r="BD304" i="11"/>
  <c r="BD188" i="11"/>
  <c r="BD191" i="11" s="1"/>
  <c r="BD194" i="11" s="1"/>
  <c r="BD189" i="11"/>
  <c r="BD192" i="11" l="1"/>
  <c r="BD197" i="11"/>
  <c r="BE189" i="11"/>
  <c r="BE304" i="11"/>
  <c r="BE188" i="11"/>
  <c r="BE191" i="11" s="1"/>
  <c r="BE194" i="11" s="1"/>
  <c r="BE238" i="11"/>
  <c r="BB320" i="11" s="1"/>
  <c r="BE281" i="11"/>
  <c r="BD282" i="11"/>
  <c r="BC302" i="11"/>
  <c r="BC204" i="11"/>
  <c r="BB207" i="11"/>
  <c r="BB222" i="11"/>
  <c r="BB27" i="7"/>
  <c r="BF14" i="7"/>
  <c r="BF24" i="7"/>
  <c r="BF55" i="7"/>
  <c r="BF12" i="7" s="1"/>
  <c r="BF184" i="11" s="1"/>
  <c r="BF56" i="7"/>
  <c r="BG13" i="7" s="1"/>
  <c r="BG185" i="11" s="1"/>
  <c r="BG217" i="11" s="1"/>
  <c r="BG218" i="11" s="1"/>
  <c r="BG49" i="7"/>
  <c r="BA207" i="11"/>
  <c r="BA222" i="11"/>
  <c r="BE257" i="11"/>
  <c r="BD19" i="7"/>
  <c r="BD313" i="11"/>
  <c r="BD258" i="11"/>
  <c r="BD196" i="11"/>
  <c r="BD239" i="11"/>
  <c r="BD305" i="11"/>
  <c r="BC22" i="7"/>
  <c r="BC21" i="7"/>
  <c r="BE192" i="11" l="1"/>
  <c r="BE197" i="11"/>
  <c r="BF281" i="11"/>
  <c r="BE282" i="11"/>
  <c r="K190" i="2"/>
  <c r="BF189" i="11"/>
  <c r="BF238" i="11"/>
  <c r="BF304" i="11"/>
  <c r="BF188" i="11"/>
  <c r="BF191" i="11" s="1"/>
  <c r="BF194" i="11" s="1"/>
  <c r="BC27" i="7"/>
  <c r="BD21" i="7"/>
  <c r="BD22" i="7"/>
  <c r="BE313" i="11"/>
  <c r="K223" i="2" s="1"/>
  <c r="K223" i="28" s="1"/>
  <c r="BE258" i="11"/>
  <c r="BF257" i="11"/>
  <c r="BE19" i="7"/>
  <c r="BE196" i="11"/>
  <c r="BE305" i="11"/>
  <c r="BE239" i="11"/>
  <c r="K214" i="28"/>
  <c r="K214" i="2"/>
  <c r="BD204" i="11"/>
  <c r="BD302" i="11"/>
  <c r="BG14" i="7"/>
  <c r="BG55" i="7"/>
  <c r="BG12" i="7" s="1"/>
  <c r="BG184" i="11" s="1"/>
  <c r="BH49" i="7"/>
  <c r="BG56" i="7"/>
  <c r="BH13" i="7" s="1"/>
  <c r="BH185" i="11" s="1"/>
  <c r="BH217" i="11" s="1"/>
  <c r="BH218" i="11" s="1"/>
  <c r="BG24" i="7"/>
  <c r="BC207" i="11"/>
  <c r="BC222" i="11"/>
  <c r="BF192" i="11" l="1"/>
  <c r="BF197" i="11"/>
  <c r="BF196" i="11"/>
  <c r="BF239" i="11"/>
  <c r="BF305" i="11"/>
  <c r="BD207" i="11"/>
  <c r="BD222" i="11"/>
  <c r="BF313" i="11"/>
  <c r="BG257" i="11"/>
  <c r="BF258" i="11"/>
  <c r="BF19" i="7"/>
  <c r="BC320" i="11"/>
  <c r="K190" i="28"/>
  <c r="K191" i="2"/>
  <c r="BE22" i="7"/>
  <c r="BE21" i="7"/>
  <c r="BI49" i="7"/>
  <c r="BH55" i="7"/>
  <c r="BH12" i="7" s="1"/>
  <c r="BH184" i="11" s="1"/>
  <c r="BH56" i="7"/>
  <c r="BI13" i="7" s="1"/>
  <c r="BI185" i="11" s="1"/>
  <c r="BI217" i="11" s="1"/>
  <c r="BI218" i="11" s="1"/>
  <c r="BH24" i="7"/>
  <c r="BH14" i="7"/>
  <c r="K215" i="2"/>
  <c r="K215" i="28"/>
  <c r="BD27" i="7"/>
  <c r="BG188" i="11"/>
  <c r="BG191" i="11" s="1"/>
  <c r="BG194" i="11" s="1"/>
  <c r="BG304" i="11"/>
  <c r="BG189" i="11"/>
  <c r="BG238" i="11"/>
  <c r="BE204" i="11"/>
  <c r="BE302" i="11"/>
  <c r="BF282" i="11"/>
  <c r="BG281" i="11"/>
  <c r="BE27" i="7" l="1"/>
  <c r="BG192" i="11"/>
  <c r="BG197" i="11"/>
  <c r="BG282" i="11"/>
  <c r="BH281" i="11"/>
  <c r="K191" i="28"/>
  <c r="BI24" i="7"/>
  <c r="BJ49" i="7"/>
  <c r="BI56" i="7"/>
  <c r="BJ13" i="7" s="1"/>
  <c r="BJ185" i="11" s="1"/>
  <c r="BJ217" i="11" s="1"/>
  <c r="BJ218" i="11" s="1"/>
  <c r="BI55" i="7"/>
  <c r="BI12" i="7" s="1"/>
  <c r="BI184" i="11" s="1"/>
  <c r="BI14" i="7"/>
  <c r="BE222" i="11"/>
  <c r="BE207" i="11"/>
  <c r="BD320" i="11"/>
  <c r="BG196" i="11"/>
  <c r="BG239" i="11"/>
  <c r="BG305" i="11"/>
  <c r="BG258" i="11"/>
  <c r="BG313" i="11"/>
  <c r="BG19" i="7"/>
  <c r="BH257" i="11"/>
  <c r="BH188" i="11"/>
  <c r="BH191" i="11" s="1"/>
  <c r="BH194" i="11" s="1"/>
  <c r="BH304" i="11"/>
  <c r="BH238" i="11"/>
  <c r="BE320" i="11" s="1"/>
  <c r="BH189" i="11"/>
  <c r="BF22" i="7"/>
  <c r="BF21" i="7"/>
  <c r="BF302" i="11"/>
  <c r="BF204" i="11"/>
  <c r="BH192" i="11" l="1"/>
  <c r="BH197" i="11"/>
  <c r="BF27" i="7"/>
  <c r="K229" i="28"/>
  <c r="K229" i="2"/>
  <c r="BH196" i="11"/>
  <c r="BH239" i="11"/>
  <c r="BH305" i="11"/>
  <c r="BJ24" i="7"/>
  <c r="BJ55" i="7"/>
  <c r="BJ12" i="7" s="1"/>
  <c r="BJ184" i="11" s="1"/>
  <c r="BJ14" i="7"/>
  <c r="BK49" i="7"/>
  <c r="BJ56" i="7"/>
  <c r="BK13" i="7" s="1"/>
  <c r="BK185" i="11" s="1"/>
  <c r="BK217" i="11" s="1"/>
  <c r="BK218" i="11" s="1"/>
  <c r="BI188" i="11"/>
  <c r="BI189" i="11"/>
  <c r="BI304" i="11"/>
  <c r="BI238" i="11"/>
  <c r="BF320" i="11" s="1"/>
  <c r="BG204" i="11"/>
  <c r="BG302" i="11"/>
  <c r="BG21" i="7"/>
  <c r="BG22" i="7"/>
  <c r="BH258" i="11"/>
  <c r="BH313" i="11"/>
  <c r="BI257" i="11"/>
  <c r="BH19" i="7"/>
  <c r="BF207" i="11"/>
  <c r="BF222" i="11"/>
  <c r="BH282" i="11"/>
  <c r="BI281" i="11"/>
  <c r="BI192" i="11" l="1"/>
  <c r="BG27" i="7"/>
  <c r="BG207" i="11"/>
  <c r="BG222" i="11"/>
  <c r="BH21" i="7"/>
  <c r="BH22" i="7"/>
  <c r="BJ281" i="11"/>
  <c r="BI282" i="11"/>
  <c r="BJ188" i="11"/>
  <c r="BJ191" i="11" s="1"/>
  <c r="BJ194" i="11" s="1"/>
  <c r="BJ238" i="11"/>
  <c r="BG320" i="11" s="1"/>
  <c r="BJ189" i="11"/>
  <c r="BJ304" i="11"/>
  <c r="BI19" i="7"/>
  <c r="BJ257" i="11"/>
  <c r="BI258" i="11"/>
  <c r="BI313" i="11"/>
  <c r="BI191" i="11"/>
  <c r="BI194" i="11" s="1"/>
  <c r="BI196" i="11" s="1"/>
  <c r="BH204" i="11"/>
  <c r="BH302" i="11"/>
  <c r="BK14" i="7"/>
  <c r="BK24" i="7"/>
  <c r="BK56" i="7"/>
  <c r="BL13" i="7" s="1"/>
  <c r="BL185" i="11" s="1"/>
  <c r="BL217" i="11" s="1"/>
  <c r="BL218" i="11" s="1"/>
  <c r="BL49" i="7"/>
  <c r="BK55" i="7"/>
  <c r="BK12" i="7" s="1"/>
  <c r="BK184" i="11" s="1"/>
  <c r="BJ192" i="11" l="1"/>
  <c r="BJ197" i="11"/>
  <c r="BI197" i="11"/>
  <c r="BJ282" i="11"/>
  <c r="BK281" i="11"/>
  <c r="BI22" i="7"/>
  <c r="BI21" i="7"/>
  <c r="BH27" i="7"/>
  <c r="BH207" i="11"/>
  <c r="BH222" i="11"/>
  <c r="BI302" i="11"/>
  <c r="BI204" i="11"/>
  <c r="BK189" i="11"/>
  <c r="BK188" i="11"/>
  <c r="BK191" i="11" s="1"/>
  <c r="BK194" i="11" s="1"/>
  <c r="BK238" i="11"/>
  <c r="BK304" i="11"/>
  <c r="BI305" i="11"/>
  <c r="BI239" i="11"/>
  <c r="BJ258" i="11"/>
  <c r="BK257" i="11"/>
  <c r="BJ313" i="11"/>
  <c r="BJ19" i="7"/>
  <c r="BL55" i="7"/>
  <c r="BL12" i="7" s="1"/>
  <c r="BL184" i="11" s="1"/>
  <c r="BL14" i="7"/>
  <c r="BL24" i="7"/>
  <c r="BL56" i="7"/>
  <c r="BM13" i="7" s="1"/>
  <c r="BM185" i="11" s="1"/>
  <c r="BM217" i="11" s="1"/>
  <c r="BM218" i="11" s="1"/>
  <c r="BM49" i="7"/>
  <c r="BJ196" i="11"/>
  <c r="BJ305" i="11"/>
  <c r="BJ239" i="11"/>
  <c r="BI27" i="7" l="1"/>
  <c r="BK192" i="11"/>
  <c r="BK197" i="11"/>
  <c r="BJ22" i="7"/>
  <c r="BJ21" i="7"/>
  <c r="BL257" i="11"/>
  <c r="BK258" i="11"/>
  <c r="BK313" i="11"/>
  <c r="BK19" i="7"/>
  <c r="BK196" i="11"/>
  <c r="BK305" i="11"/>
  <c r="BK239" i="11"/>
  <c r="BL188" i="11"/>
  <c r="BL189" i="11"/>
  <c r="BL238" i="11"/>
  <c r="BI320" i="11" s="1"/>
  <c r="BL304" i="11"/>
  <c r="BM14" i="7"/>
  <c r="BM55" i="7"/>
  <c r="BM12" i="7" s="1"/>
  <c r="BM184" i="11" s="1"/>
  <c r="BM56" i="7"/>
  <c r="BN13" i="7" s="1"/>
  <c r="BN185" i="11" s="1"/>
  <c r="BN217" i="11" s="1"/>
  <c r="BN218" i="11" s="1"/>
  <c r="BN49" i="7"/>
  <c r="BM24" i="7"/>
  <c r="BL281" i="11"/>
  <c r="BK282" i="11"/>
  <c r="BJ204" i="11"/>
  <c r="BJ302" i="11"/>
  <c r="BI222" i="11"/>
  <c r="BI207" i="11"/>
  <c r="BH320" i="11"/>
  <c r="BJ27" i="7" l="1"/>
  <c r="BL192" i="11"/>
  <c r="BL282" i="11"/>
  <c r="BM281" i="11"/>
  <c r="BK302" i="11"/>
  <c r="BK204" i="11"/>
  <c r="BL313" i="11"/>
  <c r="BL19" i="7"/>
  <c r="BL258" i="11"/>
  <c r="BM257" i="11"/>
  <c r="BN14" i="7"/>
  <c r="BN24" i="7"/>
  <c r="BO49" i="7"/>
  <c r="BN56" i="7"/>
  <c r="BO13" i="7" s="1"/>
  <c r="BO185" i="11" s="1"/>
  <c r="BO217" i="11" s="1"/>
  <c r="BO218" i="11" s="1"/>
  <c r="BN55" i="7"/>
  <c r="BN12" i="7" s="1"/>
  <c r="BN184" i="11" s="1"/>
  <c r="BL191" i="11"/>
  <c r="BL194" i="11" s="1"/>
  <c r="BL196" i="11" s="1"/>
  <c r="BJ207" i="11"/>
  <c r="BJ222" i="11"/>
  <c r="BK22" i="7"/>
  <c r="BK21" i="7"/>
  <c r="BM189" i="11"/>
  <c r="BM238" i="11"/>
  <c r="BJ320" i="11" s="1"/>
  <c r="BM304" i="11"/>
  <c r="BM188" i="11"/>
  <c r="BM192" i="11" l="1"/>
  <c r="BL197" i="11"/>
  <c r="BK27" i="7"/>
  <c r="BL239" i="11"/>
  <c r="BL305" i="11"/>
  <c r="BL21" i="7"/>
  <c r="BL22" i="7"/>
  <c r="BN189" i="11"/>
  <c r="BN188" i="11"/>
  <c r="BN191" i="11" s="1"/>
  <c r="BN194" i="11" s="1"/>
  <c r="BN304" i="11"/>
  <c r="BN238" i="11"/>
  <c r="BK207" i="11"/>
  <c r="BK222" i="11"/>
  <c r="BM313" i="11"/>
  <c r="BN257" i="11"/>
  <c r="BM19" i="7"/>
  <c r="BM258" i="11"/>
  <c r="BO55" i="7"/>
  <c r="BO12" i="7" s="1"/>
  <c r="BO184" i="11" s="1"/>
  <c r="BO24" i="7"/>
  <c r="BP49" i="7"/>
  <c r="BO56" i="7"/>
  <c r="BP13" i="7" s="1"/>
  <c r="BP185" i="11" s="1"/>
  <c r="BP217" i="11" s="1"/>
  <c r="BP218" i="11" s="1"/>
  <c r="BO14" i="7"/>
  <c r="BM191" i="11"/>
  <c r="BM194" i="11" s="1"/>
  <c r="BM196" i="11" s="1"/>
  <c r="BL204" i="11"/>
  <c r="BL302" i="11"/>
  <c r="BN281" i="11"/>
  <c r="BM282" i="11"/>
  <c r="BM197" i="11" l="1"/>
  <c r="BN192" i="11"/>
  <c r="BN197" i="11"/>
  <c r="BM21" i="7"/>
  <c r="BM22" i="7"/>
  <c r="BM239" i="11"/>
  <c r="BM305" i="11"/>
  <c r="BO257" i="11"/>
  <c r="BN313" i="11"/>
  <c r="BN258" i="11"/>
  <c r="BN19" i="7"/>
  <c r="BL222" i="11"/>
  <c r="BL207" i="11"/>
  <c r="BM204" i="11"/>
  <c r="BM302" i="11"/>
  <c r="BN196" i="11"/>
  <c r="BN239" i="11"/>
  <c r="BN305" i="11"/>
  <c r="BL27" i="7"/>
  <c r="BP24" i="7"/>
  <c r="BQ49" i="7"/>
  <c r="BP56" i="7"/>
  <c r="BQ13" i="7" s="1"/>
  <c r="BQ185" i="11" s="1"/>
  <c r="BQ217" i="11" s="1"/>
  <c r="BQ218" i="11" s="1"/>
  <c r="BP55" i="7"/>
  <c r="BP12" i="7" s="1"/>
  <c r="BP184" i="11" s="1"/>
  <c r="BP14" i="7"/>
  <c r="BO281" i="11"/>
  <c r="BN282" i="11"/>
  <c r="BO188" i="11"/>
  <c r="BO189" i="11"/>
  <c r="BO304" i="11"/>
  <c r="BO238" i="11"/>
  <c r="BL320" i="11" s="1"/>
  <c r="BK320" i="11"/>
  <c r="BO192" i="11" l="1"/>
  <c r="BN204" i="11"/>
  <c r="BN302" i="11"/>
  <c r="BO19" i="7"/>
  <c r="BO313" i="11"/>
  <c r="BP257" i="11"/>
  <c r="BO258" i="11"/>
  <c r="BP188" i="11"/>
  <c r="BP191" i="11" s="1"/>
  <c r="BP194" i="11" s="1"/>
  <c r="BP189" i="11"/>
  <c r="BP238" i="11"/>
  <c r="BP304" i="11"/>
  <c r="BP281" i="11"/>
  <c r="BO282" i="11"/>
  <c r="BM207" i="11"/>
  <c r="BM222" i="11"/>
  <c r="BQ14" i="7"/>
  <c r="BQ55" i="7"/>
  <c r="BQ12" i="7" s="1"/>
  <c r="BQ184" i="11" s="1"/>
  <c r="BQ56" i="7"/>
  <c r="BR13" i="7" s="1"/>
  <c r="BR185" i="11" s="1"/>
  <c r="BR217" i="11" s="1"/>
  <c r="BR218" i="11" s="1"/>
  <c r="BR49" i="7"/>
  <c r="BQ24" i="7"/>
  <c r="BO191" i="11"/>
  <c r="BO194" i="11" s="1"/>
  <c r="BO196" i="11" s="1"/>
  <c r="BN22" i="7"/>
  <c r="BN21" i="7"/>
  <c r="BN27" i="7" s="1"/>
  <c r="BM27" i="7"/>
  <c r="BP192" i="11" l="1"/>
  <c r="BP197" i="11"/>
  <c r="BO197" i="11"/>
  <c r="BO204" i="11"/>
  <c r="BO302" i="11"/>
  <c r="BO239" i="11"/>
  <c r="BO305" i="11"/>
  <c r="BQ257" i="11"/>
  <c r="BP313" i="11"/>
  <c r="BP19" i="7"/>
  <c r="BP258" i="11"/>
  <c r="BP196" i="11"/>
  <c r="BP239" i="11"/>
  <c r="BP305" i="11"/>
  <c r="BP282" i="11"/>
  <c r="BQ281" i="11"/>
  <c r="BR56" i="7"/>
  <c r="BS13" i="7" s="1"/>
  <c r="BS185" i="11" s="1"/>
  <c r="BS217" i="11" s="1"/>
  <c r="BS218" i="11" s="1"/>
  <c r="BR55" i="7"/>
  <c r="BR12" i="7" s="1"/>
  <c r="BR184" i="11" s="1"/>
  <c r="BS49" i="7"/>
  <c r="BR24" i="7"/>
  <c r="BR14" i="7"/>
  <c r="BO21" i="7"/>
  <c r="BO22" i="7"/>
  <c r="BQ189" i="11"/>
  <c r="BQ238" i="11"/>
  <c r="BN320" i="11" s="1"/>
  <c r="BQ188" i="11"/>
  <c r="BQ191" i="11" s="1"/>
  <c r="BQ194" i="11" s="1"/>
  <c r="BQ304" i="11"/>
  <c r="BM320" i="11"/>
  <c r="BN222" i="11"/>
  <c r="BN207" i="11"/>
  <c r="BQ192" i="11" l="1"/>
  <c r="BQ197" i="11"/>
  <c r="L190" i="2"/>
  <c r="BR281" i="11"/>
  <c r="BQ282" i="11"/>
  <c r="BQ258" i="11"/>
  <c r="BQ19" i="7"/>
  <c r="BQ313" i="11"/>
  <c r="L223" i="2" s="1"/>
  <c r="L223" i="28" s="1"/>
  <c r="BR257" i="11"/>
  <c r="BO27" i="7"/>
  <c r="BP21" i="7"/>
  <c r="BP22" i="7"/>
  <c r="L214" i="2"/>
  <c r="L214" i="28"/>
  <c r="BP302" i="11"/>
  <c r="BP204" i="11"/>
  <c r="BR188" i="11"/>
  <c r="BR191" i="11" s="1"/>
  <c r="BR194" i="11" s="1"/>
  <c r="BR238" i="11"/>
  <c r="BR304" i="11"/>
  <c r="BR189" i="11"/>
  <c r="BQ196" i="11"/>
  <c r="BQ305" i="11"/>
  <c r="BQ239" i="11"/>
  <c r="BS55" i="7"/>
  <c r="BS12" i="7" s="1"/>
  <c r="BS184" i="11" s="1"/>
  <c r="BS24" i="7"/>
  <c r="BT49" i="7"/>
  <c r="BS14" i="7"/>
  <c r="BS56" i="7"/>
  <c r="BT13" i="7" s="1"/>
  <c r="BT185" i="11" s="1"/>
  <c r="BT217" i="11" s="1"/>
  <c r="BT218" i="11" s="1"/>
  <c r="BO207" i="11"/>
  <c r="BO222" i="11"/>
  <c r="BR192" i="11" l="1"/>
  <c r="BR197" i="11"/>
  <c r="BP27" i="7"/>
  <c r="BR196" i="11"/>
  <c r="BR239" i="11"/>
  <c r="BR305" i="11"/>
  <c r="BP207" i="11"/>
  <c r="BP222" i="11"/>
  <c r="BQ204" i="11"/>
  <c r="BQ302" i="11"/>
  <c r="BQ21" i="7"/>
  <c r="BQ22" i="7"/>
  <c r="BS304" i="11"/>
  <c r="BS238" i="11"/>
  <c r="BS188" i="11"/>
  <c r="BS189" i="11"/>
  <c r="BT14" i="7"/>
  <c r="BT55" i="7"/>
  <c r="BT12" i="7" s="1"/>
  <c r="BT184" i="11" s="1"/>
  <c r="BT24" i="7"/>
  <c r="BU49" i="7"/>
  <c r="BT56" i="7"/>
  <c r="BU13" i="7" s="1"/>
  <c r="BU185" i="11" s="1"/>
  <c r="BU217" i="11" s="1"/>
  <c r="BU218" i="11" s="1"/>
  <c r="BR282" i="11"/>
  <c r="BS281" i="11"/>
  <c r="BR258" i="11"/>
  <c r="BR313" i="11"/>
  <c r="BR19" i="7"/>
  <c r="BS257" i="11"/>
  <c r="L215" i="28"/>
  <c r="L215" i="2"/>
  <c r="BO320" i="11"/>
  <c r="L190" i="28"/>
  <c r="L191" i="2"/>
  <c r="BS192" i="11" l="1"/>
  <c r="BQ27" i="7"/>
  <c r="L191" i="28"/>
  <c r="BQ207" i="11"/>
  <c r="BQ222" i="11"/>
  <c r="BR21" i="7"/>
  <c r="BR22" i="7"/>
  <c r="BT281" i="11"/>
  <c r="BS282" i="11"/>
  <c r="BS191" i="11"/>
  <c r="BS194" i="11" s="1"/>
  <c r="BS196" i="11" s="1"/>
  <c r="BP320" i="11"/>
  <c r="BU55" i="7"/>
  <c r="BU12" i="7" s="1"/>
  <c r="BU184" i="11" s="1"/>
  <c r="BV49" i="7"/>
  <c r="BU14" i="7"/>
  <c r="BU24" i="7"/>
  <c r="BU56" i="7"/>
  <c r="BV13" i="7" s="1"/>
  <c r="BV185" i="11" s="1"/>
  <c r="BV217" i="11" s="1"/>
  <c r="BV218" i="11" s="1"/>
  <c r="BT238" i="11"/>
  <c r="BT188" i="11"/>
  <c r="BT189" i="11"/>
  <c r="BT304" i="11"/>
  <c r="BS258" i="11"/>
  <c r="BS313" i="11"/>
  <c r="BT257" i="11"/>
  <c r="BS19" i="7"/>
  <c r="BR204" i="11"/>
  <c r="BR302" i="11"/>
  <c r="BT192" i="11" l="1"/>
  <c r="BS197" i="11"/>
  <c r="BV24" i="7"/>
  <c r="BV14" i="7"/>
  <c r="BW49" i="7"/>
  <c r="BV56" i="7"/>
  <c r="BW13" i="7" s="1"/>
  <c r="BW185" i="11" s="1"/>
  <c r="BW217" i="11" s="1"/>
  <c r="BW218" i="11" s="1"/>
  <c r="BV55" i="7"/>
  <c r="BV12" i="7" s="1"/>
  <c r="BV184" i="11" s="1"/>
  <c r="BU304" i="11"/>
  <c r="BU188" i="11"/>
  <c r="BU191" i="11" s="1"/>
  <c r="BU194" i="11" s="1"/>
  <c r="BU189" i="11"/>
  <c r="BU238" i="11"/>
  <c r="BR27" i="7"/>
  <c r="BU281" i="11"/>
  <c r="BT282" i="11"/>
  <c r="BR207" i="11"/>
  <c r="BR222" i="11"/>
  <c r="BT191" i="11"/>
  <c r="BT194" i="11" s="1"/>
  <c r="BT197" i="11" s="1"/>
  <c r="BS22" i="7"/>
  <c r="BS21" i="7"/>
  <c r="BQ320" i="11"/>
  <c r="BS302" i="11"/>
  <c r="BS204" i="11"/>
  <c r="BU257" i="11"/>
  <c r="BT313" i="11"/>
  <c r="BT19" i="7"/>
  <c r="BT258" i="11"/>
  <c r="BS305" i="11"/>
  <c r="BS239" i="11"/>
  <c r="BU192" i="11" l="1"/>
  <c r="BU197" i="11"/>
  <c r="BS27" i="7"/>
  <c r="BU196" i="11"/>
  <c r="BU239" i="11"/>
  <c r="BU305" i="11"/>
  <c r="L229" i="28"/>
  <c r="L229" i="2"/>
  <c r="BV189" i="11"/>
  <c r="BV188" i="11"/>
  <c r="BV191" i="11" s="1"/>
  <c r="BV194" i="11" s="1"/>
  <c r="BV238" i="11"/>
  <c r="BV304" i="11"/>
  <c r="BU258" i="11"/>
  <c r="BU313" i="11"/>
  <c r="BU19" i="7"/>
  <c r="BV257" i="11"/>
  <c r="BS207" i="11"/>
  <c r="BS222" i="11"/>
  <c r="BW56" i="7"/>
  <c r="BX13" i="7" s="1"/>
  <c r="BX185" i="11" s="1"/>
  <c r="BX217" i="11" s="1"/>
  <c r="BX218" i="11" s="1"/>
  <c r="BW14" i="7"/>
  <c r="BW24" i="7"/>
  <c r="BW55" i="7"/>
  <c r="BW12" i="7" s="1"/>
  <c r="BW184" i="11" s="1"/>
  <c r="BX49" i="7"/>
  <c r="BU282" i="11"/>
  <c r="BV281" i="11"/>
  <c r="BT22" i="7"/>
  <c r="BT21" i="7"/>
  <c r="BT305" i="11"/>
  <c r="BT239" i="11"/>
  <c r="BT196" i="11"/>
  <c r="BR320" i="11"/>
  <c r="BV192" i="11" l="1"/>
  <c r="BV197" i="11"/>
  <c r="BV196" i="11"/>
  <c r="BV239" i="11"/>
  <c r="BV305" i="11"/>
  <c r="BT302" i="11"/>
  <c r="BT204" i="11"/>
  <c r="BV313" i="11"/>
  <c r="BV258" i="11"/>
  <c r="BV19" i="7"/>
  <c r="BW257" i="11"/>
  <c r="BW188" i="11"/>
  <c r="BW191" i="11" s="1"/>
  <c r="BW194" i="11" s="1"/>
  <c r="BW238" i="11"/>
  <c r="BW189" i="11"/>
  <c r="BW304" i="11"/>
  <c r="BS320" i="11"/>
  <c r="BU21" i="7"/>
  <c r="BU22" i="7"/>
  <c r="BW281" i="11"/>
  <c r="BV282" i="11"/>
  <c r="BX24" i="7"/>
  <c r="BX56" i="7"/>
  <c r="BY13" i="7" s="1"/>
  <c r="BY185" i="11" s="1"/>
  <c r="BY217" i="11" s="1"/>
  <c r="BY218" i="11" s="1"/>
  <c r="BY49" i="7"/>
  <c r="BX55" i="7"/>
  <c r="BX12" i="7" s="1"/>
  <c r="BX184" i="11" s="1"/>
  <c r="BX14" i="7"/>
  <c r="BT27" i="7"/>
  <c r="BU302" i="11"/>
  <c r="BU204" i="11"/>
  <c r="BW192" i="11" l="1"/>
  <c r="BW197" i="11"/>
  <c r="BU222" i="11"/>
  <c r="BU207" i="11"/>
  <c r="BT207" i="11"/>
  <c r="BT222" i="11"/>
  <c r="BW282" i="11"/>
  <c r="BX281" i="11"/>
  <c r="BW196" i="11"/>
  <c r="BW305" i="11"/>
  <c r="BW239" i="11"/>
  <c r="BX238" i="11"/>
  <c r="BX188" i="11"/>
  <c r="BX304" i="11"/>
  <c r="BX189" i="11"/>
  <c r="BU27" i="7"/>
  <c r="BW19" i="7"/>
  <c r="BX257" i="11"/>
  <c r="BW313" i="11"/>
  <c r="BW258" i="11"/>
  <c r="BV204" i="11"/>
  <c r="BV302" i="11"/>
  <c r="BY55" i="7"/>
  <c r="BY12" i="7" s="1"/>
  <c r="BY184" i="11" s="1"/>
  <c r="BY14" i="7"/>
  <c r="BY56" i="7"/>
  <c r="BZ13" i="7" s="1"/>
  <c r="BZ185" i="11" s="1"/>
  <c r="BZ217" i="11" s="1"/>
  <c r="BZ218" i="11" s="1"/>
  <c r="BZ49" i="7"/>
  <c r="BY24" i="7"/>
  <c r="BU320" i="11"/>
  <c r="BV21" i="7"/>
  <c r="BV22" i="7"/>
  <c r="BT320" i="11"/>
  <c r="BX192" i="11" l="1"/>
  <c r="BY281" i="11"/>
  <c r="BX282" i="11"/>
  <c r="BY238" i="11"/>
  <c r="BV320" i="11" s="1"/>
  <c r="BY188" i="11"/>
  <c r="BY191" i="11" s="1"/>
  <c r="BY194" i="11" s="1"/>
  <c r="BY189" i="11"/>
  <c r="BY304" i="11"/>
  <c r="BV27" i="7"/>
  <c r="BV207" i="11"/>
  <c r="BV222" i="11"/>
  <c r="BX191" i="11"/>
  <c r="BX194" i="11" s="1"/>
  <c r="BX196" i="11" s="1"/>
  <c r="BZ56" i="7"/>
  <c r="CA13" i="7" s="1"/>
  <c r="CA185" i="11" s="1"/>
  <c r="CA217" i="11" s="1"/>
  <c r="CA218" i="11" s="1"/>
  <c r="BZ55" i="7"/>
  <c r="BZ12" i="7" s="1"/>
  <c r="BZ184" i="11" s="1"/>
  <c r="BZ24" i="7"/>
  <c r="BZ14" i="7"/>
  <c r="CA49" i="7"/>
  <c r="BX19" i="7"/>
  <c r="BX313" i="11"/>
  <c r="BX258" i="11"/>
  <c r="BY257" i="11"/>
  <c r="BW204" i="11"/>
  <c r="BW302" i="11"/>
  <c r="BW22" i="7"/>
  <c r="BW21" i="7"/>
  <c r="BY192" i="11" l="1"/>
  <c r="BY197" i="11"/>
  <c r="BX197" i="11"/>
  <c r="BW27" i="7"/>
  <c r="BZ189" i="11"/>
  <c r="BZ304" i="11"/>
  <c r="BZ188" i="11"/>
  <c r="BZ238" i="11"/>
  <c r="BY313" i="11"/>
  <c r="BY19" i="7"/>
  <c r="BY258" i="11"/>
  <c r="BZ257" i="11"/>
  <c r="BX204" i="11"/>
  <c r="BX302" i="11"/>
  <c r="BW222" i="11"/>
  <c r="BW207" i="11"/>
  <c r="BY196" i="11"/>
  <c r="BY239" i="11"/>
  <c r="BY305" i="11"/>
  <c r="BX22" i="7"/>
  <c r="BX21" i="7"/>
  <c r="CA24" i="7"/>
  <c r="CB49" i="7"/>
  <c r="CA14" i="7"/>
  <c r="CA55" i="7"/>
  <c r="CA12" i="7" s="1"/>
  <c r="CA184" i="11" s="1"/>
  <c r="CA56" i="7"/>
  <c r="CB13" i="7" s="1"/>
  <c r="CB185" i="11" s="1"/>
  <c r="CB217" i="11" s="1"/>
  <c r="CB218" i="11" s="1"/>
  <c r="BX305" i="11"/>
  <c r="BX239" i="11"/>
  <c r="BY282" i="11"/>
  <c r="BZ281" i="11"/>
  <c r="BZ192" i="11" l="1"/>
  <c r="BX27" i="7"/>
  <c r="CA188" i="11"/>
  <c r="CA238" i="11"/>
  <c r="CA189" i="11"/>
  <c r="CA304" i="11"/>
  <c r="BY302" i="11"/>
  <c r="BY204" i="11"/>
  <c r="BZ282" i="11"/>
  <c r="CA281" i="11"/>
  <c r="CC49" i="7"/>
  <c r="CB24" i="7"/>
  <c r="CB55" i="7"/>
  <c r="CB12" i="7" s="1"/>
  <c r="CB184" i="11" s="1"/>
  <c r="CB14" i="7"/>
  <c r="CB56" i="7"/>
  <c r="CC13" i="7" s="1"/>
  <c r="CC185" i="11" s="1"/>
  <c r="CC217" i="11" s="1"/>
  <c r="CC218" i="11" s="1"/>
  <c r="BW320" i="11"/>
  <c r="BY22" i="7"/>
  <c r="BY21" i="7"/>
  <c r="BZ191" i="11"/>
  <c r="BZ194" i="11" s="1"/>
  <c r="BZ196" i="11" s="1"/>
  <c r="BX222" i="11"/>
  <c r="BX207" i="11"/>
  <c r="BZ258" i="11"/>
  <c r="BZ313" i="11"/>
  <c r="CA257" i="11"/>
  <c r="BZ19" i="7"/>
  <c r="CA192" i="11" l="1"/>
  <c r="BZ197" i="11"/>
  <c r="BY27" i="7"/>
  <c r="CB189" i="11"/>
  <c r="CB304" i="11"/>
  <c r="CB238" i="11"/>
  <c r="CB188" i="11"/>
  <c r="CB191" i="11" s="1"/>
  <c r="CB194" i="11" s="1"/>
  <c r="BY207" i="11"/>
  <c r="BY222" i="11"/>
  <c r="BZ204" i="11"/>
  <c r="BZ302" i="11"/>
  <c r="BZ22" i="7"/>
  <c r="BZ21" i="7"/>
  <c r="CC55" i="7"/>
  <c r="CC12" i="7" s="1"/>
  <c r="CC184" i="11" s="1"/>
  <c r="CD49" i="7"/>
  <c r="CC56" i="7"/>
  <c r="CD13" i="7" s="1"/>
  <c r="CD185" i="11" s="1"/>
  <c r="CD217" i="11" s="1"/>
  <c r="CD218" i="11" s="1"/>
  <c r="CC14" i="7"/>
  <c r="CC24" i="7"/>
  <c r="C11" i="23" s="1"/>
  <c r="C10" i="23" s="1"/>
  <c r="BX320" i="11"/>
  <c r="BZ239" i="11"/>
  <c r="BZ305" i="11"/>
  <c r="CA313" i="11"/>
  <c r="CA258" i="11"/>
  <c r="CB257" i="11"/>
  <c r="CA19" i="7"/>
  <c r="CB281" i="11"/>
  <c r="CA282" i="11"/>
  <c r="CA191" i="11"/>
  <c r="CA194" i="11" s="1"/>
  <c r="CA196" i="11" s="1"/>
  <c r="CA197" i="11" l="1"/>
  <c r="CB192" i="11"/>
  <c r="CB197" i="11"/>
  <c r="BZ27" i="7"/>
  <c r="CA204" i="11"/>
  <c r="CA302" i="11"/>
  <c r="CD24" i="7"/>
  <c r="CD55" i="7"/>
  <c r="CD12" i="7" s="1"/>
  <c r="CD184" i="11" s="1"/>
  <c r="CD14" i="7"/>
  <c r="CD56" i="7"/>
  <c r="CE13" i="7" s="1"/>
  <c r="CE185" i="11" s="1"/>
  <c r="CE217" i="11" s="1"/>
  <c r="CE218" i="11" s="1"/>
  <c r="CE49" i="7"/>
  <c r="CC304" i="11"/>
  <c r="CC188" i="11"/>
  <c r="CC191" i="11" s="1"/>
  <c r="CC194" i="11" s="1"/>
  <c r="CC189" i="11"/>
  <c r="CC238" i="11"/>
  <c r="BZ320" i="11" s="1"/>
  <c r="CB196" i="11"/>
  <c r="CB239" i="11"/>
  <c r="CB305" i="11"/>
  <c r="CA305" i="11"/>
  <c r="CA239" i="11"/>
  <c r="BY320" i="11"/>
  <c r="CB313" i="11"/>
  <c r="CB258" i="11"/>
  <c r="CC257" i="11"/>
  <c r="CB19" i="7"/>
  <c r="BZ222" i="11"/>
  <c r="BZ207" i="11"/>
  <c r="CB282" i="11"/>
  <c r="CC281" i="11"/>
  <c r="CA21" i="7"/>
  <c r="CA22" i="7"/>
  <c r="CC192" i="11" l="1"/>
  <c r="CC197" i="11"/>
  <c r="M214" i="28"/>
  <c r="M214" i="2"/>
  <c r="CA27" i="7"/>
  <c r="CB302" i="11"/>
  <c r="CB204" i="11"/>
  <c r="CB21" i="7"/>
  <c r="CB22" i="7"/>
  <c r="M190" i="2"/>
  <c r="CC282" i="11"/>
  <c r="CD281" i="11"/>
  <c r="CD188" i="11"/>
  <c r="CD191" i="11" s="1"/>
  <c r="CD194" i="11" s="1"/>
  <c r="CD189" i="11"/>
  <c r="CD238" i="11"/>
  <c r="CA320" i="11" s="1"/>
  <c r="CD304" i="11"/>
  <c r="CE56" i="7"/>
  <c r="CF13" i="7" s="1"/>
  <c r="CF185" i="11" s="1"/>
  <c r="CF217" i="11" s="1"/>
  <c r="CF218" i="11" s="1"/>
  <c r="CE24" i="7"/>
  <c r="CE55" i="7"/>
  <c r="CE12" i="7" s="1"/>
  <c r="CE184" i="11" s="1"/>
  <c r="CF49" i="7"/>
  <c r="CE14" i="7"/>
  <c r="CD257" i="11"/>
  <c r="CC19" i="7"/>
  <c r="CC258" i="11"/>
  <c r="CC313" i="11"/>
  <c r="M223" i="2" s="1"/>
  <c r="M223" i="28" s="1"/>
  <c r="CC196" i="11"/>
  <c r="CC239" i="11"/>
  <c r="CC305" i="11"/>
  <c r="CA207" i="11"/>
  <c r="CA222" i="11"/>
  <c r="CD192" i="11" l="1"/>
  <c r="CD197" i="11"/>
  <c r="M191" i="2"/>
  <c r="M190" i="28"/>
  <c r="CB27" i="7"/>
  <c r="CD19" i="7"/>
  <c r="CE257" i="11"/>
  <c r="CD258" i="11"/>
  <c r="CD313" i="11"/>
  <c r="CB207" i="11"/>
  <c r="CB222" i="11"/>
  <c r="CC22" i="7"/>
  <c r="CC21" i="7"/>
  <c r="M215" i="28"/>
  <c r="M215" i="2"/>
  <c r="CF14" i="7"/>
  <c r="CG49" i="7"/>
  <c r="CF24" i="7"/>
  <c r="CF56" i="7"/>
  <c r="CG13" i="7" s="1"/>
  <c r="CG185" i="11" s="1"/>
  <c r="CG217" i="11" s="1"/>
  <c r="CG218" i="11" s="1"/>
  <c r="CF55" i="7"/>
  <c r="CF12" i="7" s="1"/>
  <c r="CF184" i="11" s="1"/>
  <c r="CD196" i="11"/>
  <c r="CD239" i="11"/>
  <c r="CD305" i="11"/>
  <c r="CE238" i="11"/>
  <c r="CE189" i="11"/>
  <c r="CE188" i="11"/>
  <c r="CE191" i="11" s="1"/>
  <c r="CE194" i="11" s="1"/>
  <c r="CE304" i="11"/>
  <c r="CE281" i="11"/>
  <c r="CD282" i="11"/>
  <c r="CC302" i="11"/>
  <c r="CC204" i="11"/>
  <c r="CE192" i="11" l="1"/>
  <c r="CE197" i="11"/>
  <c r="CC27" i="7"/>
  <c r="CF257" i="11"/>
  <c r="CE19" i="7"/>
  <c r="CE258" i="11"/>
  <c r="CE313" i="11"/>
  <c r="CE196" i="11"/>
  <c r="CE239" i="11"/>
  <c r="CE305" i="11"/>
  <c r="CD21" i="7"/>
  <c r="CD22" i="7"/>
  <c r="CE282" i="11"/>
  <c r="CF281" i="11"/>
  <c r="CD204" i="11"/>
  <c r="CD302" i="11"/>
  <c r="CG55" i="7"/>
  <c r="CG12" i="7" s="1"/>
  <c r="CG184" i="11" s="1"/>
  <c r="CG14" i="7"/>
  <c r="CH49" i="7"/>
  <c r="CG24" i="7"/>
  <c r="CG56" i="7"/>
  <c r="CH13" i="7" s="1"/>
  <c r="CH185" i="11" s="1"/>
  <c r="CH217" i="11" s="1"/>
  <c r="CH218" i="11" s="1"/>
  <c r="CF238" i="11"/>
  <c r="CC320" i="11" s="1"/>
  <c r="CF304" i="11"/>
  <c r="CF189" i="11"/>
  <c r="CF188" i="11"/>
  <c r="M191" i="28"/>
  <c r="CC222" i="11"/>
  <c r="CC207" i="11"/>
  <c r="CB320" i="11"/>
  <c r="CF192" i="11" l="1"/>
  <c r="CD27" i="7"/>
  <c r="CE204" i="11"/>
  <c r="CE302" i="11"/>
  <c r="M229" i="28"/>
  <c r="M229" i="2"/>
  <c r="CD222" i="11"/>
  <c r="CD207" i="11"/>
  <c r="CF191" i="11"/>
  <c r="CF194" i="11" s="1"/>
  <c r="CF196" i="11" s="1"/>
  <c r="CG281" i="11"/>
  <c r="CF282" i="11"/>
  <c r="CE21" i="7"/>
  <c r="CE22" i="7"/>
  <c r="CI49" i="7"/>
  <c r="CH56" i="7"/>
  <c r="CI13" i="7" s="1"/>
  <c r="CI185" i="11" s="1"/>
  <c r="CI217" i="11" s="1"/>
  <c r="CI218" i="11" s="1"/>
  <c r="CH24" i="7"/>
  <c r="CH14" i="7"/>
  <c r="CH55" i="7"/>
  <c r="CH12" i="7" s="1"/>
  <c r="CH184" i="11" s="1"/>
  <c r="CG238" i="11"/>
  <c r="CG188" i="11"/>
  <c r="CG304" i="11"/>
  <c r="CG189" i="11"/>
  <c r="CG257" i="11"/>
  <c r="CF313" i="11"/>
  <c r="CF19" i="7"/>
  <c r="CF258" i="11"/>
  <c r="CF197" i="11" l="1"/>
  <c r="CG192" i="11"/>
  <c r="CI55" i="7"/>
  <c r="CI12" i="7" s="1"/>
  <c r="CI184" i="11" s="1"/>
  <c r="CI56" i="7"/>
  <c r="CJ13" i="7" s="1"/>
  <c r="CJ185" i="11" s="1"/>
  <c r="CJ217" i="11" s="1"/>
  <c r="CJ218" i="11" s="1"/>
  <c r="CJ49" i="7"/>
  <c r="CI24" i="7"/>
  <c r="CI14" i="7"/>
  <c r="CF239" i="11"/>
  <c r="CF305" i="11"/>
  <c r="CG191" i="11"/>
  <c r="CG194" i="11" s="1"/>
  <c r="CG196" i="11" s="1"/>
  <c r="CE27" i="7"/>
  <c r="CD320" i="11"/>
  <c r="CF204" i="11"/>
  <c r="CF302" i="11"/>
  <c r="CG313" i="11"/>
  <c r="CG19" i="7"/>
  <c r="CG258" i="11"/>
  <c r="CH257" i="11"/>
  <c r="CF21" i="7"/>
  <c r="CF22" i="7"/>
  <c r="CH188" i="11"/>
  <c r="CH191" i="11" s="1"/>
  <c r="CH194" i="11" s="1"/>
  <c r="CH304" i="11"/>
  <c r="CH238" i="11"/>
  <c r="CH189" i="11"/>
  <c r="CG282" i="11"/>
  <c r="CH281" i="11"/>
  <c r="CE207" i="11"/>
  <c r="CE222" i="11"/>
  <c r="CG197" i="11" l="1"/>
  <c r="CH192" i="11"/>
  <c r="CH197" i="11"/>
  <c r="CH196" i="11"/>
  <c r="CH305" i="11"/>
  <c r="CH239" i="11"/>
  <c r="CF207" i="11"/>
  <c r="CF222" i="11"/>
  <c r="CF27" i="7"/>
  <c r="CH282" i="11"/>
  <c r="CI281" i="11"/>
  <c r="CH258" i="11"/>
  <c r="CI257" i="11"/>
  <c r="CH313" i="11"/>
  <c r="CH19" i="7"/>
  <c r="CJ24" i="7"/>
  <c r="CJ55" i="7"/>
  <c r="CJ12" i="7" s="1"/>
  <c r="CJ184" i="11" s="1"/>
  <c r="CJ56" i="7"/>
  <c r="CK13" i="7" s="1"/>
  <c r="CK185" i="11" s="1"/>
  <c r="CK217" i="11" s="1"/>
  <c r="CK218" i="11" s="1"/>
  <c r="CK49" i="7"/>
  <c r="CJ14" i="7"/>
  <c r="CE320" i="11"/>
  <c r="CG302" i="11"/>
  <c r="CG204" i="11"/>
  <c r="CG21" i="7"/>
  <c r="CG22" i="7"/>
  <c r="CG239" i="11"/>
  <c r="CG305" i="11"/>
  <c r="CI238" i="11"/>
  <c r="CF320" i="11" s="1"/>
  <c r="CI189" i="11"/>
  <c r="CI304" i="11"/>
  <c r="CI188" i="11"/>
  <c r="CI192" i="11" l="1"/>
  <c r="CG27" i="7"/>
  <c r="CG222" i="11"/>
  <c r="CG207" i="11"/>
  <c r="CH21" i="7"/>
  <c r="CH22" i="7"/>
  <c r="CI191" i="11"/>
  <c r="CI194" i="11" s="1"/>
  <c r="CI196" i="11" s="1"/>
  <c r="CJ257" i="11"/>
  <c r="CI313" i="11"/>
  <c r="CI19" i="7"/>
  <c r="CI258" i="11"/>
  <c r="CJ189" i="11"/>
  <c r="CJ304" i="11"/>
  <c r="CJ188" i="11"/>
  <c r="CJ191" i="11" s="1"/>
  <c r="CJ194" i="11" s="1"/>
  <c r="CJ238" i="11"/>
  <c r="CG320" i="11" s="1"/>
  <c r="CH204" i="11"/>
  <c r="CH302" i="11"/>
  <c r="CL49" i="7"/>
  <c r="CK14" i="7"/>
  <c r="CK24" i="7"/>
  <c r="CK56" i="7"/>
  <c r="CL13" i="7" s="1"/>
  <c r="CL185" i="11" s="1"/>
  <c r="CL217" i="11" s="1"/>
  <c r="CL218" i="11" s="1"/>
  <c r="CK55" i="7"/>
  <c r="CK12" i="7" s="1"/>
  <c r="CK184" i="11" s="1"/>
  <c r="CJ281" i="11"/>
  <c r="CI282" i="11"/>
  <c r="CJ192" i="11" l="1"/>
  <c r="CJ197" i="11"/>
  <c r="CI197" i="11"/>
  <c r="CK238" i="11"/>
  <c r="CK189" i="11"/>
  <c r="CK188" i="11"/>
  <c r="CK191" i="11" s="1"/>
  <c r="CK194" i="11" s="1"/>
  <c r="CK304" i="11"/>
  <c r="CI239" i="11"/>
  <c r="CI305" i="11"/>
  <c r="CJ258" i="11"/>
  <c r="CJ313" i="11"/>
  <c r="CK257" i="11"/>
  <c r="CJ19" i="7"/>
  <c r="CI302" i="11"/>
  <c r="CI204" i="11"/>
  <c r="CL56" i="7"/>
  <c r="CM13" i="7" s="1"/>
  <c r="CM185" i="11" s="1"/>
  <c r="CM217" i="11" s="1"/>
  <c r="CM218" i="11" s="1"/>
  <c r="CL24" i="7"/>
  <c r="CL14" i="7"/>
  <c r="CM49" i="7"/>
  <c r="CL55" i="7"/>
  <c r="CL12" i="7" s="1"/>
  <c r="CL184" i="11" s="1"/>
  <c r="CH27" i="7"/>
  <c r="CK281" i="11"/>
  <c r="CJ282" i="11"/>
  <c r="CI21" i="7"/>
  <c r="CI22" i="7"/>
  <c r="CJ196" i="11"/>
  <c r="CJ239" i="11"/>
  <c r="CJ305" i="11"/>
  <c r="CH207" i="11"/>
  <c r="CH222" i="11"/>
  <c r="CK192" i="11" l="1"/>
  <c r="CK197" i="11"/>
  <c r="CI27" i="7"/>
  <c r="CL281" i="11"/>
  <c r="CK282" i="11"/>
  <c r="CI207" i="11"/>
  <c r="CI222" i="11"/>
  <c r="CL304" i="11"/>
  <c r="CL238" i="11"/>
  <c r="CL188" i="11"/>
  <c r="CL191" i="11" s="1"/>
  <c r="CL194" i="11" s="1"/>
  <c r="CL189" i="11"/>
  <c r="CJ21" i="7"/>
  <c r="CJ22" i="7"/>
  <c r="CM56" i="7"/>
  <c r="CN13" i="7" s="1"/>
  <c r="CN185" i="11" s="1"/>
  <c r="CN217" i="11" s="1"/>
  <c r="CN218" i="11" s="1"/>
  <c r="CM24" i="7"/>
  <c r="CM14" i="7"/>
  <c r="CN49" i="7"/>
  <c r="CM55" i="7"/>
  <c r="CM12" i="7" s="1"/>
  <c r="CM184" i="11" s="1"/>
  <c r="CK258" i="11"/>
  <c r="CL257" i="11"/>
  <c r="CK19" i="7"/>
  <c r="CK313" i="11"/>
  <c r="CK196" i="11"/>
  <c r="CK305" i="11"/>
  <c r="CK239" i="11"/>
  <c r="CJ302" i="11"/>
  <c r="CJ204" i="11"/>
  <c r="CH320" i="11"/>
  <c r="CL192" i="11" l="1"/>
  <c r="CL197" i="11"/>
  <c r="CN56" i="7"/>
  <c r="CO13" i="7" s="1"/>
  <c r="CO185" i="11" s="1"/>
  <c r="CO217" i="11" s="1"/>
  <c r="CO218" i="11" s="1"/>
  <c r="CO49" i="7"/>
  <c r="CN14" i="7"/>
  <c r="CN24" i="7"/>
  <c r="CN55" i="7"/>
  <c r="CN12" i="7" s="1"/>
  <c r="CN184" i="11" s="1"/>
  <c r="CI320" i="11"/>
  <c r="CM189" i="11"/>
  <c r="CM238" i="11"/>
  <c r="CJ320" i="11" s="1"/>
  <c r="CM188" i="11"/>
  <c r="CM191" i="11" s="1"/>
  <c r="CM194" i="11" s="1"/>
  <c r="CM304" i="11"/>
  <c r="CL196" i="11"/>
  <c r="CL239" i="11"/>
  <c r="CL305" i="11"/>
  <c r="CK22" i="7"/>
  <c r="CK21" i="7"/>
  <c r="CL19" i="7"/>
  <c r="CL313" i="11"/>
  <c r="CL258" i="11"/>
  <c r="CM257" i="11"/>
  <c r="CJ27" i="7"/>
  <c r="CK204" i="11"/>
  <c r="CK302" i="11"/>
  <c r="CJ222" i="11"/>
  <c r="CJ207" i="11"/>
  <c r="CL282" i="11"/>
  <c r="CM281" i="11"/>
  <c r="CK27" i="7" l="1"/>
  <c r="CM192" i="11"/>
  <c r="CM197" i="11"/>
  <c r="CK207" i="11"/>
  <c r="CK222" i="11"/>
  <c r="CM282" i="11"/>
  <c r="CN281" i="11"/>
  <c r="CM258" i="11"/>
  <c r="CM313" i="11"/>
  <c r="CN257" i="11"/>
  <c r="CM19" i="7"/>
  <c r="CL302" i="11"/>
  <c r="CL204" i="11"/>
  <c r="CN304" i="11"/>
  <c r="CN188" i="11"/>
  <c r="CN189" i="11"/>
  <c r="CN238" i="11"/>
  <c r="CL21" i="7"/>
  <c r="CL22" i="7"/>
  <c r="CM196" i="11"/>
  <c r="CM305" i="11"/>
  <c r="CM239" i="11"/>
  <c r="CO56" i="7"/>
  <c r="CP13" i="7" s="1"/>
  <c r="CP185" i="11" s="1"/>
  <c r="CP217" i="11" s="1"/>
  <c r="CP218" i="11" s="1"/>
  <c r="CO55" i="7"/>
  <c r="CO12" i="7" s="1"/>
  <c r="CO184" i="11" s="1"/>
  <c r="CO24" i="7"/>
  <c r="CP49" i="7"/>
  <c r="CO14" i="7"/>
  <c r="CN192" i="11" l="1"/>
  <c r="CL27" i="7"/>
  <c r="CO188" i="11"/>
  <c r="CO304" i="11"/>
  <c r="CO189" i="11"/>
  <c r="CO238" i="11"/>
  <c r="CK320" i="11"/>
  <c r="CN313" i="11"/>
  <c r="CN19" i="7"/>
  <c r="CO257" i="11"/>
  <c r="CN258" i="11"/>
  <c r="CN191" i="11"/>
  <c r="CN194" i="11" s="1"/>
  <c r="CN196" i="11" s="1"/>
  <c r="CO281" i="11"/>
  <c r="CN282" i="11"/>
  <c r="CQ49" i="7"/>
  <c r="CP24" i="7"/>
  <c r="CP56" i="7"/>
  <c r="CQ13" i="7" s="1"/>
  <c r="CQ185" i="11" s="1"/>
  <c r="CQ217" i="11" s="1"/>
  <c r="CQ218" i="11" s="1"/>
  <c r="CP14" i="7"/>
  <c r="CP55" i="7"/>
  <c r="CP12" i="7" s="1"/>
  <c r="CP184" i="11" s="1"/>
  <c r="CM21" i="7"/>
  <c r="CM22" i="7"/>
  <c r="CM302" i="11"/>
  <c r="CM204" i="11"/>
  <c r="CL320" i="11"/>
  <c r="CL207" i="11"/>
  <c r="CL222" i="11"/>
  <c r="CN197" i="11" l="1"/>
  <c r="CO192" i="11"/>
  <c r="CN204" i="11"/>
  <c r="CN302" i="11"/>
  <c r="CO282" i="11"/>
  <c r="N190" i="2"/>
  <c r="CP281" i="11"/>
  <c r="CM207" i="11"/>
  <c r="CM222" i="11"/>
  <c r="CM27" i="7"/>
  <c r="CP304" i="11"/>
  <c r="CP238" i="11"/>
  <c r="CM320" i="11" s="1"/>
  <c r="CP188" i="11"/>
  <c r="CP189" i="11"/>
  <c r="CN305" i="11"/>
  <c r="CN239" i="11"/>
  <c r="CR49" i="7"/>
  <c r="CQ14" i="7"/>
  <c r="CQ24" i="7"/>
  <c r="CQ55" i="7"/>
  <c r="CQ12" i="7" s="1"/>
  <c r="CQ184" i="11" s="1"/>
  <c r="CQ56" i="7"/>
  <c r="CR13" i="7" s="1"/>
  <c r="CR185" i="11" s="1"/>
  <c r="CR217" i="11" s="1"/>
  <c r="CR218" i="11" s="1"/>
  <c r="CP257" i="11"/>
  <c r="CO19" i="7"/>
  <c r="CO258" i="11"/>
  <c r="CO313" i="11"/>
  <c r="N223" i="2" s="1"/>
  <c r="N223" i="28" s="1"/>
  <c r="N214" i="2"/>
  <c r="N214" i="28"/>
  <c r="CN21" i="7"/>
  <c r="CN22" i="7"/>
  <c r="CO191" i="11"/>
  <c r="CO194" i="11" s="1"/>
  <c r="CO196" i="11" s="1"/>
  <c r="CP192" i="11" l="1"/>
  <c r="CO197" i="11"/>
  <c r="CQ257" i="11"/>
  <c r="CP313" i="11"/>
  <c r="CP19" i="7"/>
  <c r="CP258" i="11"/>
  <c r="CN27" i="7"/>
  <c r="CQ188" i="11"/>
  <c r="CQ191" i="11" s="1"/>
  <c r="CQ194" i="11" s="1"/>
  <c r="CQ189" i="11"/>
  <c r="CQ238" i="11"/>
  <c r="CQ304" i="11"/>
  <c r="CP282" i="11"/>
  <c r="CQ281" i="11"/>
  <c r="CO204" i="11"/>
  <c r="CO302" i="11"/>
  <c r="CO21" i="7"/>
  <c r="CO22" i="7"/>
  <c r="CO305" i="11"/>
  <c r="CO239" i="11"/>
  <c r="N191" i="2"/>
  <c r="N190" i="28"/>
  <c r="CP191" i="11"/>
  <c r="CP194" i="11" s="1"/>
  <c r="CP196" i="11" s="1"/>
  <c r="CR55" i="7"/>
  <c r="CR12" i="7" s="1"/>
  <c r="CR184" i="11" s="1"/>
  <c r="CR56" i="7"/>
  <c r="CS13" i="7" s="1"/>
  <c r="CS185" i="11" s="1"/>
  <c r="CS217" i="11" s="1"/>
  <c r="CS218" i="11" s="1"/>
  <c r="CR14" i="7"/>
  <c r="CR24" i="7"/>
  <c r="CS49" i="7"/>
  <c r="CN207" i="11"/>
  <c r="CN222" i="11"/>
  <c r="CQ192" i="11" l="1"/>
  <c r="CQ197" i="11"/>
  <c r="CP197" i="11"/>
  <c r="CP204" i="11"/>
  <c r="CP302" i="11"/>
  <c r="CQ196" i="11"/>
  <c r="CQ239" i="11"/>
  <c r="CQ305" i="11"/>
  <c r="CN320" i="11"/>
  <c r="N191" i="28"/>
  <c r="CO222" i="11"/>
  <c r="CO207" i="11"/>
  <c r="CR304" i="11"/>
  <c r="CR189" i="11"/>
  <c r="CR188" i="11"/>
  <c r="CR191" i="11" s="1"/>
  <c r="CR194" i="11" s="1"/>
  <c r="CR238" i="11"/>
  <c r="CO320" i="11" s="1"/>
  <c r="CP239" i="11"/>
  <c r="CP305" i="11"/>
  <c r="CS14" i="7"/>
  <c r="CS24" i="7"/>
  <c r="CS55" i="7"/>
  <c r="CS12" i="7" s="1"/>
  <c r="CS184" i="11" s="1"/>
  <c r="CS56" i="7"/>
  <c r="CT13" i="7" s="1"/>
  <c r="CT185" i="11" s="1"/>
  <c r="CT217" i="11" s="1"/>
  <c r="CT218" i="11" s="1"/>
  <c r="CT49" i="7"/>
  <c r="CQ282" i="11"/>
  <c r="CR281" i="11"/>
  <c r="CP21" i="7"/>
  <c r="CP22" i="7"/>
  <c r="CO27" i="7"/>
  <c r="N215" i="28"/>
  <c r="N215" i="2"/>
  <c r="CQ313" i="11"/>
  <c r="CQ258" i="11"/>
  <c r="CQ19" i="7"/>
  <c r="CR257" i="11"/>
  <c r="CR192" i="11" l="1"/>
  <c r="CR197" i="11"/>
  <c r="CR196" i="11"/>
  <c r="CR239" i="11"/>
  <c r="CR305" i="11"/>
  <c r="CT56" i="7"/>
  <c r="CU13" i="7" s="1"/>
  <c r="CU185" i="11" s="1"/>
  <c r="CU217" i="11" s="1"/>
  <c r="CU218" i="11" s="1"/>
  <c r="CT55" i="7"/>
  <c r="CT12" i="7" s="1"/>
  <c r="CT184" i="11" s="1"/>
  <c r="CU49" i="7"/>
  <c r="CT14" i="7"/>
  <c r="CT24" i="7"/>
  <c r="N229" i="2"/>
  <c r="N229" i="28"/>
  <c r="CS304" i="11"/>
  <c r="CS188" i="11"/>
  <c r="CS238" i="11"/>
  <c r="CP320" i="11" s="1"/>
  <c r="CS189" i="11"/>
  <c r="CR313" i="11"/>
  <c r="CR258" i="11"/>
  <c r="CS257" i="11"/>
  <c r="CR19" i="7"/>
  <c r="CQ302" i="11"/>
  <c r="CQ204" i="11"/>
  <c r="CQ21" i="7"/>
  <c r="CQ22" i="7"/>
  <c r="CP27" i="7"/>
  <c r="CR282" i="11"/>
  <c r="CS281" i="11"/>
  <c r="CP207" i="11"/>
  <c r="CP222" i="11"/>
  <c r="CS192" i="11" l="1"/>
  <c r="CU24" i="7"/>
  <c r="CU55" i="7"/>
  <c r="CU12" i="7" s="1"/>
  <c r="CU184" i="11" s="1"/>
  <c r="CV49" i="7"/>
  <c r="CU14" i="7"/>
  <c r="CU56" i="7"/>
  <c r="CV13" i="7" s="1"/>
  <c r="CV185" i="11" s="1"/>
  <c r="CV217" i="11" s="1"/>
  <c r="CV218" i="11" s="1"/>
  <c r="CT189" i="11"/>
  <c r="CT238" i="11"/>
  <c r="CT188" i="11"/>
  <c r="CT191" i="11" s="1"/>
  <c r="CT194" i="11" s="1"/>
  <c r="CT304" i="11"/>
  <c r="CQ27" i="7"/>
  <c r="CS191" i="11"/>
  <c r="CS194" i="11" s="1"/>
  <c r="CS196" i="11" s="1"/>
  <c r="CQ207" i="11"/>
  <c r="CQ222" i="11"/>
  <c r="CS282" i="11"/>
  <c r="CT281" i="11"/>
  <c r="CR22" i="7"/>
  <c r="CR21" i="7"/>
  <c r="CS258" i="11"/>
  <c r="CT257" i="11"/>
  <c r="CS19" i="7"/>
  <c r="CS313" i="11"/>
  <c r="CR204" i="11"/>
  <c r="CR302" i="11"/>
  <c r="CT192" i="11" l="1"/>
  <c r="CT197" i="11"/>
  <c r="CS197" i="11"/>
  <c r="CR27" i="7"/>
  <c r="CS204" i="11"/>
  <c r="CS302" i="11"/>
  <c r="CT258" i="11"/>
  <c r="CT313" i="11"/>
  <c r="CU257" i="11"/>
  <c r="CT19" i="7"/>
  <c r="CS239" i="11"/>
  <c r="CS305" i="11"/>
  <c r="CS21" i="7"/>
  <c r="CS22" i="7"/>
  <c r="CV24" i="7"/>
  <c r="CW49" i="7"/>
  <c r="CV55" i="7"/>
  <c r="CV12" i="7" s="1"/>
  <c r="CV184" i="11" s="1"/>
  <c r="CV56" i="7"/>
  <c r="CW13" i="7" s="1"/>
  <c r="CW185" i="11" s="1"/>
  <c r="CW217" i="11" s="1"/>
  <c r="CW218" i="11" s="1"/>
  <c r="CV14" i="7"/>
  <c r="CQ320" i="11"/>
  <c r="CT282" i="11"/>
  <c r="CU281" i="11"/>
  <c r="CU238" i="11"/>
  <c r="CU189" i="11"/>
  <c r="CU304" i="11"/>
  <c r="CU188" i="11"/>
  <c r="CR207" i="11"/>
  <c r="CR222" i="11"/>
  <c r="CT196" i="11"/>
  <c r="CT305" i="11"/>
  <c r="CT239" i="11"/>
  <c r="CU192" i="11" l="1"/>
  <c r="CS27" i="7"/>
  <c r="CX49" i="7"/>
  <c r="CW24" i="7"/>
  <c r="CW55" i="7"/>
  <c r="CW12" i="7" s="1"/>
  <c r="CW184" i="11" s="1"/>
  <c r="CW56" i="7"/>
  <c r="CX13" i="7" s="1"/>
  <c r="CX185" i="11" s="1"/>
  <c r="CX217" i="11" s="1"/>
  <c r="CW14" i="7"/>
  <c r="CU258" i="11"/>
  <c r="CV257" i="11"/>
  <c r="CU19" i="7"/>
  <c r="CU313" i="11"/>
  <c r="CV189" i="11"/>
  <c r="CV304" i="11"/>
  <c r="CV238" i="11"/>
  <c r="CS320" i="11" s="1"/>
  <c r="CV188" i="11"/>
  <c r="CT21" i="7"/>
  <c r="CT22" i="7"/>
  <c r="CT204" i="11"/>
  <c r="CT302" i="11"/>
  <c r="CV281" i="11"/>
  <c r="CU282" i="11"/>
  <c r="CS207" i="11"/>
  <c r="CS222" i="11"/>
  <c r="CU191" i="11"/>
  <c r="CU194" i="11" s="1"/>
  <c r="CU196" i="11" s="1"/>
  <c r="CR320" i="11"/>
  <c r="CV192" i="11" l="1"/>
  <c r="CU197" i="11"/>
  <c r="CV258" i="11"/>
  <c r="CV313" i="11"/>
  <c r="CW257" i="11"/>
  <c r="CV19" i="7"/>
  <c r="CV191" i="11"/>
  <c r="CV194" i="11" s="1"/>
  <c r="CV196" i="11" s="1"/>
  <c r="CX218" i="11"/>
  <c r="CW281" i="11"/>
  <c r="CV282" i="11"/>
  <c r="CW188" i="11"/>
  <c r="CW304" i="11"/>
  <c r="CW238" i="11"/>
  <c r="CW189" i="11"/>
  <c r="CU22" i="7"/>
  <c r="CU21" i="7"/>
  <c r="CT27" i="7"/>
  <c r="CU302" i="11"/>
  <c r="CU204" i="11"/>
  <c r="CU239" i="11"/>
  <c r="CU305" i="11"/>
  <c r="CT207" i="11"/>
  <c r="CT222" i="11"/>
  <c r="CX56" i="7"/>
  <c r="CY13" i="7" s="1"/>
  <c r="CY185" i="11" s="1"/>
  <c r="CY217" i="11" s="1"/>
  <c r="CY218" i="11" s="1"/>
  <c r="CY49" i="7"/>
  <c r="CX24" i="7"/>
  <c r="CX55" i="7"/>
  <c r="CX12" i="7" s="1"/>
  <c r="CX184" i="11" s="1"/>
  <c r="CX14" i="7"/>
  <c r="CW192" i="11" l="1"/>
  <c r="CV197" i="11"/>
  <c r="CV302" i="11"/>
  <c r="CV204" i="11"/>
  <c r="CX238" i="11"/>
  <c r="CU320" i="11" s="1"/>
  <c r="CX189" i="11"/>
  <c r="CX188" i="11"/>
  <c r="CX191" i="11" s="1"/>
  <c r="CX194" i="11" s="1"/>
  <c r="CX304" i="11"/>
  <c r="CT320" i="11"/>
  <c r="CV239" i="11"/>
  <c r="CV305" i="11"/>
  <c r="CY55" i="7"/>
  <c r="CY12" i="7" s="1"/>
  <c r="CY184" i="11" s="1"/>
  <c r="CZ49" i="7"/>
  <c r="CY56" i="7"/>
  <c r="CZ13" i="7" s="1"/>
  <c r="CZ185" i="11" s="1"/>
  <c r="CZ217" i="11" s="1"/>
  <c r="CZ218" i="11" s="1"/>
  <c r="CY24" i="7"/>
  <c r="CY14" i="7"/>
  <c r="CW191" i="11"/>
  <c r="CW194" i="11" s="1"/>
  <c r="CW196" i="11" s="1"/>
  <c r="CV21" i="7"/>
  <c r="CV22" i="7"/>
  <c r="CU222" i="11"/>
  <c r="CU207" i="11"/>
  <c r="CX257" i="11"/>
  <c r="CW313" i="11"/>
  <c r="CW19" i="7"/>
  <c r="CW258" i="11"/>
  <c r="CU27" i="7"/>
  <c r="CW282" i="11"/>
  <c r="CX281" i="11"/>
  <c r="CX192" i="11" l="1"/>
  <c r="CX197" i="11"/>
  <c r="CW197" i="11"/>
  <c r="CY281" i="11"/>
  <c r="CX282" i="11"/>
  <c r="CZ55" i="7"/>
  <c r="CZ12" i="7" s="1"/>
  <c r="CZ184" i="11" s="1"/>
  <c r="CZ56" i="7"/>
  <c r="DA13" i="7" s="1"/>
  <c r="DA185" i="11" s="1"/>
  <c r="DA217" i="11" s="1"/>
  <c r="CZ24" i="7"/>
  <c r="CZ14" i="7"/>
  <c r="DA49" i="7"/>
  <c r="CX258" i="11"/>
  <c r="CY257" i="11"/>
  <c r="CX313" i="11"/>
  <c r="CX19" i="7"/>
  <c r="CY238" i="11"/>
  <c r="CY188" i="11"/>
  <c r="CY191" i="11" s="1"/>
  <c r="CY194" i="11" s="1"/>
  <c r="CY189" i="11"/>
  <c r="CY304" i="11"/>
  <c r="CX196" i="11"/>
  <c r="CX239" i="11"/>
  <c r="CX305" i="11"/>
  <c r="CV27" i="7"/>
  <c r="CW204" i="11"/>
  <c r="CW302" i="11"/>
  <c r="CW305" i="11"/>
  <c r="CW239" i="11"/>
  <c r="CV207" i="11"/>
  <c r="CV222" i="11"/>
  <c r="CW21" i="7"/>
  <c r="CW22" i="7"/>
  <c r="CY192" i="11" l="1"/>
  <c r="CY197" i="11"/>
  <c r="CY196" i="11"/>
  <c r="CY305" i="11"/>
  <c r="CY239" i="11"/>
  <c r="CW27" i="7"/>
  <c r="CV320" i="11"/>
  <c r="DA218" i="11"/>
  <c r="O142" i="2"/>
  <c r="CX22" i="7"/>
  <c r="CX21" i="7"/>
  <c r="CZ189" i="11"/>
  <c r="CZ188" i="11"/>
  <c r="CZ191" i="11" s="1"/>
  <c r="CZ194" i="11" s="1"/>
  <c r="CZ238" i="11"/>
  <c r="CZ304" i="11"/>
  <c r="DA56" i="7"/>
  <c r="DB13" i="7" s="1"/>
  <c r="DB185" i="11" s="1"/>
  <c r="DB217" i="11" s="1"/>
  <c r="DB218" i="11" s="1"/>
  <c r="DB49" i="7"/>
  <c r="DA55" i="7"/>
  <c r="DA12" i="7" s="1"/>
  <c r="DA184" i="11" s="1"/>
  <c r="DA24" i="7"/>
  <c r="DA14" i="7"/>
  <c r="CW222" i="11"/>
  <c r="CW207" i="11"/>
  <c r="CX302" i="11"/>
  <c r="CX204" i="11"/>
  <c r="CY258" i="11"/>
  <c r="CY313" i="11"/>
  <c r="CZ257" i="11"/>
  <c r="CY19" i="7"/>
  <c r="CZ281" i="11"/>
  <c r="CY282" i="11"/>
  <c r="CZ192" i="11" l="1"/>
  <c r="CZ197" i="11"/>
  <c r="CX27" i="7"/>
  <c r="CX222" i="11"/>
  <c r="CX207" i="11"/>
  <c r="CZ282" i="11"/>
  <c r="DA281" i="11"/>
  <c r="CW320" i="11"/>
  <c r="CY22" i="7"/>
  <c r="CY21" i="7"/>
  <c r="CZ196" i="11"/>
  <c r="CZ239" i="11"/>
  <c r="CZ305" i="11"/>
  <c r="CZ258" i="11"/>
  <c r="CZ313" i="11"/>
  <c r="DA257" i="11"/>
  <c r="CZ19" i="7"/>
  <c r="O142" i="28"/>
  <c r="O143" i="28" s="1"/>
  <c r="O143" i="2"/>
  <c r="DA238" i="11"/>
  <c r="DA188" i="11"/>
  <c r="DA304" i="11"/>
  <c r="DA189" i="11"/>
  <c r="DC49" i="7"/>
  <c r="DB56" i="7"/>
  <c r="DC13" i="7" s="1"/>
  <c r="DC185" i="11" s="1"/>
  <c r="DC217" i="11" s="1"/>
  <c r="DC218" i="11" s="1"/>
  <c r="DB24" i="7"/>
  <c r="DB14" i="7"/>
  <c r="DB55" i="7"/>
  <c r="DB12" i="7" s="1"/>
  <c r="DB184" i="11" s="1"/>
  <c r="CY302" i="11"/>
  <c r="CY204" i="11"/>
  <c r="DA192" i="11" l="1"/>
  <c r="CY27" i="7"/>
  <c r="DC24" i="7"/>
  <c r="DD49" i="7"/>
  <c r="DC55" i="7"/>
  <c r="DC12" i="7" s="1"/>
  <c r="DC184" i="11" s="1"/>
  <c r="DC14" i="7"/>
  <c r="DC56" i="7"/>
  <c r="DD13" i="7" s="1"/>
  <c r="DD185" i="11" s="1"/>
  <c r="DD217" i="11" s="1"/>
  <c r="DD218" i="11" s="1"/>
  <c r="DA313" i="11"/>
  <c r="O223" i="2" s="1"/>
  <c r="O223" i="28" s="1"/>
  <c r="DB257" i="11"/>
  <c r="DA19" i="7"/>
  <c r="DA258" i="11"/>
  <c r="CZ22" i="7"/>
  <c r="CZ21" i="7"/>
  <c r="O214" i="2"/>
  <c r="O214" i="28"/>
  <c r="O190" i="2"/>
  <c r="DB281" i="11"/>
  <c r="DA282" i="11"/>
  <c r="DB188" i="11"/>
  <c r="DB191" i="11" s="1"/>
  <c r="DB194" i="11" s="1"/>
  <c r="DB189" i="11"/>
  <c r="DB238" i="11"/>
  <c r="DB304" i="11"/>
  <c r="DA191" i="11"/>
  <c r="DA194" i="11" s="1"/>
  <c r="DA196" i="11" s="1"/>
  <c r="CX320" i="11"/>
  <c r="CY222" i="11"/>
  <c r="CY207" i="11"/>
  <c r="CZ204" i="11"/>
  <c r="CZ302" i="11"/>
  <c r="CZ27" i="7" l="1"/>
  <c r="DB192" i="11"/>
  <c r="DB197" i="11"/>
  <c r="DA197" i="11"/>
  <c r="DC257" i="11"/>
  <c r="DB258" i="11"/>
  <c r="DB313" i="11"/>
  <c r="DB19" i="7"/>
  <c r="DA22" i="7"/>
  <c r="DA21" i="7"/>
  <c r="DA204" i="11"/>
  <c r="DA302" i="11"/>
  <c r="O190" i="28"/>
  <c r="O191" i="2"/>
  <c r="CZ207" i="11"/>
  <c r="CZ222" i="11"/>
  <c r="CY320" i="11"/>
  <c r="DC238" i="11"/>
  <c r="DC188" i="11"/>
  <c r="DC191" i="11" s="1"/>
  <c r="DC194" i="11" s="1"/>
  <c r="DC304" i="11"/>
  <c r="DC189" i="11"/>
  <c r="DB282" i="11"/>
  <c r="DC281" i="11"/>
  <c r="DA239" i="11"/>
  <c r="DA305" i="11"/>
  <c r="DD24" i="7"/>
  <c r="DE49" i="7"/>
  <c r="DD55" i="7"/>
  <c r="DD12" i="7" s="1"/>
  <c r="DD184" i="11" s="1"/>
  <c r="DD56" i="7"/>
  <c r="DE13" i="7" s="1"/>
  <c r="DE185" i="11" s="1"/>
  <c r="DE217" i="11" s="1"/>
  <c r="DE218" i="11" s="1"/>
  <c r="DD14" i="7"/>
  <c r="DB196" i="11"/>
  <c r="DB239" i="11"/>
  <c r="DB305" i="11"/>
  <c r="DA27" i="7" l="1"/>
  <c r="DC192" i="11"/>
  <c r="DC197" i="11"/>
  <c r="DA207" i="11"/>
  <c r="DA222" i="11"/>
  <c r="DB204" i="11"/>
  <c r="DB302" i="11"/>
  <c r="DC196" i="11"/>
  <c r="DC239" i="11"/>
  <c r="DC305" i="11"/>
  <c r="CZ320" i="11"/>
  <c r="DC282" i="11"/>
  <c r="DD281" i="11"/>
  <c r="O215" i="28"/>
  <c r="O215" i="2"/>
  <c r="DB22" i="7"/>
  <c r="DB21" i="7"/>
  <c r="DD238" i="11"/>
  <c r="DD189" i="11"/>
  <c r="DD188" i="11"/>
  <c r="DD191" i="11" s="1"/>
  <c r="DD194" i="11" s="1"/>
  <c r="DD304" i="11"/>
  <c r="DF49" i="7"/>
  <c r="DE24" i="7"/>
  <c r="DE55" i="7"/>
  <c r="DE12" i="7" s="1"/>
  <c r="DE184" i="11" s="1"/>
  <c r="DE56" i="7"/>
  <c r="DF13" i="7" s="1"/>
  <c r="DF185" i="11" s="1"/>
  <c r="DF217" i="11" s="1"/>
  <c r="DF218" i="11" s="1"/>
  <c r="DE14" i="7"/>
  <c r="O191" i="28"/>
  <c r="DC258" i="11"/>
  <c r="DC313" i="11"/>
  <c r="DD257" i="11"/>
  <c r="DC19" i="7"/>
  <c r="DD192" i="11" l="1"/>
  <c r="DD197" i="11"/>
  <c r="DB27" i="7"/>
  <c r="DC302" i="11"/>
  <c r="DC204" i="11"/>
  <c r="DD313" i="11"/>
  <c r="DD19" i="7"/>
  <c r="DE257" i="11"/>
  <c r="DD258" i="11"/>
  <c r="DE281" i="11"/>
  <c r="DD282" i="11"/>
  <c r="DB222" i="11"/>
  <c r="DB207" i="11"/>
  <c r="DD196" i="11"/>
  <c r="DD239" i="11"/>
  <c r="DD305" i="11"/>
  <c r="DF14" i="7"/>
  <c r="DF24" i="7"/>
  <c r="DF56" i="7"/>
  <c r="DG13" i="7" s="1"/>
  <c r="DG185" i="11" s="1"/>
  <c r="DG217" i="11" s="1"/>
  <c r="DG218" i="11" s="1"/>
  <c r="DG49" i="7"/>
  <c r="DF55" i="7"/>
  <c r="DF12" i="7" s="1"/>
  <c r="DF184" i="11" s="1"/>
  <c r="DC21" i="7"/>
  <c r="DC22" i="7"/>
  <c r="DE188" i="11"/>
  <c r="DE191" i="11" s="1"/>
  <c r="DE194" i="11" s="1"/>
  <c r="DE189" i="11"/>
  <c r="DE304" i="11"/>
  <c r="DE238" i="11"/>
  <c r="DA320" i="11"/>
  <c r="DE192" i="11" l="1"/>
  <c r="DE197" i="11"/>
  <c r="DC27" i="7"/>
  <c r="DE196" i="11"/>
  <c r="DE305" i="11"/>
  <c r="DE239" i="11"/>
  <c r="DE313" i="11"/>
  <c r="DF257" i="11"/>
  <c r="DE258" i="11"/>
  <c r="DE19" i="7"/>
  <c r="O229" i="28"/>
  <c r="O229" i="2"/>
  <c r="DD21" i="7"/>
  <c r="DD22" i="7"/>
  <c r="DF189" i="11"/>
  <c r="DF238" i="11"/>
  <c r="DC320" i="11" s="1"/>
  <c r="DF304" i="11"/>
  <c r="DF188" i="11"/>
  <c r="DF191" i="11" s="1"/>
  <c r="DF194" i="11" s="1"/>
  <c r="DC207" i="11"/>
  <c r="DC222" i="11"/>
  <c r="DF281" i="11"/>
  <c r="DE282" i="11"/>
  <c r="DB320" i="11"/>
  <c r="DD302" i="11"/>
  <c r="DD204" i="11"/>
  <c r="DG55" i="7"/>
  <c r="DG12" i="7" s="1"/>
  <c r="DG184" i="11" s="1"/>
  <c r="DG14" i="7"/>
  <c r="DH49" i="7"/>
  <c r="DG24" i="7"/>
  <c r="DG56" i="7"/>
  <c r="DH13" i="7" s="1"/>
  <c r="DH185" i="11" s="1"/>
  <c r="DH217" i="11" s="1"/>
  <c r="DH218" i="11" s="1"/>
  <c r="DF192" i="11" l="1"/>
  <c r="DF197" i="11"/>
  <c r="DD27" i="7"/>
  <c r="DD207" i="11"/>
  <c r="DD222" i="11"/>
  <c r="DE21" i="7"/>
  <c r="DE22" i="7"/>
  <c r="DF19" i="7"/>
  <c r="DF258" i="11"/>
  <c r="DF313" i="11"/>
  <c r="DG257" i="11"/>
  <c r="DH14" i="7"/>
  <c r="DH56" i="7"/>
  <c r="DI13" i="7" s="1"/>
  <c r="DI185" i="11" s="1"/>
  <c r="DI217" i="11" s="1"/>
  <c r="DI218" i="11" s="1"/>
  <c r="DI49" i="7"/>
  <c r="DH24" i="7"/>
  <c r="DH55" i="7"/>
  <c r="DH12" i="7" s="1"/>
  <c r="DH184" i="11" s="1"/>
  <c r="DF282" i="11"/>
  <c r="DG281" i="11"/>
  <c r="DG238" i="11"/>
  <c r="DG304" i="11"/>
  <c r="DG189" i="11"/>
  <c r="DG188" i="11"/>
  <c r="DG191" i="11" s="1"/>
  <c r="DG194" i="11" s="1"/>
  <c r="DF196" i="11"/>
  <c r="DF305" i="11"/>
  <c r="DF239" i="11"/>
  <c r="DE204" i="11"/>
  <c r="DE302" i="11"/>
  <c r="DG192" i="11" l="1"/>
  <c r="DG197" i="11"/>
  <c r="DH238" i="11"/>
  <c r="DH189" i="11"/>
  <c r="DH188" i="11"/>
  <c r="DH304" i="11"/>
  <c r="DF21" i="7"/>
  <c r="DF22" i="7"/>
  <c r="DI14" i="7"/>
  <c r="DI56" i="7"/>
  <c r="DJ13" i="7" s="1"/>
  <c r="DJ185" i="11" s="1"/>
  <c r="DJ217" i="11" s="1"/>
  <c r="DJ218" i="11" s="1"/>
  <c r="DJ49" i="7"/>
  <c r="DI55" i="7"/>
  <c r="DI12" i="7" s="1"/>
  <c r="DI184" i="11" s="1"/>
  <c r="DI24" i="7"/>
  <c r="DE27" i="7"/>
  <c r="DG196" i="11"/>
  <c r="DG305" i="11"/>
  <c r="DG239" i="11"/>
  <c r="DE222" i="11"/>
  <c r="DE207" i="11"/>
  <c r="DH281" i="11"/>
  <c r="DG282" i="11"/>
  <c r="DF302" i="11"/>
  <c r="DF204" i="11"/>
  <c r="DD320" i="11"/>
  <c r="DG19" i="7"/>
  <c r="DG258" i="11"/>
  <c r="DG313" i="11"/>
  <c r="DH257" i="11"/>
  <c r="DH192" i="11" l="1"/>
  <c r="DF27" i="7"/>
  <c r="DI257" i="11"/>
  <c r="DH19" i="7"/>
  <c r="DH258" i="11"/>
  <c r="DH313" i="11"/>
  <c r="DI238" i="11"/>
  <c r="DF320" i="11" s="1"/>
  <c r="DI304" i="11"/>
  <c r="DI188" i="11"/>
  <c r="DI191" i="11" s="1"/>
  <c r="DI194" i="11" s="1"/>
  <c r="DI189" i="11"/>
  <c r="DH191" i="11"/>
  <c r="DH194" i="11" s="1"/>
  <c r="DH196" i="11" s="1"/>
  <c r="DI281" i="11"/>
  <c r="DH282" i="11"/>
  <c r="DG22" i="7"/>
  <c r="DG21" i="7"/>
  <c r="DG27" i="7" s="1"/>
  <c r="DJ56" i="7"/>
  <c r="DK13" i="7" s="1"/>
  <c r="DK185" i="11" s="1"/>
  <c r="DK217" i="11" s="1"/>
  <c r="DK218" i="11" s="1"/>
  <c r="DJ55" i="7"/>
  <c r="DJ12" i="7" s="1"/>
  <c r="DJ184" i="11" s="1"/>
  <c r="DJ14" i="7"/>
  <c r="DK49" i="7"/>
  <c r="DJ24" i="7"/>
  <c r="DF207" i="11"/>
  <c r="DF222" i="11"/>
  <c r="DG204" i="11"/>
  <c r="DG302" i="11"/>
  <c r="DE320" i="11"/>
  <c r="DI192" i="11" l="1"/>
  <c r="DI197" i="11"/>
  <c r="DH197" i="11"/>
  <c r="DH204" i="11"/>
  <c r="DH302" i="11"/>
  <c r="DI196" i="11"/>
  <c r="DI305" i="11"/>
  <c r="DI239" i="11"/>
  <c r="DI282" i="11"/>
  <c r="DJ281" i="11"/>
  <c r="DK55" i="7"/>
  <c r="DK12" i="7" s="1"/>
  <c r="DK184" i="11" s="1"/>
  <c r="DL49" i="7"/>
  <c r="DK14" i="7"/>
  <c r="DK24" i="7"/>
  <c r="DK56" i="7"/>
  <c r="DL13" i="7" s="1"/>
  <c r="DL185" i="11" s="1"/>
  <c r="DL217" i="11" s="1"/>
  <c r="DL218" i="11" s="1"/>
  <c r="DH305" i="11"/>
  <c r="DH239" i="11"/>
  <c r="DH22" i="7"/>
  <c r="DH21" i="7"/>
  <c r="DJ188" i="11"/>
  <c r="DJ191" i="11" s="1"/>
  <c r="DJ194" i="11" s="1"/>
  <c r="DJ304" i="11"/>
  <c r="DJ238" i="11"/>
  <c r="DJ189" i="11"/>
  <c r="DI258" i="11"/>
  <c r="DI19" i="7"/>
  <c r="DI313" i="11"/>
  <c r="DJ257" i="11"/>
  <c r="DG222" i="11"/>
  <c r="DG207" i="11"/>
  <c r="DJ192" i="11" l="1"/>
  <c r="DJ197" i="11"/>
  <c r="DK238" i="11"/>
  <c r="DK304" i="11"/>
  <c r="DK189" i="11"/>
  <c r="DK188" i="11"/>
  <c r="DK191" i="11" s="1"/>
  <c r="DK194" i="11" s="1"/>
  <c r="DK281" i="11"/>
  <c r="DJ282" i="11"/>
  <c r="DJ258" i="11"/>
  <c r="DK257" i="11"/>
  <c r="DJ19" i="7"/>
  <c r="DJ313" i="11"/>
  <c r="DJ196" i="11"/>
  <c r="DJ305" i="11"/>
  <c r="DJ239" i="11"/>
  <c r="DI204" i="11"/>
  <c r="DI302" i="11"/>
  <c r="DI21" i="7"/>
  <c r="DI22" i="7"/>
  <c r="DG320" i="11"/>
  <c r="DH27" i="7"/>
  <c r="DL55" i="7"/>
  <c r="DL12" i="7" s="1"/>
  <c r="DL184" i="11" s="1"/>
  <c r="DL14" i="7"/>
  <c r="DL24" i="7"/>
  <c r="DL56" i="7"/>
  <c r="DM13" i="7" s="1"/>
  <c r="DM185" i="11" s="1"/>
  <c r="DM217" i="11" s="1"/>
  <c r="DM218" i="11" s="1"/>
  <c r="DM49" i="7"/>
  <c r="DH207" i="11"/>
  <c r="DH222" i="11"/>
  <c r="DK192" i="11" l="1"/>
  <c r="DK197" i="11"/>
  <c r="DK196" i="11"/>
  <c r="DK305" i="11"/>
  <c r="DK239" i="11"/>
  <c r="DJ21" i="7"/>
  <c r="DJ22" i="7"/>
  <c r="DI207" i="11"/>
  <c r="DI222" i="11"/>
  <c r="DK282" i="11"/>
  <c r="DL281" i="11"/>
  <c r="DM56" i="7"/>
  <c r="DN13" i="7" s="1"/>
  <c r="DN185" i="11" s="1"/>
  <c r="DN217" i="11" s="1"/>
  <c r="DN218" i="11" s="1"/>
  <c r="DM55" i="7"/>
  <c r="DM12" i="7" s="1"/>
  <c r="DM184" i="11" s="1"/>
  <c r="DM24" i="7"/>
  <c r="DM14" i="7"/>
  <c r="DN49" i="7"/>
  <c r="DI27" i="7"/>
  <c r="DK258" i="11"/>
  <c r="DK313" i="11"/>
  <c r="DK19" i="7"/>
  <c r="DL257" i="11"/>
  <c r="DH320" i="11"/>
  <c r="DL188" i="11"/>
  <c r="DL191" i="11" s="1"/>
  <c r="DL194" i="11" s="1"/>
  <c r="DL189" i="11"/>
  <c r="DL304" i="11"/>
  <c r="DL238" i="11"/>
  <c r="DJ204" i="11"/>
  <c r="DJ302" i="11"/>
  <c r="DI320" i="11"/>
  <c r="DL192" i="11" l="1"/>
  <c r="DL197" i="11"/>
  <c r="DL196" i="11"/>
  <c r="DL305" i="11"/>
  <c r="DL239" i="11"/>
  <c r="DJ27" i="7"/>
  <c r="DJ222" i="11"/>
  <c r="DJ207" i="11"/>
  <c r="DM257" i="11"/>
  <c r="DL19" i="7"/>
  <c r="DL258" i="11"/>
  <c r="DL313" i="11"/>
  <c r="DM188" i="11"/>
  <c r="DM191" i="11" s="1"/>
  <c r="DM194" i="11" s="1"/>
  <c r="DM304" i="11"/>
  <c r="DM189" i="11"/>
  <c r="DM238" i="11"/>
  <c r="DK22" i="7"/>
  <c r="DK21" i="7"/>
  <c r="DL282" i="11"/>
  <c r="DM281" i="11"/>
  <c r="DN56" i="7"/>
  <c r="DO13" i="7" s="1"/>
  <c r="DO185" i="11" s="1"/>
  <c r="DO217" i="11" s="1"/>
  <c r="DO218" i="11" s="1"/>
  <c r="DO49" i="7"/>
  <c r="DN24" i="7"/>
  <c r="DN55" i="7"/>
  <c r="DN12" i="7" s="1"/>
  <c r="DN184" i="11" s="1"/>
  <c r="DN14" i="7"/>
  <c r="DK204" i="11"/>
  <c r="DK302" i="11"/>
  <c r="DM192" i="11" l="1"/>
  <c r="DM197" i="11"/>
  <c r="DK27" i="7"/>
  <c r="P190" i="2"/>
  <c r="DM282" i="11"/>
  <c r="DN281" i="11"/>
  <c r="P214" i="2"/>
  <c r="P214" i="28"/>
  <c r="DM258" i="11"/>
  <c r="DM19" i="7"/>
  <c r="DM313" i="11"/>
  <c r="P223" i="2" s="1"/>
  <c r="P223" i="28" s="1"/>
  <c r="DN257" i="11"/>
  <c r="DK207" i="11"/>
  <c r="DK222" i="11"/>
  <c r="DM196" i="11"/>
  <c r="DM239" i="11"/>
  <c r="DM305" i="11"/>
  <c r="DL22" i="7"/>
  <c r="DL21" i="7"/>
  <c r="DP49" i="7"/>
  <c r="DO24" i="7"/>
  <c r="DO56" i="7"/>
  <c r="DP13" i="7" s="1"/>
  <c r="DP185" i="11" s="1"/>
  <c r="DP217" i="11" s="1"/>
  <c r="DP218" i="11" s="1"/>
  <c r="DO55" i="7"/>
  <c r="DO12" i="7" s="1"/>
  <c r="DO184" i="11" s="1"/>
  <c r="DO14" i="7"/>
  <c r="DJ320" i="11"/>
  <c r="DN304" i="11"/>
  <c r="DN188" i="11"/>
  <c r="DN189" i="11"/>
  <c r="DN238" i="11"/>
  <c r="DL204" i="11"/>
  <c r="DL302" i="11"/>
  <c r="DN192" i="11" l="1"/>
  <c r="DL207" i="11"/>
  <c r="DL222" i="11"/>
  <c r="DM21" i="7"/>
  <c r="DM22" i="7"/>
  <c r="DN282" i="11"/>
  <c r="DO281" i="11"/>
  <c r="DM302" i="11"/>
  <c r="DM204" i="11"/>
  <c r="DO188" i="11"/>
  <c r="DO191" i="11" s="1"/>
  <c r="DO194" i="11" s="1"/>
  <c r="DO304" i="11"/>
  <c r="DO189" i="11"/>
  <c r="DO238" i="11"/>
  <c r="DN191" i="11"/>
  <c r="DN194" i="11" s="1"/>
  <c r="DN196" i="11" s="1"/>
  <c r="DP55" i="7"/>
  <c r="DP12" i="7" s="1"/>
  <c r="DP184" i="11" s="1"/>
  <c r="DQ49" i="7"/>
  <c r="DP56" i="7"/>
  <c r="DQ13" i="7" s="1"/>
  <c r="DQ185" i="11" s="1"/>
  <c r="DQ217" i="11" s="1"/>
  <c r="DQ218" i="11" s="1"/>
  <c r="DP14" i="7"/>
  <c r="DP24" i="7"/>
  <c r="DN19" i="7"/>
  <c r="DO257" i="11"/>
  <c r="DN313" i="11"/>
  <c r="DN258" i="11"/>
  <c r="P191" i="2"/>
  <c r="P190" i="28"/>
  <c r="P215" i="2"/>
  <c r="P215" i="28"/>
  <c r="DL27" i="7"/>
  <c r="DK320" i="11"/>
  <c r="DO192" i="11" l="1"/>
  <c r="DO197" i="11"/>
  <c r="DN197" i="11"/>
  <c r="DN204" i="11"/>
  <c r="DN302" i="11"/>
  <c r="DP281" i="11"/>
  <c r="DO282" i="11"/>
  <c r="DL320" i="11"/>
  <c r="DO313" i="11"/>
  <c r="DO258" i="11"/>
  <c r="DP257" i="11"/>
  <c r="DO19" i="7"/>
  <c r="DN21" i="7"/>
  <c r="DN22" i="7"/>
  <c r="P191" i="28"/>
  <c r="DM27" i="7"/>
  <c r="DN239" i="11"/>
  <c r="DN305" i="11"/>
  <c r="DQ55" i="7"/>
  <c r="DQ12" i="7" s="1"/>
  <c r="DQ184" i="11" s="1"/>
  <c r="DQ14" i="7"/>
  <c r="DR49" i="7"/>
  <c r="DQ24" i="7"/>
  <c r="DQ56" i="7"/>
  <c r="DR13" i="7" s="1"/>
  <c r="DR185" i="11" s="1"/>
  <c r="DR217" i="11" s="1"/>
  <c r="DR218" i="11" s="1"/>
  <c r="DO196" i="11"/>
  <c r="DO305" i="11"/>
  <c r="DO239" i="11"/>
  <c r="DP188" i="11"/>
  <c r="DP191" i="11" s="1"/>
  <c r="DP194" i="11" s="1"/>
  <c r="DP238" i="11"/>
  <c r="DM320" i="11" s="1"/>
  <c r="DP304" i="11"/>
  <c r="DP189" i="11"/>
  <c r="DM222" i="11"/>
  <c r="DM207" i="11"/>
  <c r="DP192" i="11" l="1"/>
  <c r="DP197" i="11"/>
  <c r="DR14" i="7"/>
  <c r="DS49" i="7"/>
  <c r="DR55" i="7"/>
  <c r="DR12" i="7" s="1"/>
  <c r="DR184" i="11" s="1"/>
  <c r="DR24" i="7"/>
  <c r="DR56" i="7"/>
  <c r="DS13" i="7" s="1"/>
  <c r="DS185" i="11" s="1"/>
  <c r="DS217" i="11" s="1"/>
  <c r="DS218" i="11" s="1"/>
  <c r="DP196" i="11"/>
  <c r="DP239" i="11"/>
  <c r="DP305" i="11"/>
  <c r="DQ188" i="11"/>
  <c r="DQ189" i="11"/>
  <c r="DQ238" i="11"/>
  <c r="DN320" i="11" s="1"/>
  <c r="DQ304" i="11"/>
  <c r="DN27" i="7"/>
  <c r="P229" i="2"/>
  <c r="P229" i="28"/>
  <c r="DO21" i="7"/>
  <c r="DO22" i="7"/>
  <c r="DP282" i="11"/>
  <c r="DQ281" i="11"/>
  <c r="DP19" i="7"/>
  <c r="DQ257" i="11"/>
  <c r="DP313" i="11"/>
  <c r="DP258" i="11"/>
  <c r="DO204" i="11"/>
  <c r="DO302" i="11"/>
  <c r="DN222" i="11"/>
  <c r="DN207" i="11"/>
  <c r="DQ192" i="11" l="1"/>
  <c r="DR281" i="11"/>
  <c r="DQ282" i="11"/>
  <c r="DQ19" i="7"/>
  <c r="DQ258" i="11"/>
  <c r="DQ313" i="11"/>
  <c r="DR257" i="11"/>
  <c r="DP21" i="7"/>
  <c r="DP22" i="7"/>
  <c r="DP302" i="11"/>
  <c r="DP204" i="11"/>
  <c r="DO207" i="11"/>
  <c r="DO222" i="11"/>
  <c r="DO27" i="7"/>
  <c r="DQ191" i="11"/>
  <c r="DQ194" i="11" s="1"/>
  <c r="DQ197" i="11" s="1"/>
  <c r="DR188" i="11"/>
  <c r="DR304" i="11"/>
  <c r="DR189" i="11"/>
  <c r="DR238" i="11"/>
  <c r="DT49" i="7"/>
  <c r="DS24" i="7"/>
  <c r="DS56" i="7"/>
  <c r="DT13" i="7" s="1"/>
  <c r="DT185" i="11" s="1"/>
  <c r="DT217" i="11" s="1"/>
  <c r="DT218" i="11" s="1"/>
  <c r="DS55" i="7"/>
  <c r="DS12" i="7" s="1"/>
  <c r="DS184" i="11" s="1"/>
  <c r="DS14" i="7"/>
  <c r="DR192" i="11" l="1"/>
  <c r="DQ305" i="11"/>
  <c r="DQ239" i="11"/>
  <c r="DQ22" i="7"/>
  <c r="DQ21" i="7"/>
  <c r="DP207" i="11"/>
  <c r="DP222" i="11"/>
  <c r="DT55" i="7"/>
  <c r="DT12" i="7" s="1"/>
  <c r="DT184" i="11" s="1"/>
  <c r="DT14" i="7"/>
  <c r="DU49" i="7"/>
  <c r="DT56" i="7"/>
  <c r="DU13" i="7" s="1"/>
  <c r="DU185" i="11" s="1"/>
  <c r="DU217" i="11" s="1"/>
  <c r="DU218" i="11" s="1"/>
  <c r="DT24" i="7"/>
  <c r="DR258" i="11"/>
  <c r="DS257" i="11"/>
  <c r="DR313" i="11"/>
  <c r="DR19" i="7"/>
  <c r="DS304" i="11"/>
  <c r="DS238" i="11"/>
  <c r="DS189" i="11"/>
  <c r="DS188" i="11"/>
  <c r="DS191" i="11" s="1"/>
  <c r="DS194" i="11" s="1"/>
  <c r="DR191" i="11"/>
  <c r="DR194" i="11" s="1"/>
  <c r="DR197" i="11" s="1"/>
  <c r="DS281" i="11"/>
  <c r="DR282" i="11"/>
  <c r="DQ196" i="11"/>
  <c r="DP27" i="7"/>
  <c r="DO320" i="11"/>
  <c r="DS192" i="11" l="1"/>
  <c r="DS197" i="11"/>
  <c r="DQ27" i="7"/>
  <c r="DS258" i="11"/>
  <c r="DS313" i="11"/>
  <c r="DS19" i="7"/>
  <c r="DT257" i="11"/>
  <c r="DU55" i="7"/>
  <c r="DU12" i="7" s="1"/>
  <c r="DU184" i="11" s="1"/>
  <c r="DU56" i="7"/>
  <c r="DV13" i="7" s="1"/>
  <c r="DV185" i="11" s="1"/>
  <c r="DV217" i="11" s="1"/>
  <c r="DV218" i="11" s="1"/>
  <c r="DU14" i="7"/>
  <c r="DU24" i="7"/>
  <c r="DV49" i="7"/>
  <c r="DR305" i="11"/>
  <c r="DR239" i="11"/>
  <c r="DR21" i="7"/>
  <c r="DR22" i="7"/>
  <c r="DT189" i="11"/>
  <c r="DT304" i="11"/>
  <c r="DT188" i="11"/>
  <c r="DT238" i="11"/>
  <c r="DS196" i="11"/>
  <c r="DS305" i="11"/>
  <c r="DS239" i="11"/>
  <c r="DQ204" i="11"/>
  <c r="DQ302" i="11"/>
  <c r="DS282" i="11"/>
  <c r="DT281" i="11"/>
  <c r="DR196" i="11"/>
  <c r="DP320" i="11"/>
  <c r="K107" i="2"/>
  <c r="K107" i="28" s="1"/>
  <c r="L107" i="2"/>
  <c r="L107" i="28" s="1"/>
  <c r="M107" i="2"/>
  <c r="M107" i="28" s="1"/>
  <c r="N107" i="2"/>
  <c r="N107" i="28" s="1"/>
  <c r="O107" i="2"/>
  <c r="O107" i="28" s="1"/>
  <c r="P107" i="2"/>
  <c r="P107" i="28" s="1"/>
  <c r="DT192" i="11" l="1"/>
  <c r="DS204" i="11"/>
  <c r="DS302" i="11"/>
  <c r="DU304" i="11"/>
  <c r="DU188" i="11"/>
  <c r="DU238" i="11"/>
  <c r="DR320" i="11" s="1"/>
  <c r="DU189" i="11"/>
  <c r="DR302" i="11"/>
  <c r="DR204" i="11"/>
  <c r="DT282" i="11"/>
  <c r="DU281" i="11"/>
  <c r="DT258" i="11"/>
  <c r="DT19" i="7"/>
  <c r="DU257" i="11"/>
  <c r="DT313" i="11"/>
  <c r="DT191" i="11"/>
  <c r="DT194" i="11" s="1"/>
  <c r="DT196" i="11" s="1"/>
  <c r="DQ320" i="11"/>
  <c r="DS22" i="7"/>
  <c r="DS21" i="7"/>
  <c r="DR27" i="7"/>
  <c r="DV14" i="7"/>
  <c r="DV24" i="7"/>
  <c r="DV56" i="7"/>
  <c r="DW13" i="7" s="1"/>
  <c r="DW185" i="11" s="1"/>
  <c r="DW49" i="7"/>
  <c r="DV55" i="7"/>
  <c r="DV12" i="7" s="1"/>
  <c r="DV184" i="11" s="1"/>
  <c r="DQ207" i="11"/>
  <c r="DQ222" i="11"/>
  <c r="K142" i="2"/>
  <c r="L142" i="2"/>
  <c r="M142" i="2"/>
  <c r="N142" i="2"/>
  <c r="P142" i="2"/>
  <c r="J106" i="2"/>
  <c r="J110" i="2" s="1"/>
  <c r="K106" i="2"/>
  <c r="L106" i="2"/>
  <c r="M106" i="2"/>
  <c r="N106" i="2"/>
  <c r="O106" i="2"/>
  <c r="P106" i="2"/>
  <c r="DU192" i="11" l="1"/>
  <c r="DT197" i="11"/>
  <c r="DT302" i="11"/>
  <c r="DT204" i="11"/>
  <c r="DS27" i="7"/>
  <c r="DU191" i="11"/>
  <c r="DU194" i="11" s="1"/>
  <c r="DU196" i="11" s="1"/>
  <c r="DT21" i="7"/>
  <c r="DT22" i="7"/>
  <c r="DV238" i="11"/>
  <c r="DV189" i="11"/>
  <c r="DV188" i="11"/>
  <c r="DV304" i="11"/>
  <c r="DV281" i="11"/>
  <c r="DU282" i="11"/>
  <c r="DU258" i="11"/>
  <c r="DU19" i="7"/>
  <c r="DU313" i="11"/>
  <c r="DV257" i="11"/>
  <c r="DW14" i="7"/>
  <c r="DW24" i="7"/>
  <c r="DW55" i="7"/>
  <c r="DW12" i="7" s="1"/>
  <c r="DW184" i="11" s="1"/>
  <c r="DX49" i="7"/>
  <c r="DW56" i="7"/>
  <c r="DX13" i="7" s="1"/>
  <c r="DX185" i="11" s="1"/>
  <c r="DX217" i="11" s="1"/>
  <c r="DX218" i="11" s="1"/>
  <c r="DW217" i="11"/>
  <c r="DT305" i="11"/>
  <c r="DT239" i="11"/>
  <c r="DR207" i="11"/>
  <c r="DR222" i="11"/>
  <c r="DS222" i="11"/>
  <c r="DS207" i="11"/>
  <c r="M110" i="2"/>
  <c r="M106" i="28"/>
  <c r="M111" i="2"/>
  <c r="N142" i="28"/>
  <c r="N143" i="28" s="1"/>
  <c r="N143" i="2"/>
  <c r="M142" i="28"/>
  <c r="M143" i="28" s="1"/>
  <c r="M143" i="2"/>
  <c r="K111" i="2"/>
  <c r="K110" i="2"/>
  <c r="K106" i="28"/>
  <c r="L142" i="28"/>
  <c r="L143" i="28" s="1"/>
  <c r="L143" i="2"/>
  <c r="J111" i="2"/>
  <c r="J106" i="28"/>
  <c r="J149" i="2"/>
  <c r="K142" i="28"/>
  <c r="K143" i="28" s="1"/>
  <c r="K143" i="2"/>
  <c r="L110" i="2"/>
  <c r="L111" i="2"/>
  <c r="L106" i="28"/>
  <c r="P110" i="2"/>
  <c r="P106" i="28"/>
  <c r="P111" i="2"/>
  <c r="O111" i="2"/>
  <c r="O110" i="2"/>
  <c r="O106" i="28"/>
  <c r="N110" i="2"/>
  <c r="N106" i="28"/>
  <c r="N111" i="2"/>
  <c r="J165" i="2"/>
  <c r="K165" i="2"/>
  <c r="L165" i="2"/>
  <c r="M165" i="2"/>
  <c r="N165" i="2"/>
  <c r="O165" i="2"/>
  <c r="P165" i="2"/>
  <c r="P142" i="28"/>
  <c r="P143" i="28" s="1"/>
  <c r="P143" i="2"/>
  <c r="DV192" i="11" l="1"/>
  <c r="DU197" i="11"/>
  <c r="DU204" i="11"/>
  <c r="DU302" i="11"/>
  <c r="DX55" i="7"/>
  <c r="DX12" i="7" s="1"/>
  <c r="DX184" i="11" s="1"/>
  <c r="DY49" i="7"/>
  <c r="DX24" i="7"/>
  <c r="DX14" i="7"/>
  <c r="DX56" i="7"/>
  <c r="DY13" i="7" s="1"/>
  <c r="DY185" i="11" s="1"/>
  <c r="DY217" i="11" s="1"/>
  <c r="DY218" i="11" s="1"/>
  <c r="DT27" i="7"/>
  <c r="DW238" i="11"/>
  <c r="DW188" i="11"/>
  <c r="DW191" i="11" s="1"/>
  <c r="DW194" i="11" s="1"/>
  <c r="DW304" i="11"/>
  <c r="DW189" i="11"/>
  <c r="DW281" i="11"/>
  <c r="DV282" i="11"/>
  <c r="DW218" i="11"/>
  <c r="DU22" i="7"/>
  <c r="DU21" i="7"/>
  <c r="DU305" i="11"/>
  <c r="DU239" i="11"/>
  <c r="DS320" i="11"/>
  <c r="DV258" i="11"/>
  <c r="DW257" i="11"/>
  <c r="DV19" i="7"/>
  <c r="DV313" i="11"/>
  <c r="DV191" i="11"/>
  <c r="DV194" i="11" s="1"/>
  <c r="DV196" i="11" s="1"/>
  <c r="DT207" i="11"/>
  <c r="DT222" i="11"/>
  <c r="Q107" i="2"/>
  <c r="Q107" i="28" s="1"/>
  <c r="J113" i="2"/>
  <c r="J113" i="28" s="1"/>
  <c r="K165" i="28"/>
  <c r="N165" i="28"/>
  <c r="L111" i="28"/>
  <c r="L110" i="28"/>
  <c r="O165" i="28"/>
  <c r="M165" i="28"/>
  <c r="J110" i="28"/>
  <c r="J111" i="28"/>
  <c r="J149" i="28"/>
  <c r="M110" i="28"/>
  <c r="M111" i="28"/>
  <c r="J165" i="28"/>
  <c r="N111" i="28"/>
  <c r="N110" i="28"/>
  <c r="L165" i="28"/>
  <c r="O110" i="28"/>
  <c r="O111" i="28"/>
  <c r="K110" i="28"/>
  <c r="K111" i="28"/>
  <c r="P165" i="28"/>
  <c r="P110" i="28"/>
  <c r="P111" i="28"/>
  <c r="K113" i="2"/>
  <c r="K113" i="28" s="1"/>
  <c r="L113" i="2"/>
  <c r="L113" i="28" s="1"/>
  <c r="M113" i="2"/>
  <c r="M113" i="28" s="1"/>
  <c r="N113" i="2"/>
  <c r="N113" i="28" s="1"/>
  <c r="O113" i="2"/>
  <c r="O113" i="28" s="1"/>
  <c r="P113" i="2"/>
  <c r="P113" i="28" s="1"/>
  <c r="DW192" i="11" l="1"/>
  <c r="DW197" i="11"/>
  <c r="DV197" i="11"/>
  <c r="DU27" i="7"/>
  <c r="DV204" i="11"/>
  <c r="DV302" i="11"/>
  <c r="DW282" i="11"/>
  <c r="DX281" i="11"/>
  <c r="DY55" i="7"/>
  <c r="DY12" i="7" s="1"/>
  <c r="DY184" i="11" s="1"/>
  <c r="DY14" i="7"/>
  <c r="DY24" i="7"/>
  <c r="DY56" i="7"/>
  <c r="DV239" i="11"/>
  <c r="DV305" i="11"/>
  <c r="DX189" i="11"/>
  <c r="DX188" i="11"/>
  <c r="DX304" i="11"/>
  <c r="DX238" i="11"/>
  <c r="DU320" i="11" s="1"/>
  <c r="Q142" i="2"/>
  <c r="DW196" i="11"/>
  <c r="DW305" i="11"/>
  <c r="DW239" i="11"/>
  <c r="DW19" i="7"/>
  <c r="DX257" i="11"/>
  <c r="DW313" i="11"/>
  <c r="DW258" i="11"/>
  <c r="DV21" i="7"/>
  <c r="DV22" i="7"/>
  <c r="DT320" i="11"/>
  <c r="DU222" i="11"/>
  <c r="DU207" i="11"/>
  <c r="J115" i="28"/>
  <c r="J117" i="28" s="1"/>
  <c r="J116" i="2"/>
  <c r="J116" i="28"/>
  <c r="J115" i="2"/>
  <c r="K115" i="2"/>
  <c r="K117" i="2" s="1"/>
  <c r="P116" i="2"/>
  <c r="P118" i="2" s="1"/>
  <c r="M116" i="28"/>
  <c r="L115" i="28"/>
  <c r="L117" i="28" s="1"/>
  <c r="O116" i="28"/>
  <c r="M115" i="2"/>
  <c r="M117" i="2" s="1"/>
  <c r="N68" i="14"/>
  <c r="O68" i="14"/>
  <c r="J68" i="14"/>
  <c r="M68" i="14"/>
  <c r="T68" i="14"/>
  <c r="L68" i="14"/>
  <c r="K68" i="14"/>
  <c r="R68" i="14"/>
  <c r="P68" i="14"/>
  <c r="Q68" i="14"/>
  <c r="S68" i="14"/>
  <c r="U68" i="14"/>
  <c r="K116" i="2"/>
  <c r="K118" i="2" s="1"/>
  <c r="N115" i="28"/>
  <c r="N117" i="28" s="1"/>
  <c r="M115" i="28"/>
  <c r="M116" i="2"/>
  <c r="M118" i="2" s="1"/>
  <c r="L116" i="28"/>
  <c r="K116" i="28"/>
  <c r="O115" i="28"/>
  <c r="O117" i="28" s="1"/>
  <c r="N116" i="28"/>
  <c r="P115" i="2"/>
  <c r="P117" i="2" s="1"/>
  <c r="P116" i="28"/>
  <c r="O116" i="2"/>
  <c r="O118" i="2" s="1"/>
  <c r="N116" i="2"/>
  <c r="N118" i="2" s="1"/>
  <c r="P115" i="28"/>
  <c r="P117" i="28" s="1"/>
  <c r="K115" i="28"/>
  <c r="K117" i="28" s="1"/>
  <c r="J166" i="2"/>
  <c r="K166" i="2"/>
  <c r="L166" i="2"/>
  <c r="M166" i="2"/>
  <c r="N166" i="2"/>
  <c r="O166" i="2"/>
  <c r="P166" i="2"/>
  <c r="O115" i="2"/>
  <c r="O117" i="2" s="1"/>
  <c r="L115" i="2"/>
  <c r="L117" i="2" s="1"/>
  <c r="L116" i="2"/>
  <c r="L118" i="2" s="1"/>
  <c r="N115" i="2"/>
  <c r="N117" i="2" s="1"/>
  <c r="K129" i="2"/>
  <c r="L129" i="2"/>
  <c r="M129" i="2"/>
  <c r="N129" i="2"/>
  <c r="O129" i="2"/>
  <c r="P129" i="2"/>
  <c r="M117" i="28" l="1"/>
  <c r="C11" i="19"/>
  <c r="DX192" i="11"/>
  <c r="DV27" i="7"/>
  <c r="DW22" i="7"/>
  <c r="DW21" i="7"/>
  <c r="DX191" i="11"/>
  <c r="DX194" i="11" s="1"/>
  <c r="DX196" i="11" s="1"/>
  <c r="DY188" i="11"/>
  <c r="DY238" i="11"/>
  <c r="DV320" i="11" s="1"/>
  <c r="DW320" i="11" s="1"/>
  <c r="DX320" i="11" s="1"/>
  <c r="DY320" i="11" s="1"/>
  <c r="DY304" i="11"/>
  <c r="DY189" i="11"/>
  <c r="Q106" i="2"/>
  <c r="DY281" i="11"/>
  <c r="DX282" i="11"/>
  <c r="DX258" i="11"/>
  <c r="DX313" i="11"/>
  <c r="DX19" i="7"/>
  <c r="DY257" i="11"/>
  <c r="DW204" i="11"/>
  <c r="DW302" i="11"/>
  <c r="Q142" i="28"/>
  <c r="Q143" i="28" s="1"/>
  <c r="Q143" i="2"/>
  <c r="DV207" i="11"/>
  <c r="DV222" i="11"/>
  <c r="P118" i="28"/>
  <c r="M118" i="28"/>
  <c r="N118" i="28"/>
  <c r="O118" i="28"/>
  <c r="J118" i="28"/>
  <c r="K118" i="28"/>
  <c r="L118" i="28"/>
  <c r="J212" i="28"/>
  <c r="J121" i="28"/>
  <c r="J122" i="28"/>
  <c r="J117" i="2"/>
  <c r="J212" i="2"/>
  <c r="J122" i="2"/>
  <c r="J118" i="2"/>
  <c r="J123" i="2"/>
  <c r="O129" i="28"/>
  <c r="O132" i="28" s="1"/>
  <c r="O132" i="2"/>
  <c r="K129" i="28"/>
  <c r="K132" i="28" s="1"/>
  <c r="K132" i="2"/>
  <c r="O166" i="28"/>
  <c r="K212" i="28"/>
  <c r="O212" i="28"/>
  <c r="L212" i="28"/>
  <c r="N129" i="28"/>
  <c r="N132" i="28" s="1"/>
  <c r="N132" i="2"/>
  <c r="L212" i="2"/>
  <c r="L122" i="2"/>
  <c r="L121" i="28"/>
  <c r="N166" i="28"/>
  <c r="M121" i="28"/>
  <c r="M122" i="2"/>
  <c r="M212" i="2"/>
  <c r="M166" i="28"/>
  <c r="P121" i="28"/>
  <c r="P122" i="2"/>
  <c r="P212" i="2"/>
  <c r="M212" i="28"/>
  <c r="L123" i="2"/>
  <c r="L122" i="28"/>
  <c r="P132" i="2"/>
  <c r="P129" i="28"/>
  <c r="P132" i="28" s="1"/>
  <c r="P146" i="28" s="1"/>
  <c r="N121" i="28"/>
  <c r="N122" i="2"/>
  <c r="N212" i="2"/>
  <c r="O212" i="2"/>
  <c r="O121" i="28"/>
  <c r="O122" i="2"/>
  <c r="L166" i="28"/>
  <c r="O122" i="28"/>
  <c r="O123" i="2"/>
  <c r="N212" i="28"/>
  <c r="K166" i="28"/>
  <c r="M123" i="2"/>
  <c r="M122" i="28"/>
  <c r="P122" i="28"/>
  <c r="P123" i="2"/>
  <c r="J166" i="28"/>
  <c r="K122" i="2"/>
  <c r="K212" i="2"/>
  <c r="K121" i="28"/>
  <c r="M129" i="28"/>
  <c r="M132" i="28" s="1"/>
  <c r="M132" i="2"/>
  <c r="N123" i="2"/>
  <c r="N122" i="28"/>
  <c r="L129" i="28"/>
  <c r="L132" i="28" s="1"/>
  <c r="L132" i="2"/>
  <c r="P166" i="28"/>
  <c r="P212" i="28"/>
  <c r="K123" i="2"/>
  <c r="K122" i="28"/>
  <c r="DY192" i="11" l="1"/>
  <c r="DX197" i="11"/>
  <c r="DW27" i="7"/>
  <c r="DX302" i="11"/>
  <c r="DX204" i="11"/>
  <c r="DY191" i="11"/>
  <c r="DY194" i="11" s="1"/>
  <c r="Q113" i="2" s="1"/>
  <c r="Q113" i="28" s="1"/>
  <c r="DW222" i="11"/>
  <c r="DW207" i="11"/>
  <c r="DX239" i="11"/>
  <c r="DX305" i="11"/>
  <c r="Q229" i="2"/>
  <c r="Q229" i="28"/>
  <c r="DY282" i="11"/>
  <c r="Q190" i="2"/>
  <c r="Q106" i="28"/>
  <c r="Q110" i="2"/>
  <c r="Q111" i="2"/>
  <c r="DY19" i="7"/>
  <c r="DY313" i="11"/>
  <c r="Q223" i="2" s="1"/>
  <c r="Q223" i="28" s="1"/>
  <c r="DY258" i="11"/>
  <c r="Q165" i="2"/>
  <c r="Q165" i="28" s="1"/>
  <c r="DX21" i="7"/>
  <c r="DX22" i="7"/>
  <c r="Q214" i="2"/>
  <c r="Q214" i="28"/>
  <c r="L150" i="28"/>
  <c r="L149" i="28"/>
  <c r="L146" i="28"/>
  <c r="N149" i="2"/>
  <c r="N150" i="2"/>
  <c r="N146" i="2"/>
  <c r="L149" i="2"/>
  <c r="L150" i="2"/>
  <c r="L146" i="2"/>
  <c r="M150" i="2"/>
  <c r="M149" i="2"/>
  <c r="M146" i="2"/>
  <c r="N149" i="28"/>
  <c r="N146" i="28"/>
  <c r="N150" i="28"/>
  <c r="M149" i="28"/>
  <c r="M150" i="28"/>
  <c r="M146" i="28"/>
  <c r="K149" i="2"/>
  <c r="K146" i="2"/>
  <c r="K150" i="2"/>
  <c r="P149" i="28"/>
  <c r="P150" i="28"/>
  <c r="K150" i="28"/>
  <c r="K149" i="28"/>
  <c r="K146" i="28"/>
  <c r="P150" i="2"/>
  <c r="P146" i="2"/>
  <c r="P149" i="2"/>
  <c r="O149" i="2"/>
  <c r="O146" i="2"/>
  <c r="O150" i="2"/>
  <c r="O150" i="28"/>
  <c r="O149" i="28"/>
  <c r="O146" i="28"/>
  <c r="DY197" i="11" l="1"/>
  <c r="DY196" i="11"/>
  <c r="DY204" i="11" s="1"/>
  <c r="Q129" i="2" s="1"/>
  <c r="DY21" i="7"/>
  <c r="DY22" i="7"/>
  <c r="DY305" i="11"/>
  <c r="DY239" i="11"/>
  <c r="Q166" i="2" s="1"/>
  <c r="Q166" i="28" s="1"/>
  <c r="Q116" i="2"/>
  <c r="Q115" i="2"/>
  <c r="DX222" i="11"/>
  <c r="DX207" i="11"/>
  <c r="Q111" i="28"/>
  <c r="Q116" i="28" s="1"/>
  <c r="Q118" i="28" s="1"/>
  <c r="Q110" i="28"/>
  <c r="Q115" i="28" s="1"/>
  <c r="DX27" i="7"/>
  <c r="Q190" i="28"/>
  <c r="Q191" i="2"/>
  <c r="I220" i="11"/>
  <c r="J201" i="11" s="1"/>
  <c r="I241" i="11"/>
  <c r="J226" i="11" s="1"/>
  <c r="I249" i="11"/>
  <c r="I278" i="11"/>
  <c r="DY302" i="11" l="1"/>
  <c r="Q118" i="2"/>
  <c r="Q123" i="2"/>
  <c r="Q122" i="28"/>
  <c r="Q117" i="2"/>
  <c r="Q212" i="2"/>
  <c r="Q121" i="28"/>
  <c r="Q122" i="2"/>
  <c r="Q117" i="28"/>
  <c r="Q212" i="28"/>
  <c r="Q215" i="28"/>
  <c r="Q215" i="2"/>
  <c r="Q191" i="28"/>
  <c r="DY222" i="11"/>
  <c r="DY207" i="11"/>
  <c r="Q129" i="28"/>
  <c r="Q132" i="28" s="1"/>
  <c r="Q132" i="2"/>
  <c r="DY27" i="7"/>
  <c r="H153" i="2"/>
  <c r="H126" i="2"/>
  <c r="Q146" i="2" l="1"/>
  <c r="Q150" i="2"/>
  <c r="Q149" i="2"/>
  <c r="Q146" i="28"/>
  <c r="Q149" i="28"/>
  <c r="Q150" i="28"/>
  <c r="H126" i="28"/>
  <c r="H153" i="28"/>
  <c r="H43" i="2"/>
  <c r="J128" i="11"/>
  <c r="H46" i="2" s="1"/>
  <c r="J233" i="11"/>
  <c r="H160" i="2" s="1"/>
  <c r="J127" i="11"/>
  <c r="H46" i="28" l="1"/>
  <c r="H77" i="28" s="1"/>
  <c r="H77" i="2"/>
  <c r="H43" i="28"/>
  <c r="J182" i="11"/>
  <c r="J181" i="11"/>
  <c r="H45" i="2"/>
  <c r="H76" i="2" s="1"/>
  <c r="H160" i="28"/>
  <c r="H101" i="2"/>
  <c r="H102" i="2"/>
  <c r="J188" i="11" l="1"/>
  <c r="J191" i="11" s="1"/>
  <c r="J194" i="11" s="1"/>
  <c r="J301" i="11"/>
  <c r="J189" i="11"/>
  <c r="H102" i="28"/>
  <c r="H101" i="28"/>
  <c r="H110" i="28" s="1"/>
  <c r="H45" i="28"/>
  <c r="H76" i="28" s="1"/>
  <c r="H104" i="2"/>
  <c r="H111" i="2"/>
  <c r="H121" i="2"/>
  <c r="F121" i="2" s="1"/>
  <c r="E20" i="30" s="1"/>
  <c r="H211" i="2"/>
  <c r="H110" i="2"/>
  <c r="H120" i="2"/>
  <c r="F120" i="2" s="1"/>
  <c r="E19" i="30" s="1"/>
  <c r="H103" i="2"/>
  <c r="J196" i="11" l="1"/>
  <c r="J239" i="11"/>
  <c r="J192" i="11"/>
  <c r="J197" i="11"/>
  <c r="J286" i="11" s="1"/>
  <c r="H104" i="28"/>
  <c r="H103" i="28"/>
  <c r="H111" i="28"/>
  <c r="H211" i="28"/>
  <c r="H113" i="2"/>
  <c r="J305" i="11"/>
  <c r="H113" i="28" l="1"/>
  <c r="H116" i="28" s="1"/>
  <c r="H118" i="28" s="1"/>
  <c r="J262" i="11"/>
  <c r="J263" i="11" s="1"/>
  <c r="C14" i="23" s="1"/>
  <c r="J302" i="11"/>
  <c r="J204" i="11"/>
  <c r="H115" i="2"/>
  <c r="H117" i="2" s="1"/>
  <c r="J287" i="11"/>
  <c r="J318" i="11" s="1"/>
  <c r="K286" i="11"/>
  <c r="H166" i="2"/>
  <c r="J241" i="11"/>
  <c r="J244" i="11" s="1"/>
  <c r="H116" i="2"/>
  <c r="H118" i="2" s="1"/>
  <c r="H115" i="28" l="1"/>
  <c r="H117" i="28" s="1"/>
  <c r="C16" i="23"/>
  <c r="J319" i="11"/>
  <c r="J288" i="11"/>
  <c r="K262" i="11"/>
  <c r="L262" i="11" s="1"/>
  <c r="J222" i="11"/>
  <c r="H129" i="2"/>
  <c r="J207" i="11"/>
  <c r="J220" i="11" s="1"/>
  <c r="K201" i="11" s="1"/>
  <c r="K220" i="11" s="1"/>
  <c r="K287" i="11"/>
  <c r="L286" i="11"/>
  <c r="H166" i="28"/>
  <c r="H168" i="28" s="1"/>
  <c r="H168" i="2"/>
  <c r="H122" i="28"/>
  <c r="F122" i="28" s="1"/>
  <c r="E28" i="30" s="1"/>
  <c r="H123" i="2"/>
  <c r="F123" i="2" s="1"/>
  <c r="E22" i="30" s="1"/>
  <c r="J264" i="11"/>
  <c r="J314" i="11"/>
  <c r="J249" i="11"/>
  <c r="J267" i="11" s="1"/>
  <c r="K226" i="11"/>
  <c r="K241" i="11" s="1"/>
  <c r="K319" i="11" s="1"/>
  <c r="H212" i="2"/>
  <c r="H122" i="2"/>
  <c r="F122" i="2" s="1"/>
  <c r="E21" i="30" s="1"/>
  <c r="H121" i="28" l="1"/>
  <c r="F121" i="28" s="1"/>
  <c r="E27" i="30" s="1"/>
  <c r="H212" i="28"/>
  <c r="K288" i="11"/>
  <c r="K318" i="11"/>
  <c r="K263" i="11"/>
  <c r="K314" i="11" s="1"/>
  <c r="H62" i="14"/>
  <c r="H63" i="14" s="1"/>
  <c r="I62" i="14"/>
  <c r="I63" i="14" s="1"/>
  <c r="I71" i="14" s="1"/>
  <c r="F62" i="14"/>
  <c r="F63" i="14" s="1"/>
  <c r="G62" i="14"/>
  <c r="G63" i="14" s="1"/>
  <c r="G70" i="14" s="1"/>
  <c r="E62" i="14"/>
  <c r="E63" i="14" s="1"/>
  <c r="H129" i="28"/>
  <c r="H132" i="28" s="1"/>
  <c r="H146" i="28" s="1"/>
  <c r="J243" i="11"/>
  <c r="H132" i="2"/>
  <c r="H146" i="2" s="1"/>
  <c r="H147" i="2" s="1"/>
  <c r="I147" i="2" s="1"/>
  <c r="J147" i="2" s="1"/>
  <c r="H202" i="2"/>
  <c r="H202" i="28"/>
  <c r="J273" i="11"/>
  <c r="J252" i="11"/>
  <c r="J254" i="11" s="1"/>
  <c r="L263" i="11"/>
  <c r="M262" i="11"/>
  <c r="L287" i="11"/>
  <c r="M286" i="11"/>
  <c r="K244" i="11"/>
  <c r="K249" i="11"/>
  <c r="L226" i="11"/>
  <c r="L241" i="11" s="1"/>
  <c r="L319" i="11" s="1"/>
  <c r="K243" i="11"/>
  <c r="L201" i="11"/>
  <c r="L220" i="11" s="1"/>
  <c r="H147" i="28" l="1"/>
  <c r="H149" i="28"/>
  <c r="H145" i="28"/>
  <c r="H200" i="28" s="1"/>
  <c r="K264" i="11"/>
  <c r="L288" i="11"/>
  <c r="L318" i="11"/>
  <c r="I70" i="14"/>
  <c r="G71" i="14"/>
  <c r="S62" i="14"/>
  <c r="Q62" i="14"/>
  <c r="M62" i="14"/>
  <c r="U62" i="14"/>
  <c r="J62" i="14"/>
  <c r="R62" i="14"/>
  <c r="K62" i="14"/>
  <c r="E70" i="14"/>
  <c r="O62" i="14"/>
  <c r="N62" i="14"/>
  <c r="T62" i="14"/>
  <c r="H70" i="14"/>
  <c r="H71" i="14"/>
  <c r="P62" i="14"/>
  <c r="L62" i="14"/>
  <c r="F71" i="14"/>
  <c r="F70" i="14"/>
  <c r="E71" i="14"/>
  <c r="Q63" i="14"/>
  <c r="M63" i="14"/>
  <c r="O63" i="14"/>
  <c r="S63" i="14"/>
  <c r="U63" i="14"/>
  <c r="J63" i="14"/>
  <c r="T63" i="14"/>
  <c r="L63" i="14"/>
  <c r="N63" i="14"/>
  <c r="K147" i="2"/>
  <c r="L147" i="2" s="1"/>
  <c r="M147" i="2" s="1"/>
  <c r="N147" i="2" s="1"/>
  <c r="O147" i="2" s="1"/>
  <c r="P147" i="2" s="1"/>
  <c r="Q147" i="2" s="1"/>
  <c r="H150" i="28"/>
  <c r="H150" i="2"/>
  <c r="H149" i="2"/>
  <c r="H145" i="2"/>
  <c r="H200" i="2" s="1"/>
  <c r="L249" i="11"/>
  <c r="L267" i="11" s="1"/>
  <c r="L244" i="11"/>
  <c r="M226" i="11"/>
  <c r="M241" i="11" s="1"/>
  <c r="M319" i="11" s="1"/>
  <c r="M263" i="11"/>
  <c r="N262" i="11"/>
  <c r="M287" i="11"/>
  <c r="N286" i="11"/>
  <c r="L264" i="11"/>
  <c r="L314" i="11"/>
  <c r="J266" i="11"/>
  <c r="K273" i="11"/>
  <c r="K252" i="11"/>
  <c r="K254" i="11" s="1"/>
  <c r="L243" i="11"/>
  <c r="M201" i="11"/>
  <c r="M220" i="11" s="1"/>
  <c r="K267" i="11"/>
  <c r="J276" i="11"/>
  <c r="J278" i="11" s="1"/>
  <c r="J317" i="11" s="1"/>
  <c r="J291" i="11"/>
  <c r="I147" i="28" l="1"/>
  <c r="M288" i="11"/>
  <c r="M318" i="11"/>
  <c r="J290" i="11"/>
  <c r="R63" i="14"/>
  <c r="R70" i="14" s="1"/>
  <c r="K63" i="14"/>
  <c r="K70" i="14" s="1"/>
  <c r="P63" i="14"/>
  <c r="P71" i="14" s="1"/>
  <c r="S70" i="14"/>
  <c r="S71" i="14"/>
  <c r="O70" i="14"/>
  <c r="O71" i="14"/>
  <c r="M70" i="14"/>
  <c r="M71" i="14"/>
  <c r="L70" i="14"/>
  <c r="L71" i="14"/>
  <c r="Q70" i="14"/>
  <c r="Q71" i="14"/>
  <c r="T70" i="14"/>
  <c r="T71" i="14"/>
  <c r="J70" i="14"/>
  <c r="J71" i="14"/>
  <c r="N70" i="14"/>
  <c r="N71" i="14"/>
  <c r="U70" i="14"/>
  <c r="U71" i="14"/>
  <c r="M314" i="11"/>
  <c r="M264" i="11"/>
  <c r="M249" i="11"/>
  <c r="M267" i="11" s="1"/>
  <c r="M244" i="11"/>
  <c r="N226" i="11"/>
  <c r="N241" i="11" s="1"/>
  <c r="N319" i="11" s="1"/>
  <c r="K266" i="11"/>
  <c r="N263" i="11"/>
  <c r="O262" i="11"/>
  <c r="K276" i="11"/>
  <c r="K278" i="11" s="1"/>
  <c r="K291" i="11"/>
  <c r="N287" i="11"/>
  <c r="O286" i="11"/>
  <c r="M243" i="11"/>
  <c r="N201" i="11"/>
  <c r="N220" i="11" s="1"/>
  <c r="L252" i="11"/>
  <c r="L254" i="11" s="1"/>
  <c r="L273" i="11"/>
  <c r="J147" i="28" l="1"/>
  <c r="K147" i="28" s="1"/>
  <c r="L147" i="28" s="1"/>
  <c r="N288" i="11"/>
  <c r="N318" i="11"/>
  <c r="K290" i="11"/>
  <c r="K317" i="11"/>
  <c r="P70" i="14"/>
  <c r="R71" i="14"/>
  <c r="K71" i="14"/>
  <c r="L266" i="11"/>
  <c r="L276" i="11"/>
  <c r="L278" i="11" s="1"/>
  <c r="L291" i="11"/>
  <c r="O287" i="11"/>
  <c r="P286" i="11"/>
  <c r="O263" i="11"/>
  <c r="P262" i="11"/>
  <c r="M252" i="11"/>
  <c r="M254" i="11" s="1"/>
  <c r="M273" i="11"/>
  <c r="N249" i="11"/>
  <c r="N244" i="11"/>
  <c r="O226" i="11"/>
  <c r="O241" i="11" s="1"/>
  <c r="O319" i="11" s="1"/>
  <c r="N243" i="11"/>
  <c r="O201" i="11"/>
  <c r="O220" i="11" s="1"/>
  <c r="N264" i="11"/>
  <c r="N314" i="11"/>
  <c r="M147" i="28" l="1"/>
  <c r="N147" i="28" s="1"/>
  <c r="O147" i="28" s="1"/>
  <c r="P147" i="28" s="1"/>
  <c r="Q147" i="28" s="1"/>
  <c r="L290" i="11"/>
  <c r="L317" i="11"/>
  <c r="O288" i="11"/>
  <c r="O318" i="11"/>
  <c r="N273" i="11"/>
  <c r="N252" i="11"/>
  <c r="N254" i="11" s="1"/>
  <c r="M276" i="11"/>
  <c r="M278" i="11" s="1"/>
  <c r="M291" i="11"/>
  <c r="M266" i="11"/>
  <c r="P287" i="11"/>
  <c r="Q286" i="11"/>
  <c r="O243" i="11"/>
  <c r="P201" i="11"/>
  <c r="P220" i="11" s="1"/>
  <c r="P263" i="11"/>
  <c r="Q262" i="11"/>
  <c r="O244" i="11"/>
  <c r="O249" i="11"/>
  <c r="O267" i="11" s="1"/>
  <c r="P226" i="11"/>
  <c r="P241" i="11" s="1"/>
  <c r="N267" i="11"/>
  <c r="O264" i="11"/>
  <c r="O314" i="11"/>
  <c r="M290" i="11" l="1"/>
  <c r="M317" i="11"/>
  <c r="P288" i="11"/>
  <c r="P318" i="11"/>
  <c r="P319" i="11"/>
  <c r="N266" i="11"/>
  <c r="O252" i="11"/>
  <c r="O254" i="11" s="1"/>
  <c r="O273" i="11"/>
  <c r="P243" i="11"/>
  <c r="Q201" i="11"/>
  <c r="Q220" i="11" s="1"/>
  <c r="P249" i="11"/>
  <c r="Q226" i="11"/>
  <c r="Q241" i="11" s="1"/>
  <c r="Q319" i="11" s="1"/>
  <c r="N276" i="11"/>
  <c r="N278" i="11" s="1"/>
  <c r="N291" i="11"/>
  <c r="Q263" i="11"/>
  <c r="R262" i="11"/>
  <c r="P264" i="11"/>
  <c r="P314" i="11"/>
  <c r="Q287" i="11"/>
  <c r="R286" i="11"/>
  <c r="Q288" i="11" l="1"/>
  <c r="Q318" i="11"/>
  <c r="N290" i="11"/>
  <c r="N317" i="11"/>
  <c r="P244" i="11"/>
  <c r="O266" i="11"/>
  <c r="O276" i="11"/>
  <c r="O278" i="11" s="1"/>
  <c r="O291" i="11"/>
  <c r="R287" i="11"/>
  <c r="S286" i="11"/>
  <c r="P252" i="11"/>
  <c r="P254" i="11" s="1"/>
  <c r="P273" i="11"/>
  <c r="Q243" i="11"/>
  <c r="R201" i="11"/>
  <c r="R220" i="11" s="1"/>
  <c r="R263" i="11"/>
  <c r="S262" i="11"/>
  <c r="Q244" i="11"/>
  <c r="Q249" i="11"/>
  <c r="Q267" i="11" s="1"/>
  <c r="R226" i="11"/>
  <c r="R241" i="11" s="1"/>
  <c r="R319" i="11" s="1"/>
  <c r="Q264" i="11"/>
  <c r="Q314" i="11"/>
  <c r="P267" i="11"/>
  <c r="O290" i="11" l="1"/>
  <c r="O317" i="11"/>
  <c r="R288" i="11"/>
  <c r="R318" i="11"/>
  <c r="P266" i="11"/>
  <c r="S287" i="11"/>
  <c r="T286" i="11"/>
  <c r="Q252" i="11"/>
  <c r="Q254" i="11" s="1"/>
  <c r="Q273" i="11"/>
  <c r="S263" i="11"/>
  <c r="T262" i="11"/>
  <c r="R243" i="11"/>
  <c r="S201" i="11"/>
  <c r="S220" i="11" s="1"/>
  <c r="P276" i="11"/>
  <c r="P278" i="11" s="1"/>
  <c r="P291" i="11"/>
  <c r="R249" i="11"/>
  <c r="R267" i="11" s="1"/>
  <c r="R244" i="11"/>
  <c r="S226" i="11"/>
  <c r="S241" i="11" s="1"/>
  <c r="S319" i="11" s="1"/>
  <c r="R264" i="11"/>
  <c r="R314" i="11"/>
  <c r="P290" i="11" l="1"/>
  <c r="P317" i="11"/>
  <c r="S288" i="11"/>
  <c r="S318" i="11"/>
  <c r="Q266" i="11"/>
  <c r="S314" i="11"/>
  <c r="S264" i="11"/>
  <c r="R252" i="11"/>
  <c r="R254" i="11" s="1"/>
  <c r="R273" i="11"/>
  <c r="Q276" i="11"/>
  <c r="Q278" i="11" s="1"/>
  <c r="Q291" i="11"/>
  <c r="T287" i="11"/>
  <c r="U286" i="11"/>
  <c r="T263" i="11"/>
  <c r="U262" i="11"/>
  <c r="S244" i="11"/>
  <c r="S249" i="11"/>
  <c r="T226" i="11"/>
  <c r="T241" i="11" s="1"/>
  <c r="T319" i="11" s="1"/>
  <c r="S243" i="11"/>
  <c r="T201" i="11"/>
  <c r="T220" i="11" s="1"/>
  <c r="T288" i="11" l="1"/>
  <c r="T318" i="11"/>
  <c r="Q290" i="11"/>
  <c r="Q317" i="11"/>
  <c r="R276" i="11"/>
  <c r="R278" i="11" s="1"/>
  <c r="R291" i="11"/>
  <c r="T249" i="11"/>
  <c r="T267" i="11" s="1"/>
  <c r="T244" i="11"/>
  <c r="U226" i="11"/>
  <c r="U241" i="11" s="1"/>
  <c r="U319" i="11" s="1"/>
  <c r="T314" i="11"/>
  <c r="T264" i="11"/>
  <c r="S252" i="11"/>
  <c r="S254" i="11" s="1"/>
  <c r="S273" i="11"/>
  <c r="T243" i="11"/>
  <c r="U201" i="11"/>
  <c r="U220" i="11" s="1"/>
  <c r="R266" i="11"/>
  <c r="U263" i="11"/>
  <c r="V262" i="11"/>
  <c r="H195" i="2"/>
  <c r="U287" i="11"/>
  <c r="V286" i="11"/>
  <c r="S267" i="11"/>
  <c r="R290" i="11" l="1"/>
  <c r="R317" i="11"/>
  <c r="U288" i="11"/>
  <c r="U318" i="11"/>
  <c r="V287" i="11"/>
  <c r="W286" i="11"/>
  <c r="S276" i="11"/>
  <c r="S278" i="11" s="1"/>
  <c r="S291" i="11"/>
  <c r="H195" i="28"/>
  <c r="H196" i="28" s="1"/>
  <c r="H197" i="28" s="1"/>
  <c r="H196" i="2"/>
  <c r="H197" i="2" s="1"/>
  <c r="V263" i="11"/>
  <c r="W262" i="11"/>
  <c r="T252" i="11"/>
  <c r="T254" i="11" s="1"/>
  <c r="T273" i="11"/>
  <c r="U314" i="11"/>
  <c r="U264" i="11"/>
  <c r="U243" i="11"/>
  <c r="V201" i="11"/>
  <c r="U244" i="11"/>
  <c r="U249" i="11"/>
  <c r="U267" i="11" s="1"/>
  <c r="V226" i="11"/>
  <c r="V241" i="11" s="1"/>
  <c r="V319" i="11" s="1"/>
  <c r="S266" i="11"/>
  <c r="V288" i="11" l="1"/>
  <c r="V318" i="11"/>
  <c r="S290" i="11"/>
  <c r="S317" i="11"/>
  <c r="T266" i="11"/>
  <c r="V249" i="11"/>
  <c r="V244" i="11"/>
  <c r="W226" i="11"/>
  <c r="W241" i="11" s="1"/>
  <c r="W319" i="11" s="1"/>
  <c r="H228" i="2"/>
  <c r="H228" i="28"/>
  <c r="T276" i="11"/>
  <c r="T278" i="11" s="1"/>
  <c r="T291" i="11"/>
  <c r="W287" i="11"/>
  <c r="X286" i="11"/>
  <c r="H227" i="28"/>
  <c r="H227" i="2"/>
  <c r="I153" i="2"/>
  <c r="I126" i="2"/>
  <c r="V220" i="11"/>
  <c r="V314" i="11"/>
  <c r="V264" i="11"/>
  <c r="U252" i="11"/>
  <c r="U254" i="11" s="1"/>
  <c r="U273" i="11"/>
  <c r="W263" i="11"/>
  <c r="X262" i="11"/>
  <c r="W288" i="11" l="1"/>
  <c r="W318" i="11"/>
  <c r="T290" i="11"/>
  <c r="T317" i="11"/>
  <c r="I168" i="2"/>
  <c r="I153" i="28"/>
  <c r="I168" i="28" s="1"/>
  <c r="U276" i="11"/>
  <c r="U278" i="11" s="1"/>
  <c r="H182" i="2"/>
  <c r="H182" i="28" s="1"/>
  <c r="U291" i="11"/>
  <c r="W244" i="11"/>
  <c r="W249" i="11"/>
  <c r="W267" i="11" s="1"/>
  <c r="X226" i="11"/>
  <c r="X241" i="11" s="1"/>
  <c r="X319" i="11" s="1"/>
  <c r="U266" i="11"/>
  <c r="X287" i="11"/>
  <c r="Y286" i="11"/>
  <c r="X263" i="11"/>
  <c r="Y262" i="11"/>
  <c r="W264" i="11"/>
  <c r="W314" i="11"/>
  <c r="V243" i="11"/>
  <c r="W201" i="11"/>
  <c r="W220" i="11" s="1"/>
  <c r="V252" i="11"/>
  <c r="V254" i="11" s="1"/>
  <c r="V273" i="11"/>
  <c r="I126" i="28"/>
  <c r="I145" i="28" s="1"/>
  <c r="I145" i="2"/>
  <c r="V267" i="11"/>
  <c r="U290" i="11" l="1"/>
  <c r="U317" i="11"/>
  <c r="X288" i="11"/>
  <c r="X318" i="11"/>
  <c r="H185" i="28"/>
  <c r="I200" i="2"/>
  <c r="I200" i="28"/>
  <c r="V266" i="11"/>
  <c r="X244" i="11"/>
  <c r="X249" i="11"/>
  <c r="Y226" i="11"/>
  <c r="Y241" i="11" s="1"/>
  <c r="Y319" i="11" s="1"/>
  <c r="W252" i="11"/>
  <c r="W254" i="11" s="1"/>
  <c r="W273" i="11"/>
  <c r="H185" i="2"/>
  <c r="H187" i="2" s="1"/>
  <c r="H199" i="2" s="1"/>
  <c r="H201" i="2"/>
  <c r="V276" i="11"/>
  <c r="V278" i="11" s="1"/>
  <c r="V291" i="11"/>
  <c r="Y263" i="11"/>
  <c r="Z262" i="11"/>
  <c r="I202" i="28"/>
  <c r="Y287" i="11"/>
  <c r="Z286" i="11"/>
  <c r="W243" i="11"/>
  <c r="X201" i="11"/>
  <c r="X220" i="11" s="1"/>
  <c r="X314" i="11"/>
  <c r="X264" i="11"/>
  <c r="I202" i="2"/>
  <c r="H226" i="2" l="1"/>
  <c r="H226" i="28"/>
  <c r="Y288" i="11"/>
  <c r="Y318" i="11"/>
  <c r="V290" i="11"/>
  <c r="V317" i="11"/>
  <c r="X252" i="11"/>
  <c r="X254" i="11" s="1"/>
  <c r="X273" i="11"/>
  <c r="X267" i="11"/>
  <c r="W266" i="11"/>
  <c r="Y249" i="11"/>
  <c r="Y267" i="11" s="1"/>
  <c r="Y244" i="11"/>
  <c r="Z226" i="11"/>
  <c r="Z241" i="11" s="1"/>
  <c r="Z319" i="11" s="1"/>
  <c r="Z287" i="11"/>
  <c r="AA286" i="11"/>
  <c r="H201" i="28"/>
  <c r="Y264" i="11"/>
  <c r="Y314" i="11"/>
  <c r="X243" i="11"/>
  <c r="Y201" i="11"/>
  <c r="Y220" i="11" s="1"/>
  <c r="Z263" i="11"/>
  <c r="AA262" i="11"/>
  <c r="W276" i="11"/>
  <c r="W278" i="11" s="1"/>
  <c r="W291" i="11"/>
  <c r="Z288" i="11" l="1"/>
  <c r="Z318" i="11"/>
  <c r="W290" i="11"/>
  <c r="W317" i="11"/>
  <c r="H187" i="28"/>
  <c r="X266" i="11"/>
  <c r="AA287" i="11"/>
  <c r="AB286" i="11"/>
  <c r="Z264" i="11"/>
  <c r="Z314" i="11"/>
  <c r="Z249" i="11"/>
  <c r="Z267" i="11" s="1"/>
  <c r="Z244" i="11"/>
  <c r="AA226" i="11"/>
  <c r="AA241" i="11" s="1"/>
  <c r="AA319" i="11" s="1"/>
  <c r="Y243" i="11"/>
  <c r="Z201" i="11"/>
  <c r="Z220" i="11" s="1"/>
  <c r="Y252" i="11"/>
  <c r="Y254" i="11" s="1"/>
  <c r="Y273" i="11"/>
  <c r="AA263" i="11"/>
  <c r="AB262" i="11"/>
  <c r="X276" i="11"/>
  <c r="X278" i="11" s="1"/>
  <c r="X291" i="11"/>
  <c r="X290" i="11" l="1"/>
  <c r="X317" i="11"/>
  <c r="AA288" i="11"/>
  <c r="AA318" i="11"/>
  <c r="H199" i="28"/>
  <c r="Z243" i="11"/>
  <c r="AA201" i="11"/>
  <c r="AA220" i="11" s="1"/>
  <c r="AB263" i="11"/>
  <c r="AC262" i="11"/>
  <c r="AA244" i="11"/>
  <c r="AA249" i="11"/>
  <c r="AA267" i="11" s="1"/>
  <c r="AB226" i="11"/>
  <c r="AB241" i="11" s="1"/>
  <c r="AB319" i="11" s="1"/>
  <c r="AA264" i="11"/>
  <c r="AA314" i="11"/>
  <c r="Y276" i="11"/>
  <c r="Y278" i="11" s="1"/>
  <c r="Y291" i="11"/>
  <c r="Y266" i="11"/>
  <c r="AB287" i="11"/>
  <c r="AC286" i="11"/>
  <c r="Z252" i="11"/>
  <c r="Z254" i="11" s="1"/>
  <c r="Z273" i="11"/>
  <c r="AB288" i="11" l="1"/>
  <c r="AB318" i="11"/>
  <c r="Y290" i="11"/>
  <c r="Y317" i="11"/>
  <c r="Z276" i="11"/>
  <c r="Z278" i="11" s="1"/>
  <c r="Z291" i="11"/>
  <c r="Z266" i="11"/>
  <c r="AC263" i="11"/>
  <c r="AD262" i="11"/>
  <c r="AB244" i="11"/>
  <c r="AB249" i="11"/>
  <c r="AB267" i="11" s="1"/>
  <c r="AC226" i="11"/>
  <c r="AC241" i="11" s="1"/>
  <c r="AC319" i="11" s="1"/>
  <c r="AB264" i="11"/>
  <c r="AB314" i="11"/>
  <c r="AA252" i="11"/>
  <c r="AA254" i="11" s="1"/>
  <c r="AA273" i="11"/>
  <c r="AA243" i="11"/>
  <c r="AB201" i="11"/>
  <c r="AB220" i="11" s="1"/>
  <c r="AC287" i="11"/>
  <c r="AD286" i="11"/>
  <c r="AC288" i="11" l="1"/>
  <c r="AC318" i="11"/>
  <c r="Z290" i="11"/>
  <c r="Z317" i="11"/>
  <c r="AA266" i="11"/>
  <c r="AD263" i="11"/>
  <c r="AE262" i="11"/>
  <c r="AC314" i="11"/>
  <c r="AC264" i="11"/>
  <c r="AD287" i="11"/>
  <c r="AE286" i="11"/>
  <c r="AB243" i="11"/>
  <c r="AC201" i="11"/>
  <c r="AC220" i="11" s="1"/>
  <c r="AA276" i="11"/>
  <c r="AA278" i="11" s="1"/>
  <c r="AA291" i="11"/>
  <c r="AC249" i="11"/>
  <c r="AC267" i="11" s="1"/>
  <c r="AC244" i="11"/>
  <c r="AD226" i="11"/>
  <c r="AD241" i="11" s="1"/>
  <c r="AD319" i="11" s="1"/>
  <c r="AB252" i="11"/>
  <c r="AB254" i="11" s="1"/>
  <c r="AB273" i="11"/>
  <c r="AA290" i="11" l="1"/>
  <c r="AA317" i="11"/>
  <c r="AD288" i="11"/>
  <c r="AD318" i="11"/>
  <c r="AE287" i="11"/>
  <c r="AF286" i="11"/>
  <c r="AB266" i="11"/>
  <c r="AC273" i="11"/>
  <c r="AC252" i="11"/>
  <c r="AC254" i="11" s="1"/>
  <c r="AD244" i="11"/>
  <c r="AD249" i="11"/>
  <c r="AE226" i="11"/>
  <c r="AE241" i="11" s="1"/>
  <c r="AE319" i="11" s="1"/>
  <c r="AC243" i="11"/>
  <c r="AD201" i="11"/>
  <c r="AD220" i="11" s="1"/>
  <c r="AE263" i="11"/>
  <c r="AF262" i="11"/>
  <c r="AB276" i="11"/>
  <c r="AB278" i="11" s="1"/>
  <c r="AB291" i="11"/>
  <c r="AD264" i="11"/>
  <c r="AD314" i="11"/>
  <c r="AE288" i="11" l="1"/>
  <c r="AE318" i="11"/>
  <c r="AB290" i="11"/>
  <c r="AB317" i="11"/>
  <c r="AD243" i="11"/>
  <c r="AE201" i="11"/>
  <c r="AE220" i="11" s="1"/>
  <c r="AC276" i="11"/>
  <c r="AC278" i="11" s="1"/>
  <c r="AC291" i="11"/>
  <c r="AF263" i="11"/>
  <c r="AG262" i="11"/>
  <c r="AE249" i="11"/>
  <c r="AE244" i="11"/>
  <c r="AF226" i="11"/>
  <c r="AF241" i="11" s="1"/>
  <c r="AF319" i="11" s="1"/>
  <c r="AD252" i="11"/>
  <c r="AD254" i="11" s="1"/>
  <c r="AD273" i="11"/>
  <c r="AC266" i="11"/>
  <c r="AF287" i="11"/>
  <c r="AG286" i="11"/>
  <c r="AE314" i="11"/>
  <c r="AE264" i="11"/>
  <c r="AD267" i="11"/>
  <c r="AC290" i="11" l="1"/>
  <c r="AC317" i="11"/>
  <c r="AF288" i="11"/>
  <c r="AF318" i="11"/>
  <c r="AD266" i="11"/>
  <c r="AG263" i="11"/>
  <c r="AH262" i="11"/>
  <c r="AF264" i="11"/>
  <c r="AF314" i="11"/>
  <c r="AE273" i="11"/>
  <c r="AE252" i="11"/>
  <c r="AE254" i="11" s="1"/>
  <c r="AD276" i="11"/>
  <c r="AD278" i="11" s="1"/>
  <c r="AD291" i="11"/>
  <c r="AG287" i="11"/>
  <c r="I195" i="2"/>
  <c r="AH286" i="11"/>
  <c r="AE243" i="11"/>
  <c r="AF201" i="11"/>
  <c r="AF220" i="11" s="1"/>
  <c r="AF244" i="11"/>
  <c r="AF249" i="11"/>
  <c r="AG226" i="11"/>
  <c r="AG241" i="11" s="1"/>
  <c r="AG319" i="11" s="1"/>
  <c r="AE267" i="11"/>
  <c r="AG288" i="11" l="1"/>
  <c r="AG318" i="11"/>
  <c r="AD290" i="11"/>
  <c r="AD317" i="11"/>
  <c r="AE266" i="11"/>
  <c r="I196" i="2"/>
  <c r="I197" i="2" s="1"/>
  <c r="I195" i="28"/>
  <c r="I196" i="28" s="1"/>
  <c r="I197" i="28" s="1"/>
  <c r="AG249" i="11"/>
  <c r="AG244" i="11"/>
  <c r="AH226" i="11"/>
  <c r="AH241" i="11" s="1"/>
  <c r="AH319" i="11" s="1"/>
  <c r="AF273" i="11"/>
  <c r="AF252" i="11"/>
  <c r="AF254" i="11" s="1"/>
  <c r="AF243" i="11"/>
  <c r="AG201" i="11"/>
  <c r="AG220" i="11" s="1"/>
  <c r="AE276" i="11"/>
  <c r="AE278" i="11" s="1"/>
  <c r="AE291" i="11"/>
  <c r="AH287" i="11"/>
  <c r="AI286" i="11"/>
  <c r="AF267" i="11"/>
  <c r="AH263" i="11"/>
  <c r="AI262" i="11"/>
  <c r="AG314" i="11"/>
  <c r="AG264" i="11"/>
  <c r="AE290" i="11" l="1"/>
  <c r="AE317" i="11"/>
  <c r="AH288" i="11"/>
  <c r="AH318" i="11"/>
  <c r="AG243" i="11"/>
  <c r="AH201" i="11"/>
  <c r="AG252" i="11"/>
  <c r="AG254" i="11" s="1"/>
  <c r="AG273" i="11"/>
  <c r="AF276" i="11"/>
  <c r="AF278" i="11" s="1"/>
  <c r="AF291" i="11"/>
  <c r="I228" i="28"/>
  <c r="I228" i="2"/>
  <c r="I227" i="28"/>
  <c r="I227" i="2"/>
  <c r="AH314" i="11"/>
  <c r="AH264" i="11"/>
  <c r="AI287" i="11"/>
  <c r="AJ286" i="11"/>
  <c r="AI263" i="11"/>
  <c r="AJ262" i="11"/>
  <c r="AH249" i="11"/>
  <c r="AH267" i="11" s="1"/>
  <c r="AH244" i="11"/>
  <c r="AI226" i="11"/>
  <c r="AI241" i="11" s="1"/>
  <c r="AI319" i="11" s="1"/>
  <c r="AG267" i="11"/>
  <c r="AF266" i="11"/>
  <c r="AF290" i="11" l="1"/>
  <c r="AF317" i="11"/>
  <c r="AI288" i="11"/>
  <c r="AI318" i="11"/>
  <c r="AJ287" i="11"/>
  <c r="AK286" i="11"/>
  <c r="AJ263" i="11"/>
  <c r="AK262" i="11"/>
  <c r="AI264" i="11"/>
  <c r="AI314" i="11"/>
  <c r="AH252" i="11"/>
  <c r="AH254" i="11" s="1"/>
  <c r="AH273" i="11"/>
  <c r="AG276" i="11"/>
  <c r="AG278" i="11" s="1"/>
  <c r="I182" i="2"/>
  <c r="AG291" i="11"/>
  <c r="AI244" i="11"/>
  <c r="AI249" i="11"/>
  <c r="AJ226" i="11"/>
  <c r="AJ241" i="11" s="1"/>
  <c r="AJ319" i="11" s="1"/>
  <c r="AG266" i="11"/>
  <c r="J126" i="2"/>
  <c r="J153" i="2"/>
  <c r="AH220" i="11"/>
  <c r="AJ288" i="11" l="1"/>
  <c r="AJ318" i="11"/>
  <c r="AG290" i="11"/>
  <c r="AG317" i="11"/>
  <c r="AH266" i="11"/>
  <c r="I185" i="2"/>
  <c r="I187" i="2" s="1"/>
  <c r="I199" i="2" s="1"/>
  <c r="I182" i="28"/>
  <c r="I201" i="2"/>
  <c r="AJ249" i="11"/>
  <c r="AJ244" i="11"/>
  <c r="AK226" i="11"/>
  <c r="AK241" i="11" s="1"/>
  <c r="AK319" i="11" s="1"/>
  <c r="AK263" i="11"/>
  <c r="AL262" i="11"/>
  <c r="AJ264" i="11"/>
  <c r="AJ314" i="11"/>
  <c r="AI273" i="11"/>
  <c r="AI252" i="11"/>
  <c r="AI254" i="11" s="1"/>
  <c r="AH243" i="11"/>
  <c r="AI201" i="11"/>
  <c r="AI220" i="11" s="1"/>
  <c r="AH276" i="11"/>
  <c r="AH278" i="11" s="1"/>
  <c r="AH291" i="11"/>
  <c r="J153" i="28"/>
  <c r="J168" i="28" s="1"/>
  <c r="J168" i="2"/>
  <c r="AK287" i="11"/>
  <c r="AL286" i="11"/>
  <c r="J145" i="2"/>
  <c r="J126" i="28"/>
  <c r="J145" i="28" s="1"/>
  <c r="AI267" i="11"/>
  <c r="AH290" i="11" l="1"/>
  <c r="AH317" i="11"/>
  <c r="I226" i="28"/>
  <c r="I226" i="2"/>
  <c r="AK288" i="11"/>
  <c r="AK318" i="11"/>
  <c r="AJ252" i="11"/>
  <c r="AJ254" i="11" s="1"/>
  <c r="AJ273" i="11"/>
  <c r="J202" i="2"/>
  <c r="J202" i="28"/>
  <c r="AJ267" i="11"/>
  <c r="AI243" i="11"/>
  <c r="AJ201" i="11"/>
  <c r="AJ220" i="11" s="1"/>
  <c r="AL263" i="11"/>
  <c r="AM262" i="11"/>
  <c r="AI266" i="11"/>
  <c r="J200" i="28"/>
  <c r="AK314" i="11"/>
  <c r="AK264" i="11"/>
  <c r="AL287" i="11"/>
  <c r="AM286" i="11"/>
  <c r="AK249" i="11"/>
  <c r="AK244" i="11"/>
  <c r="AL226" i="11"/>
  <c r="AL241" i="11" s="1"/>
  <c r="AL319" i="11" s="1"/>
  <c r="I185" i="28"/>
  <c r="I201" i="28"/>
  <c r="J200" i="2"/>
  <c r="AI276" i="11"/>
  <c r="AI278" i="11" s="1"/>
  <c r="AI291" i="11"/>
  <c r="AI290" i="11" l="1"/>
  <c r="AI317" i="11"/>
  <c r="AL288" i="11"/>
  <c r="AL318" i="11"/>
  <c r="I187" i="28"/>
  <c r="AJ266" i="11"/>
  <c r="AK273" i="11"/>
  <c r="AK252" i="11"/>
  <c r="AK254" i="11" s="1"/>
  <c r="AM263" i="11"/>
  <c r="AN262" i="11"/>
  <c r="AL249" i="11"/>
  <c r="AL267" i="11" s="1"/>
  <c r="AL244" i="11"/>
  <c r="AM226" i="11"/>
  <c r="AM241" i="11" s="1"/>
  <c r="AM319" i="11" s="1"/>
  <c r="AL264" i="11"/>
  <c r="AL314" i="11"/>
  <c r="AM287" i="11"/>
  <c r="AN286" i="11"/>
  <c r="AK267" i="11"/>
  <c r="AJ243" i="11"/>
  <c r="AK201" i="11"/>
  <c r="AK220" i="11" s="1"/>
  <c r="AJ276" i="11"/>
  <c r="AJ278" i="11" s="1"/>
  <c r="AJ291" i="11"/>
  <c r="AJ290" i="11" l="1"/>
  <c r="AJ317" i="11"/>
  <c r="AM288" i="11"/>
  <c r="AM318" i="11"/>
  <c r="I199" i="28"/>
  <c r="AK266" i="11"/>
  <c r="AN263" i="11"/>
  <c r="AO262" i="11"/>
  <c r="AM264" i="11"/>
  <c r="AM314" i="11"/>
  <c r="AL273" i="11"/>
  <c r="AL252" i="11"/>
  <c r="AL254" i="11" s="1"/>
  <c r="AN287" i="11"/>
  <c r="AO286" i="11"/>
  <c r="AK243" i="11"/>
  <c r="AL201" i="11"/>
  <c r="AL220" i="11" s="1"/>
  <c r="AK276" i="11"/>
  <c r="AK278" i="11" s="1"/>
  <c r="AK291" i="11"/>
  <c r="AM249" i="11"/>
  <c r="AM267" i="11" s="1"/>
  <c r="AM244" i="11"/>
  <c r="AN226" i="11"/>
  <c r="AN241" i="11" s="1"/>
  <c r="AN319" i="11" s="1"/>
  <c r="AN288" i="11" l="1"/>
  <c r="AN318" i="11"/>
  <c r="AK290" i="11"/>
  <c r="AK317" i="11"/>
  <c r="AL266" i="11"/>
  <c r="AL276" i="11"/>
  <c r="AL278" i="11" s="1"/>
  <c r="AL291" i="11"/>
  <c r="AN249" i="11"/>
  <c r="AN244" i="11"/>
  <c r="AO226" i="11"/>
  <c r="AO241" i="11" s="1"/>
  <c r="AO319" i="11" s="1"/>
  <c r="AO287" i="11"/>
  <c r="AP286" i="11"/>
  <c r="AO263" i="11"/>
  <c r="AP262" i="11"/>
  <c r="AL243" i="11"/>
  <c r="AM201" i="11"/>
  <c r="AM220" i="11" s="1"/>
  <c r="AM252" i="11"/>
  <c r="AM254" i="11" s="1"/>
  <c r="AM273" i="11"/>
  <c r="AN264" i="11"/>
  <c r="AN314" i="11"/>
  <c r="AL290" i="11" l="1"/>
  <c r="AL317" i="11"/>
  <c r="AO288" i="11"/>
  <c r="AO318" i="11"/>
  <c r="AO244" i="11"/>
  <c r="AO249" i="11"/>
  <c r="AO267" i="11" s="1"/>
  <c r="AP226" i="11"/>
  <c r="AP241" i="11" s="1"/>
  <c r="AP319" i="11" s="1"/>
  <c r="AM243" i="11"/>
  <c r="AN201" i="11"/>
  <c r="AN220" i="11" s="1"/>
  <c r="AN273" i="11"/>
  <c r="AN252" i="11"/>
  <c r="AN254" i="11" s="1"/>
  <c r="AP263" i="11"/>
  <c r="AQ262" i="11"/>
  <c r="AO314" i="11"/>
  <c r="AO264" i="11"/>
  <c r="AM266" i="11"/>
  <c r="AN267" i="11"/>
  <c r="AM276" i="11"/>
  <c r="AM278" i="11" s="1"/>
  <c r="AM291" i="11"/>
  <c r="AP287" i="11"/>
  <c r="AQ286" i="11"/>
  <c r="AP288" i="11" l="1"/>
  <c r="AP318" i="11"/>
  <c r="AM290" i="11"/>
  <c r="AM317" i="11"/>
  <c r="AN266" i="11"/>
  <c r="AN243" i="11"/>
  <c r="AO201" i="11"/>
  <c r="AO220" i="11" s="1"/>
  <c r="AQ287" i="11"/>
  <c r="AR286" i="11"/>
  <c r="AP244" i="11"/>
  <c r="AP249" i="11"/>
  <c r="AP267" i="11" s="1"/>
  <c r="AQ226" i="11"/>
  <c r="AQ241" i="11" s="1"/>
  <c r="AQ319" i="11" s="1"/>
  <c r="AQ263" i="11"/>
  <c r="AR262" i="11"/>
  <c r="AP314" i="11"/>
  <c r="AP264" i="11"/>
  <c r="AO273" i="11"/>
  <c r="AO252" i="11"/>
  <c r="AO254" i="11" s="1"/>
  <c r="AN276" i="11"/>
  <c r="AN278" i="11" s="1"/>
  <c r="AN291" i="11"/>
  <c r="AN290" i="11" l="1"/>
  <c r="AN317" i="11"/>
  <c r="AQ288" i="11"/>
  <c r="AQ318" i="11"/>
  <c r="AO266" i="11"/>
  <c r="AR263" i="11"/>
  <c r="AS262" i="11"/>
  <c r="AQ264" i="11"/>
  <c r="AQ314" i="11"/>
  <c r="AR287" i="11"/>
  <c r="AS286" i="11"/>
  <c r="AO276" i="11"/>
  <c r="AO278" i="11" s="1"/>
  <c r="AO291" i="11"/>
  <c r="AQ249" i="11"/>
  <c r="AQ267" i="11" s="1"/>
  <c r="AQ244" i="11"/>
  <c r="AR226" i="11"/>
  <c r="AR241" i="11" s="1"/>
  <c r="AR319" i="11" s="1"/>
  <c r="AO243" i="11"/>
  <c r="AP201" i="11"/>
  <c r="AP220" i="11" s="1"/>
  <c r="AP273" i="11"/>
  <c r="AP252" i="11"/>
  <c r="AP254" i="11" s="1"/>
  <c r="AR288" i="11" l="1"/>
  <c r="AR318" i="11"/>
  <c r="AO290" i="11"/>
  <c r="AO317" i="11"/>
  <c r="AP276" i="11"/>
  <c r="AP278" i="11" s="1"/>
  <c r="AP291" i="11"/>
  <c r="AP266" i="11"/>
  <c r="AP243" i="11"/>
  <c r="AQ201" i="11"/>
  <c r="AQ220" i="11" s="1"/>
  <c r="AQ273" i="11"/>
  <c r="AQ252" i="11"/>
  <c r="AQ254" i="11" s="1"/>
  <c r="AS263" i="11"/>
  <c r="AT262" i="11"/>
  <c r="AR249" i="11"/>
  <c r="AR267" i="11" s="1"/>
  <c r="AR244" i="11"/>
  <c r="AS226" i="11"/>
  <c r="AS241" i="11" s="1"/>
  <c r="J195" i="2"/>
  <c r="AS287" i="11"/>
  <c r="AT286" i="11"/>
  <c r="AR264" i="11"/>
  <c r="AR314" i="11"/>
  <c r="AP290" i="11" l="1"/>
  <c r="AP317" i="11"/>
  <c r="AS288" i="11"/>
  <c r="AS318" i="11"/>
  <c r="AS319" i="11"/>
  <c r="J228" i="28" s="1"/>
  <c r="AQ276" i="11"/>
  <c r="AQ278" i="11" s="1"/>
  <c r="AQ291" i="11"/>
  <c r="AQ243" i="11"/>
  <c r="AR201" i="11"/>
  <c r="AR220" i="11" s="1"/>
  <c r="AR273" i="11"/>
  <c r="AR252" i="11"/>
  <c r="AR254" i="11" s="1"/>
  <c r="AT287" i="11"/>
  <c r="AU286" i="11"/>
  <c r="J195" i="28"/>
  <c r="J196" i="28" s="1"/>
  <c r="J197" i="28" s="1"/>
  <c r="J196" i="2"/>
  <c r="J197" i="2" s="1"/>
  <c r="AT263" i="11"/>
  <c r="AU262" i="11"/>
  <c r="AS244" i="11"/>
  <c r="AS249" i="11"/>
  <c r="AS267" i="11" s="1"/>
  <c r="AT226" i="11"/>
  <c r="AT241" i="11" s="1"/>
  <c r="AT319" i="11" s="1"/>
  <c r="AS314" i="11"/>
  <c r="AS264" i="11"/>
  <c r="AQ266" i="11"/>
  <c r="AQ290" i="11" l="1"/>
  <c r="AQ317" i="11"/>
  <c r="AT288" i="11"/>
  <c r="AT318" i="11"/>
  <c r="J228" i="2"/>
  <c r="AU263" i="11"/>
  <c r="AV262" i="11"/>
  <c r="AR276" i="11"/>
  <c r="AR278" i="11" s="1"/>
  <c r="AR291" i="11"/>
  <c r="J227" i="2"/>
  <c r="J227" i="28"/>
  <c r="AT314" i="11"/>
  <c r="AT264" i="11"/>
  <c r="AR266" i="11"/>
  <c r="AR243" i="11"/>
  <c r="AS201" i="11"/>
  <c r="AS220" i="11" s="1"/>
  <c r="AT244" i="11"/>
  <c r="AT249" i="11"/>
  <c r="AT267" i="11" s="1"/>
  <c r="AU226" i="11"/>
  <c r="AU241" i="11" s="1"/>
  <c r="AU319" i="11" s="1"/>
  <c r="AS273" i="11"/>
  <c r="AS252" i="11"/>
  <c r="AS254" i="11" s="1"/>
  <c r="AU287" i="11"/>
  <c r="AV286" i="11"/>
  <c r="AU288" i="11" l="1"/>
  <c r="AU318" i="11"/>
  <c r="AR290" i="11"/>
  <c r="AR317" i="11"/>
  <c r="AS266" i="11"/>
  <c r="AS243" i="11"/>
  <c r="AT201" i="11"/>
  <c r="AS276" i="11"/>
  <c r="AS278" i="11" s="1"/>
  <c r="J182" i="2"/>
  <c r="AS291" i="11"/>
  <c r="AV287" i="11"/>
  <c r="AW286" i="11"/>
  <c r="AU244" i="11"/>
  <c r="AU249" i="11"/>
  <c r="AV226" i="11"/>
  <c r="AV241" i="11" s="1"/>
  <c r="AV319" i="11" s="1"/>
  <c r="AV263" i="11"/>
  <c r="AW262" i="11"/>
  <c r="AT252" i="11"/>
  <c r="AT254" i="11" s="1"/>
  <c r="AT273" i="11"/>
  <c r="AU314" i="11"/>
  <c r="AU264" i="11"/>
  <c r="AV288" i="11" l="1"/>
  <c r="AV318" i="11"/>
  <c r="AS290" i="11"/>
  <c r="AS317" i="11"/>
  <c r="AT266" i="11"/>
  <c r="AW287" i="11"/>
  <c r="AX286" i="11"/>
  <c r="AU273" i="11"/>
  <c r="AU252" i="11"/>
  <c r="AU254" i="11" s="1"/>
  <c r="AV244" i="11"/>
  <c r="AV249" i="11"/>
  <c r="AV267" i="11" s="1"/>
  <c r="AW226" i="11"/>
  <c r="AW241" i="11" s="1"/>
  <c r="AW319" i="11" s="1"/>
  <c r="AT276" i="11"/>
  <c r="AT278" i="11" s="1"/>
  <c r="AT291" i="11"/>
  <c r="AV264" i="11"/>
  <c r="AV314" i="11"/>
  <c r="J185" i="2"/>
  <c r="J187" i="2" s="1"/>
  <c r="J199" i="2" s="1"/>
  <c r="J182" i="28"/>
  <c r="J201" i="2"/>
  <c r="K126" i="2"/>
  <c r="K153" i="2"/>
  <c r="AT220" i="11"/>
  <c r="AW263" i="11"/>
  <c r="AX262" i="11"/>
  <c r="AU267" i="11"/>
  <c r="AW288" i="11" l="1"/>
  <c r="AW318" i="11"/>
  <c r="AT290" i="11"/>
  <c r="AT317" i="11"/>
  <c r="J226" i="2"/>
  <c r="J226" i="28"/>
  <c r="AT243" i="11"/>
  <c r="AU201" i="11"/>
  <c r="AU220" i="11" s="1"/>
  <c r="K126" i="28"/>
  <c r="K145" i="28" s="1"/>
  <c r="K145" i="2"/>
  <c r="K168" i="2"/>
  <c r="K153" i="28"/>
  <c r="K168" i="28" s="1"/>
  <c r="J185" i="28"/>
  <c r="J201" i="28"/>
  <c r="AU276" i="11"/>
  <c r="AU278" i="11" s="1"/>
  <c r="AU291" i="11"/>
  <c r="AX263" i="11"/>
  <c r="AY262" i="11"/>
  <c r="AW249" i="11"/>
  <c r="AW244" i="11"/>
  <c r="AX226" i="11"/>
  <c r="AX241" i="11" s="1"/>
  <c r="AX319" i="11" s="1"/>
  <c r="AX287" i="11"/>
  <c r="AY286" i="11"/>
  <c r="AW314" i="11"/>
  <c r="AW264" i="11"/>
  <c r="AU266" i="11"/>
  <c r="AV273" i="11"/>
  <c r="AV252" i="11"/>
  <c r="AV254" i="11" s="1"/>
  <c r="AX288" i="11" l="1"/>
  <c r="AX318" i="11"/>
  <c r="AU290" i="11"/>
  <c r="AU317" i="11"/>
  <c r="J187" i="28"/>
  <c r="K202" i="28"/>
  <c r="AW273" i="11"/>
  <c r="AW252" i="11"/>
  <c r="AW254" i="11" s="1"/>
  <c r="K202" i="2"/>
  <c r="AY263" i="11"/>
  <c r="AZ262" i="11"/>
  <c r="AX314" i="11"/>
  <c r="AX264" i="11"/>
  <c r="AV276" i="11"/>
  <c r="AV278" i="11" s="1"/>
  <c r="AV291" i="11"/>
  <c r="AX244" i="11"/>
  <c r="AX249" i="11"/>
  <c r="AX267" i="11" s="1"/>
  <c r="AY226" i="11"/>
  <c r="AY241" i="11" s="1"/>
  <c r="AY319" i="11" s="1"/>
  <c r="AV266" i="11"/>
  <c r="AY287" i="11"/>
  <c r="AZ286" i="11"/>
  <c r="AW267" i="11"/>
  <c r="K200" i="2"/>
  <c r="K200" i="28"/>
  <c r="AU243" i="11"/>
  <c r="AV201" i="11"/>
  <c r="AV220" i="11" s="1"/>
  <c r="AY288" i="11" l="1"/>
  <c r="AY318" i="11"/>
  <c r="AV290" i="11"/>
  <c r="AV317" i="11"/>
  <c r="J199" i="28"/>
  <c r="AW266" i="11"/>
  <c r="AZ287" i="11"/>
  <c r="BA286" i="11"/>
  <c r="AY264" i="11"/>
  <c r="AY314" i="11"/>
  <c r="AV243" i="11"/>
  <c r="AW201" i="11"/>
  <c r="AW220" i="11" s="1"/>
  <c r="AW276" i="11"/>
  <c r="AW278" i="11" s="1"/>
  <c r="AW291" i="11"/>
  <c r="AY244" i="11"/>
  <c r="AY249" i="11"/>
  <c r="AZ226" i="11"/>
  <c r="AZ241" i="11" s="1"/>
  <c r="AZ319" i="11" s="1"/>
  <c r="AX252" i="11"/>
  <c r="AX254" i="11" s="1"/>
  <c r="AX273" i="11"/>
  <c r="AZ263" i="11"/>
  <c r="BA262" i="11"/>
  <c r="AZ288" i="11" l="1"/>
  <c r="AZ318" i="11"/>
  <c r="AW290" i="11"/>
  <c r="AW317" i="11"/>
  <c r="AW243" i="11"/>
  <c r="AX201" i="11"/>
  <c r="AX220" i="11" s="1"/>
  <c r="AZ264" i="11"/>
  <c r="AZ314" i="11"/>
  <c r="AY273" i="11"/>
  <c r="AY252" i="11"/>
  <c r="AY254" i="11" s="1"/>
  <c r="BA263" i="11"/>
  <c r="BB262" i="11"/>
  <c r="AY267" i="11"/>
  <c r="AX276" i="11"/>
  <c r="AX278" i="11" s="1"/>
  <c r="AX291" i="11"/>
  <c r="BA287" i="11"/>
  <c r="BB286" i="11"/>
  <c r="AZ244" i="11"/>
  <c r="AZ249" i="11"/>
  <c r="AZ267" i="11" s="1"/>
  <c r="BA226" i="11"/>
  <c r="BA241" i="11" s="1"/>
  <c r="BA319" i="11" s="1"/>
  <c r="AX266" i="11"/>
  <c r="AX290" i="11" l="1"/>
  <c r="AX317" i="11"/>
  <c r="BA288" i="11"/>
  <c r="BA318" i="11"/>
  <c r="BB287" i="11"/>
  <c r="BC286" i="11"/>
  <c r="AY276" i="11"/>
  <c r="AY278" i="11" s="1"/>
  <c r="AY291" i="11"/>
  <c r="AZ252" i="11"/>
  <c r="AZ254" i="11" s="1"/>
  <c r="AZ273" i="11"/>
  <c r="BA249" i="11"/>
  <c r="BA267" i="11" s="1"/>
  <c r="BA244" i="11"/>
  <c r="BB226" i="11"/>
  <c r="BB241" i="11" s="1"/>
  <c r="BB319" i="11" s="1"/>
  <c r="AY266" i="11"/>
  <c r="BB263" i="11"/>
  <c r="BC262" i="11"/>
  <c r="AX243" i="11"/>
  <c r="AY201" i="11"/>
  <c r="AY220" i="11" s="1"/>
  <c r="BA264" i="11"/>
  <c r="BA314" i="11"/>
  <c r="AY290" i="11" l="1"/>
  <c r="AY317" i="11"/>
  <c r="BB288" i="11"/>
  <c r="BB318" i="11"/>
  <c r="BB264" i="11"/>
  <c r="BB314" i="11"/>
  <c r="AZ276" i="11"/>
  <c r="AZ278" i="11" s="1"/>
  <c r="AZ291" i="11"/>
  <c r="BB244" i="11"/>
  <c r="BB249" i="11"/>
  <c r="BC226" i="11"/>
  <c r="BC241" i="11" s="1"/>
  <c r="BC319" i="11" s="1"/>
  <c r="AZ266" i="11"/>
  <c r="AY243" i="11"/>
  <c r="AZ201" i="11"/>
  <c r="AZ220" i="11" s="1"/>
  <c r="BC287" i="11"/>
  <c r="BD286" i="11"/>
  <c r="BC263" i="11"/>
  <c r="BD262" i="11"/>
  <c r="BA252" i="11"/>
  <c r="BA254" i="11" s="1"/>
  <c r="BA273" i="11"/>
  <c r="BC288" i="11" l="1"/>
  <c r="BC318" i="11"/>
  <c r="AZ290" i="11"/>
  <c r="AZ317" i="11"/>
  <c r="BA266" i="11"/>
  <c r="BA276" i="11"/>
  <c r="BA278" i="11" s="1"/>
  <c r="BA291" i="11"/>
  <c r="BB252" i="11"/>
  <c r="BB254" i="11" s="1"/>
  <c r="BB273" i="11"/>
  <c r="BC244" i="11"/>
  <c r="BC249" i="11"/>
  <c r="BD226" i="11"/>
  <c r="BD241" i="11" s="1"/>
  <c r="BD319" i="11" s="1"/>
  <c r="BD263" i="11"/>
  <c r="BE262" i="11"/>
  <c r="BC264" i="11"/>
  <c r="BC314" i="11"/>
  <c r="AZ243" i="11"/>
  <c r="BA201" i="11"/>
  <c r="BA220" i="11" s="1"/>
  <c r="BD287" i="11"/>
  <c r="BE286" i="11"/>
  <c r="BB267" i="11"/>
  <c r="BA290" i="11" l="1"/>
  <c r="BA317" i="11"/>
  <c r="BD288" i="11"/>
  <c r="BD318" i="11"/>
  <c r="BB266" i="11"/>
  <c r="K195" i="2"/>
  <c r="BE287" i="11"/>
  <c r="BF286" i="11"/>
  <c r="BB276" i="11"/>
  <c r="BB278" i="11" s="1"/>
  <c r="BB291" i="11"/>
  <c r="BC252" i="11"/>
  <c r="BC254" i="11" s="1"/>
  <c r="BC273" i="11"/>
  <c r="BE263" i="11"/>
  <c r="BF262" i="11"/>
  <c r="BA243" i="11"/>
  <c r="BB201" i="11"/>
  <c r="BB220" i="11" s="1"/>
  <c r="BD264" i="11"/>
  <c r="BD314" i="11"/>
  <c r="BD244" i="11"/>
  <c r="BD249" i="11"/>
  <c r="BD267" i="11" s="1"/>
  <c r="BE226" i="11"/>
  <c r="BE241" i="11" s="1"/>
  <c r="BE319" i="11" s="1"/>
  <c r="BC267" i="11"/>
  <c r="BE288" i="11" l="1"/>
  <c r="BE318" i="11"/>
  <c r="BB290" i="11"/>
  <c r="BB317" i="11"/>
  <c r="BC276" i="11"/>
  <c r="BC278" i="11" s="1"/>
  <c r="BC291" i="11"/>
  <c r="BF263" i="11"/>
  <c r="BG262" i="11"/>
  <c r="BF287" i="11"/>
  <c r="BG286" i="11"/>
  <c r="BE249" i="11"/>
  <c r="BE244" i="11"/>
  <c r="BF226" i="11"/>
  <c r="BF241" i="11" s="1"/>
  <c r="BF319" i="11" s="1"/>
  <c r="BD252" i="11"/>
  <c r="BD254" i="11" s="1"/>
  <c r="BD273" i="11"/>
  <c r="BB243" i="11"/>
  <c r="BC201" i="11"/>
  <c r="BC220" i="11" s="1"/>
  <c r="BE314" i="11"/>
  <c r="BE264" i="11"/>
  <c r="BC266" i="11"/>
  <c r="K196" i="2"/>
  <c r="K197" i="2" s="1"/>
  <c r="K195" i="28"/>
  <c r="K196" i="28" s="1"/>
  <c r="K197" i="28" s="1"/>
  <c r="BC290" i="11" l="1"/>
  <c r="BC317" i="11"/>
  <c r="BF288" i="11"/>
  <c r="BF318" i="11"/>
  <c r="BD266" i="11"/>
  <c r="BE252" i="11"/>
  <c r="BE254" i="11" s="1"/>
  <c r="BE273" i="11"/>
  <c r="BG287" i="11"/>
  <c r="BH286" i="11"/>
  <c r="BF249" i="11"/>
  <c r="BF244" i="11"/>
  <c r="BG226" i="11"/>
  <c r="BG241" i="11" s="1"/>
  <c r="BG319" i="11" s="1"/>
  <c r="BD276" i="11"/>
  <c r="BD278" i="11" s="1"/>
  <c r="BD291" i="11"/>
  <c r="BG263" i="11"/>
  <c r="BH262" i="11"/>
  <c r="BF264" i="11"/>
  <c r="BF314" i="11"/>
  <c r="K227" i="2"/>
  <c r="K227" i="28"/>
  <c r="K228" i="2"/>
  <c r="K228" i="28"/>
  <c r="BC243" i="11"/>
  <c r="BD201" i="11"/>
  <c r="BD220" i="11" s="1"/>
  <c r="BE267" i="11"/>
  <c r="BD290" i="11" l="1"/>
  <c r="BD317" i="11"/>
  <c r="BG288" i="11"/>
  <c r="BG318" i="11"/>
  <c r="BE266" i="11"/>
  <c r="BH263" i="11"/>
  <c r="BI262" i="11"/>
  <c r="BF273" i="11"/>
  <c r="BF252" i="11"/>
  <c r="BF254" i="11" s="1"/>
  <c r="BH287" i="11"/>
  <c r="BI286" i="11"/>
  <c r="BG314" i="11"/>
  <c r="BG264" i="11"/>
  <c r="BG249" i="11"/>
  <c r="BG267" i="11" s="1"/>
  <c r="BG244" i="11"/>
  <c r="BH226" i="11"/>
  <c r="BH241" i="11" s="1"/>
  <c r="BH319" i="11" s="1"/>
  <c r="BD243" i="11"/>
  <c r="BE201" i="11"/>
  <c r="BE220" i="11" s="1"/>
  <c r="BF267" i="11"/>
  <c r="BE276" i="11"/>
  <c r="BE278" i="11" s="1"/>
  <c r="K182" i="2"/>
  <c r="BE291" i="11"/>
  <c r="BE290" i="11" l="1"/>
  <c r="BE317" i="11"/>
  <c r="BH288" i="11"/>
  <c r="BH318" i="11"/>
  <c r="BF266" i="11"/>
  <c r="BH244" i="11"/>
  <c r="BH249" i="11"/>
  <c r="BI226" i="11"/>
  <c r="BI241" i="11" s="1"/>
  <c r="BI319" i="11" s="1"/>
  <c r="BI263" i="11"/>
  <c r="BJ262" i="11"/>
  <c r="K185" i="2"/>
  <c r="K187" i="2" s="1"/>
  <c r="K199" i="2" s="1"/>
  <c r="K182" i="28"/>
  <c r="K201" i="2"/>
  <c r="BI287" i="11"/>
  <c r="BJ286" i="11"/>
  <c r="BE243" i="11"/>
  <c r="BF201" i="11"/>
  <c r="BG273" i="11"/>
  <c r="BG252" i="11"/>
  <c r="BG254" i="11" s="1"/>
  <c r="BF276" i="11"/>
  <c r="BF278" i="11" s="1"/>
  <c r="BF291" i="11"/>
  <c r="BH314" i="11"/>
  <c r="BH264" i="11"/>
  <c r="BI288" i="11" l="1"/>
  <c r="BI318" i="11"/>
  <c r="BF290" i="11"/>
  <c r="BF317" i="11"/>
  <c r="K226" i="2"/>
  <c r="K226" i="28"/>
  <c r="BJ263" i="11"/>
  <c r="BK262" i="11"/>
  <c r="BI314" i="11"/>
  <c r="BI264" i="11"/>
  <c r="BG266" i="11"/>
  <c r="BJ287" i="11"/>
  <c r="BK286" i="11"/>
  <c r="BI249" i="11"/>
  <c r="BI267" i="11" s="1"/>
  <c r="BI244" i="11"/>
  <c r="BJ226" i="11"/>
  <c r="BJ241" i="11" s="1"/>
  <c r="BJ319" i="11" s="1"/>
  <c r="BH273" i="11"/>
  <c r="BH252" i="11"/>
  <c r="BH254" i="11" s="1"/>
  <c r="L153" i="2"/>
  <c r="L126" i="2"/>
  <c r="BF220" i="11"/>
  <c r="BH267" i="11"/>
  <c r="K185" i="28"/>
  <c r="K201" i="28"/>
  <c r="BG276" i="11"/>
  <c r="BG278" i="11" s="1"/>
  <c r="BG291" i="11"/>
  <c r="BG290" i="11" l="1"/>
  <c r="BG317" i="11"/>
  <c r="BJ288" i="11"/>
  <c r="BJ318" i="11"/>
  <c r="K187" i="28"/>
  <c r="BF243" i="11"/>
  <c r="BG201" i="11"/>
  <c r="BG220" i="11" s="1"/>
  <c r="L145" i="2"/>
  <c r="L126" i="28"/>
  <c r="L145" i="28" s="1"/>
  <c r="L168" i="2"/>
  <c r="L153" i="28"/>
  <c r="L168" i="28" s="1"/>
  <c r="BI252" i="11"/>
  <c r="BI254" i="11" s="1"/>
  <c r="BI273" i="11"/>
  <c r="BJ249" i="11"/>
  <c r="BJ244" i="11"/>
  <c r="BK226" i="11"/>
  <c r="BK241" i="11" s="1"/>
  <c r="BK319" i="11" s="1"/>
  <c r="BK263" i="11"/>
  <c r="BL262" i="11"/>
  <c r="BH266" i="11"/>
  <c r="BH276" i="11"/>
  <c r="BH278" i="11" s="1"/>
  <c r="BH291" i="11"/>
  <c r="BK287" i="11"/>
  <c r="BL286" i="11"/>
  <c r="BJ314" i="11"/>
  <c r="BJ264" i="11"/>
  <c r="BH290" i="11" l="1"/>
  <c r="BH317" i="11"/>
  <c r="BK288" i="11"/>
  <c r="BK318" i="11"/>
  <c r="K199" i="28"/>
  <c r="BI266" i="11"/>
  <c r="BK249" i="11"/>
  <c r="BK267" i="11" s="1"/>
  <c r="BK244" i="11"/>
  <c r="BL226" i="11"/>
  <c r="BL241" i="11" s="1"/>
  <c r="BL319" i="11" s="1"/>
  <c r="L200" i="28"/>
  <c r="L202" i="28"/>
  <c r="L200" i="2"/>
  <c r="L202" i="2"/>
  <c r="BJ273" i="11"/>
  <c r="BJ252" i="11"/>
  <c r="BJ254" i="11" s="1"/>
  <c r="BG243" i="11"/>
  <c r="BH201" i="11"/>
  <c r="BH220" i="11" s="1"/>
  <c r="BJ267" i="11"/>
  <c r="BL287" i="11"/>
  <c r="BM286" i="11"/>
  <c r="BL263" i="11"/>
  <c r="BM262" i="11"/>
  <c r="BI276" i="11"/>
  <c r="BI278" i="11" s="1"/>
  <c r="BI291" i="11"/>
  <c r="BK264" i="11"/>
  <c r="BK314" i="11"/>
  <c r="BL288" i="11" l="1"/>
  <c r="BL318" i="11"/>
  <c r="BI290" i="11"/>
  <c r="BI317" i="11"/>
  <c r="BL264" i="11"/>
  <c r="BL314" i="11"/>
  <c r="BM287" i="11"/>
  <c r="BN286" i="11"/>
  <c r="BJ276" i="11"/>
  <c r="BJ278" i="11" s="1"/>
  <c r="BJ291" i="11"/>
  <c r="BH243" i="11"/>
  <c r="BI201" i="11"/>
  <c r="BI220" i="11" s="1"/>
  <c r="BJ266" i="11"/>
  <c r="BM263" i="11"/>
  <c r="BN262" i="11"/>
  <c r="BL249" i="11"/>
  <c r="BL267" i="11" s="1"/>
  <c r="BL244" i="11"/>
  <c r="BM226" i="11"/>
  <c r="BM241" i="11" s="1"/>
  <c r="BM319" i="11" s="1"/>
  <c r="BK252" i="11"/>
  <c r="BK254" i="11" s="1"/>
  <c r="BK273" i="11"/>
  <c r="BM288" i="11" l="1"/>
  <c r="BM318" i="11"/>
  <c r="BJ290" i="11"/>
  <c r="BJ317" i="11"/>
  <c r="BK276" i="11"/>
  <c r="BK278" i="11" s="1"/>
  <c r="BK291" i="11"/>
  <c r="BN263" i="11"/>
  <c r="BO262" i="11"/>
  <c r="BK266" i="11"/>
  <c r="BM314" i="11"/>
  <c r="BM264" i="11"/>
  <c r="BM249" i="11"/>
  <c r="BM267" i="11" s="1"/>
  <c r="BM244" i="11"/>
  <c r="BN226" i="11"/>
  <c r="BN241" i="11" s="1"/>
  <c r="BN319" i="11" s="1"/>
  <c r="BI243" i="11"/>
  <c r="BJ201" i="11"/>
  <c r="BJ220" i="11" s="1"/>
  <c r="BL273" i="11"/>
  <c r="BL252" i="11"/>
  <c r="BL254" i="11" s="1"/>
  <c r="BN287" i="11"/>
  <c r="BO286" i="11"/>
  <c r="BK290" i="11" l="1"/>
  <c r="BK317" i="11"/>
  <c r="BN288" i="11"/>
  <c r="BN318" i="11"/>
  <c r="BL266" i="11"/>
  <c r="BO287" i="11"/>
  <c r="BP286" i="11"/>
  <c r="BO263" i="11"/>
  <c r="BP262" i="11"/>
  <c r="BN264" i="11"/>
  <c r="BN314" i="11"/>
  <c r="BL276" i="11"/>
  <c r="BL278" i="11" s="1"/>
  <c r="BL291" i="11"/>
  <c r="BJ243" i="11"/>
  <c r="BK201" i="11"/>
  <c r="BK220" i="11" s="1"/>
  <c r="BN249" i="11"/>
  <c r="BN244" i="11"/>
  <c r="BO226" i="11"/>
  <c r="BO241" i="11" s="1"/>
  <c r="BO319" i="11" s="1"/>
  <c r="BM273" i="11"/>
  <c r="BM252" i="11"/>
  <c r="BM254" i="11" s="1"/>
  <c r="BL290" i="11" l="1"/>
  <c r="BL317" i="11"/>
  <c r="BO288" i="11"/>
  <c r="BO318" i="11"/>
  <c r="BN273" i="11"/>
  <c r="BN252" i="11"/>
  <c r="BN254" i="11" s="1"/>
  <c r="BM266" i="11"/>
  <c r="BP263" i="11"/>
  <c r="BQ262" i="11"/>
  <c r="BK243" i="11"/>
  <c r="BL201" i="11"/>
  <c r="BL220" i="11" s="1"/>
  <c r="BO249" i="11"/>
  <c r="BO267" i="11" s="1"/>
  <c r="BO244" i="11"/>
  <c r="BP226" i="11"/>
  <c r="BP241" i="11" s="1"/>
  <c r="BP319" i="11" s="1"/>
  <c r="BO314" i="11"/>
  <c r="BO264" i="11"/>
  <c r="BM276" i="11"/>
  <c r="BM278" i="11" s="1"/>
  <c r="BM291" i="11"/>
  <c r="BP287" i="11"/>
  <c r="BQ286" i="11"/>
  <c r="BN267" i="11"/>
  <c r="BP288" i="11" l="1"/>
  <c r="BP318" i="11"/>
  <c r="BM290" i="11"/>
  <c r="BM317" i="11"/>
  <c r="BN266" i="11"/>
  <c r="BQ263" i="11"/>
  <c r="BR262" i="11"/>
  <c r="L195" i="2"/>
  <c r="BQ287" i="11"/>
  <c r="BR286" i="11"/>
  <c r="BP249" i="11"/>
  <c r="BP244" i="11"/>
  <c r="BQ226" i="11"/>
  <c r="BQ241" i="11" s="1"/>
  <c r="BQ319" i="11" s="1"/>
  <c r="BL243" i="11"/>
  <c r="BM201" i="11"/>
  <c r="BM220" i="11" s="1"/>
  <c r="BP314" i="11"/>
  <c r="BP264" i="11"/>
  <c r="BO273" i="11"/>
  <c r="BO252" i="11"/>
  <c r="BO254" i="11" s="1"/>
  <c r="BN276" i="11"/>
  <c r="BN278" i="11" s="1"/>
  <c r="BN291" i="11"/>
  <c r="BN290" i="11" l="1"/>
  <c r="BN317" i="11"/>
  <c r="BQ288" i="11"/>
  <c r="BQ318" i="11"/>
  <c r="BM243" i="11"/>
  <c r="BN201" i="11"/>
  <c r="BN220" i="11" s="1"/>
  <c r="BO276" i="11"/>
  <c r="BO278" i="11" s="1"/>
  <c r="BO291" i="11"/>
  <c r="BP273" i="11"/>
  <c r="BP252" i="11"/>
  <c r="BP254" i="11" s="1"/>
  <c r="BR287" i="11"/>
  <c r="BS286" i="11"/>
  <c r="BQ244" i="11"/>
  <c r="BQ249" i="11"/>
  <c r="BQ267" i="11" s="1"/>
  <c r="BR226" i="11"/>
  <c r="BR241" i="11" s="1"/>
  <c r="BR319" i="11" s="1"/>
  <c r="BO266" i="11"/>
  <c r="BR263" i="11"/>
  <c r="BS262" i="11"/>
  <c r="L196" i="2"/>
  <c r="L197" i="2" s="1"/>
  <c r="L195" i="28"/>
  <c r="L196" i="28" s="1"/>
  <c r="L197" i="28" s="1"/>
  <c r="BP267" i="11"/>
  <c r="BQ314" i="11"/>
  <c r="BQ264" i="11"/>
  <c r="BO290" i="11" l="1"/>
  <c r="BO317" i="11"/>
  <c r="BR288" i="11"/>
  <c r="BR318" i="11"/>
  <c r="BP266" i="11"/>
  <c r="BR249" i="11"/>
  <c r="BR267" i="11" s="1"/>
  <c r="BR244" i="11"/>
  <c r="BS226" i="11"/>
  <c r="BS241" i="11" s="1"/>
  <c r="BS319" i="11" s="1"/>
  <c r="BP276" i="11"/>
  <c r="BP278" i="11" s="1"/>
  <c r="BP291" i="11"/>
  <c r="L228" i="2"/>
  <c r="L228" i="28"/>
  <c r="L227" i="28"/>
  <c r="L227" i="2"/>
  <c r="BS287" i="11"/>
  <c r="BT286" i="11"/>
  <c r="BS263" i="11"/>
  <c r="BT262" i="11"/>
  <c r="BN243" i="11"/>
  <c r="BO201" i="11"/>
  <c r="BO220" i="11" s="1"/>
  <c r="BQ252" i="11"/>
  <c r="BQ254" i="11" s="1"/>
  <c r="BQ273" i="11"/>
  <c r="BR264" i="11"/>
  <c r="BR314" i="11"/>
  <c r="BP290" i="11" l="1"/>
  <c r="BP317" i="11"/>
  <c r="BS288" i="11"/>
  <c r="BS318" i="11"/>
  <c r="BQ266" i="11"/>
  <c r="BT287" i="11"/>
  <c r="BU286" i="11"/>
  <c r="BS264" i="11"/>
  <c r="BS314" i="11"/>
  <c r="BR252" i="11"/>
  <c r="BR254" i="11" s="1"/>
  <c r="BR273" i="11"/>
  <c r="BS244" i="11"/>
  <c r="BS249" i="11"/>
  <c r="BS267" i="11" s="1"/>
  <c r="BT226" i="11"/>
  <c r="BT241" i="11" s="1"/>
  <c r="BT319" i="11" s="1"/>
  <c r="L182" i="2"/>
  <c r="BQ276" i="11"/>
  <c r="BQ278" i="11" s="1"/>
  <c r="BQ291" i="11"/>
  <c r="BO243" i="11"/>
  <c r="BP201" i="11"/>
  <c r="BP220" i="11" s="1"/>
  <c r="BT263" i="11"/>
  <c r="BU262" i="11"/>
  <c r="BT288" i="11" l="1"/>
  <c r="BT318" i="11"/>
  <c r="BQ290" i="11"/>
  <c r="BQ317" i="11"/>
  <c r="BT314" i="11"/>
  <c r="BT264" i="11"/>
  <c r="BR266" i="11"/>
  <c r="BU287" i="11"/>
  <c r="BV286" i="11"/>
  <c r="BT244" i="11"/>
  <c r="BT249" i="11"/>
  <c r="BU226" i="11"/>
  <c r="BU241" i="11" s="1"/>
  <c r="BU319" i="11" s="1"/>
  <c r="BP243" i="11"/>
  <c r="BQ201" i="11"/>
  <c r="BQ220" i="11" s="1"/>
  <c r="BS252" i="11"/>
  <c r="BS254" i="11" s="1"/>
  <c r="BS273" i="11"/>
  <c r="BU263" i="11"/>
  <c r="BV262" i="11"/>
  <c r="L182" i="28"/>
  <c r="L185" i="2"/>
  <c r="L187" i="2" s="1"/>
  <c r="L199" i="2" s="1"/>
  <c r="L201" i="2"/>
  <c r="BR276" i="11"/>
  <c r="BR278" i="11" s="1"/>
  <c r="BR291" i="11"/>
  <c r="BR290" i="11" l="1"/>
  <c r="BR317" i="11"/>
  <c r="L226" i="2"/>
  <c r="L226" i="28"/>
  <c r="BU288" i="11"/>
  <c r="BU318" i="11"/>
  <c r="BS266" i="11"/>
  <c r="BU244" i="11"/>
  <c r="BU249" i="11"/>
  <c r="BV226" i="11"/>
  <c r="BV241" i="11" s="1"/>
  <c r="BV319" i="11" s="1"/>
  <c r="BQ243" i="11"/>
  <c r="BR201" i="11"/>
  <c r="BT252" i="11"/>
  <c r="BT254" i="11" s="1"/>
  <c r="BT273" i="11"/>
  <c r="BV263" i="11"/>
  <c r="BW262" i="11"/>
  <c r="BU314" i="11"/>
  <c r="BU264" i="11"/>
  <c r="BS276" i="11"/>
  <c r="BS278" i="11" s="1"/>
  <c r="BS291" i="11"/>
  <c r="BT267" i="11"/>
  <c r="BV287" i="11"/>
  <c r="BW286" i="11"/>
  <c r="L185" i="28"/>
  <c r="L201" i="28"/>
  <c r="BV288" i="11" l="1"/>
  <c r="BV318" i="11"/>
  <c r="BS290" i="11"/>
  <c r="BS317" i="11"/>
  <c r="L187" i="28"/>
  <c r="BT266" i="11"/>
  <c r="BV244" i="11"/>
  <c r="BV249" i="11"/>
  <c r="BW226" i="11"/>
  <c r="BW241" i="11" s="1"/>
  <c r="BW319" i="11" s="1"/>
  <c r="BW287" i="11"/>
  <c r="BX286" i="11"/>
  <c r="BU273" i="11"/>
  <c r="BU252" i="11"/>
  <c r="BU254" i="11" s="1"/>
  <c r="BV314" i="11"/>
  <c r="BV264" i="11"/>
  <c r="BW263" i="11"/>
  <c r="BX262" i="11"/>
  <c r="BT276" i="11"/>
  <c r="BT278" i="11" s="1"/>
  <c r="BT291" i="11"/>
  <c r="M126" i="2"/>
  <c r="M153" i="2"/>
  <c r="BR220" i="11"/>
  <c r="BU267" i="11"/>
  <c r="BT290" i="11" l="1"/>
  <c r="BT317" i="11"/>
  <c r="BW288" i="11"/>
  <c r="BW318" i="11"/>
  <c r="L199" i="28"/>
  <c r="BU266" i="11"/>
  <c r="BW249" i="11"/>
  <c r="BW244" i="11"/>
  <c r="BX226" i="11"/>
  <c r="BX241" i="11" s="1"/>
  <c r="BX319" i="11" s="1"/>
  <c r="BX287" i="11"/>
  <c r="BY286" i="11"/>
  <c r="BR243" i="11"/>
  <c r="BS201" i="11"/>
  <c r="BS220" i="11" s="1"/>
  <c r="M126" i="28"/>
  <c r="M145" i="28" s="1"/>
  <c r="M145" i="2"/>
  <c r="M168" i="2"/>
  <c r="M153" i="28"/>
  <c r="M168" i="28" s="1"/>
  <c r="BV252" i="11"/>
  <c r="BV254" i="11" s="1"/>
  <c r="BV273" i="11"/>
  <c r="BU276" i="11"/>
  <c r="BU278" i="11" s="1"/>
  <c r="BU291" i="11"/>
  <c r="BW314" i="11"/>
  <c r="BW264" i="11"/>
  <c r="BX263" i="11"/>
  <c r="BY262" i="11"/>
  <c r="BV267" i="11"/>
  <c r="BX288" i="11" l="1"/>
  <c r="BX318" i="11"/>
  <c r="BU290" i="11"/>
  <c r="BU317" i="11"/>
  <c r="BX244" i="11"/>
  <c r="BX249" i="11"/>
  <c r="BX267" i="11" s="1"/>
  <c r="BY226" i="11"/>
  <c r="BY241" i="11" s="1"/>
  <c r="BY319" i="11" s="1"/>
  <c r="M200" i="2"/>
  <c r="M202" i="28"/>
  <c r="M202" i="2"/>
  <c r="BS243" i="11"/>
  <c r="BT201" i="11"/>
  <c r="BT220" i="11" s="1"/>
  <c r="BW273" i="11"/>
  <c r="BW252" i="11"/>
  <c r="BW254" i="11" s="1"/>
  <c r="BW267" i="11"/>
  <c r="M200" i="28"/>
  <c r="BY263" i="11"/>
  <c r="BZ262" i="11"/>
  <c r="BX314" i="11"/>
  <c r="BX264" i="11"/>
  <c r="BV276" i="11"/>
  <c r="BV278" i="11" s="1"/>
  <c r="BV291" i="11"/>
  <c r="BY287" i="11"/>
  <c r="BZ286" i="11"/>
  <c r="BV266" i="11"/>
  <c r="BY288" i="11" l="1"/>
  <c r="BY318" i="11"/>
  <c r="BV290" i="11"/>
  <c r="BV317" i="11"/>
  <c r="BY249" i="11"/>
  <c r="BY267" i="11" s="1"/>
  <c r="BY244" i="11"/>
  <c r="BZ226" i="11"/>
  <c r="BZ241" i="11" s="1"/>
  <c r="BZ319" i="11" s="1"/>
  <c r="BX252" i="11"/>
  <c r="BX254" i="11" s="1"/>
  <c r="BX273" i="11"/>
  <c r="BT243" i="11"/>
  <c r="BU201" i="11"/>
  <c r="BU220" i="11" s="1"/>
  <c r="BZ287" i="11"/>
  <c r="CA286" i="11"/>
  <c r="BW266" i="11"/>
  <c r="BW276" i="11"/>
  <c r="BW278" i="11" s="1"/>
  <c r="BW291" i="11"/>
  <c r="BZ263" i="11"/>
  <c r="CA262" i="11"/>
  <c r="BY264" i="11"/>
  <c r="BY314" i="11"/>
  <c r="BW290" i="11" l="1"/>
  <c r="BW317" i="11"/>
  <c r="BZ288" i="11"/>
  <c r="BZ318" i="11"/>
  <c r="BX266" i="11"/>
  <c r="BZ249" i="11"/>
  <c r="BZ267" i="11" s="1"/>
  <c r="BZ244" i="11"/>
  <c r="CA226" i="11"/>
  <c r="CA241" i="11" s="1"/>
  <c r="CA319" i="11" s="1"/>
  <c r="BX276" i="11"/>
  <c r="BX278" i="11" s="1"/>
  <c r="BX291" i="11"/>
  <c r="BU243" i="11"/>
  <c r="BV201" i="11"/>
  <c r="BV220" i="11" s="1"/>
  <c r="CA287" i="11"/>
  <c r="CB286" i="11"/>
  <c r="CA263" i="11"/>
  <c r="CB262" i="11"/>
  <c r="BZ314" i="11"/>
  <c r="BZ264" i="11"/>
  <c r="BY252" i="11"/>
  <c r="BY254" i="11" s="1"/>
  <c r="BY273" i="11"/>
  <c r="CA288" i="11" l="1"/>
  <c r="CA318" i="11"/>
  <c r="BX290" i="11"/>
  <c r="BX317" i="11"/>
  <c r="BY266" i="11"/>
  <c r="CA244" i="11"/>
  <c r="CA249" i="11"/>
  <c r="CA267" i="11" s="1"/>
  <c r="CB226" i="11"/>
  <c r="CB241" i="11" s="1"/>
  <c r="CB319" i="11" s="1"/>
  <c r="CB287" i="11"/>
  <c r="CC286" i="11"/>
  <c r="CB263" i="11"/>
  <c r="CC262" i="11"/>
  <c r="CA314" i="11"/>
  <c r="CA264" i="11"/>
  <c r="BY276" i="11"/>
  <c r="BY278" i="11" s="1"/>
  <c r="BY291" i="11"/>
  <c r="BZ273" i="11"/>
  <c r="BZ252" i="11"/>
  <c r="BZ254" i="11" s="1"/>
  <c r="BV243" i="11"/>
  <c r="BW201" i="11"/>
  <c r="BW220" i="11" s="1"/>
  <c r="CB288" i="11" l="1"/>
  <c r="CB318" i="11"/>
  <c r="BY290" i="11"/>
  <c r="BY317" i="11"/>
  <c r="CB244" i="11"/>
  <c r="CB249" i="11"/>
  <c r="CB267" i="11" s="1"/>
  <c r="CC226" i="11"/>
  <c r="CC241" i="11" s="1"/>
  <c r="CC319" i="11" s="1"/>
  <c r="CC263" i="11"/>
  <c r="CD262" i="11"/>
  <c r="CA273" i="11"/>
  <c r="CA252" i="11"/>
  <c r="CA254" i="11" s="1"/>
  <c r="BZ276" i="11"/>
  <c r="BZ278" i="11" s="1"/>
  <c r="BZ291" i="11"/>
  <c r="CB314" i="11"/>
  <c r="CB264" i="11"/>
  <c r="M195" i="2"/>
  <c r="CC287" i="11"/>
  <c r="CD286" i="11"/>
  <c r="BW243" i="11"/>
  <c r="BX201" i="11"/>
  <c r="BX220" i="11" s="1"/>
  <c r="BZ266" i="11"/>
  <c r="BZ290" i="11" l="1"/>
  <c r="BZ317" i="11"/>
  <c r="CC288" i="11"/>
  <c r="CC318" i="11"/>
  <c r="CA266" i="11"/>
  <c r="CC249" i="11"/>
  <c r="CC244" i="11"/>
  <c r="CD226" i="11"/>
  <c r="CD241" i="11" s="1"/>
  <c r="CD319" i="11" s="1"/>
  <c r="CD263" i="11"/>
  <c r="CE262" i="11"/>
  <c r="BX243" i="11"/>
  <c r="BY201" i="11"/>
  <c r="BY220" i="11" s="1"/>
  <c r="CD287" i="11"/>
  <c r="CE286" i="11"/>
  <c r="CB252" i="11"/>
  <c r="CB254" i="11" s="1"/>
  <c r="CB273" i="11"/>
  <c r="CC264" i="11"/>
  <c r="CC314" i="11"/>
  <c r="M196" i="2"/>
  <c r="M197" i="2" s="1"/>
  <c r="M195" i="28"/>
  <c r="M196" i="28" s="1"/>
  <c r="M197" i="28" s="1"/>
  <c r="CA276" i="11"/>
  <c r="CA278" i="11" s="1"/>
  <c r="CA291" i="11"/>
  <c r="CA290" i="11" l="1"/>
  <c r="CA317" i="11"/>
  <c r="CD288" i="11"/>
  <c r="CD318" i="11"/>
  <c r="CB266" i="11"/>
  <c r="CE263" i="11"/>
  <c r="CF262" i="11"/>
  <c r="CB276" i="11"/>
  <c r="CB278" i="11" s="1"/>
  <c r="CB291" i="11"/>
  <c r="CD249" i="11"/>
  <c r="CD267" i="11" s="1"/>
  <c r="CD244" i="11"/>
  <c r="CE226" i="11"/>
  <c r="CE241" i="11" s="1"/>
  <c r="CE319" i="11" s="1"/>
  <c r="CD314" i="11"/>
  <c r="CD264" i="11"/>
  <c r="BY243" i="11"/>
  <c r="BZ201" i="11"/>
  <c r="BZ220" i="11" s="1"/>
  <c r="M228" i="28"/>
  <c r="M228" i="2"/>
  <c r="M227" i="2"/>
  <c r="M227" i="28"/>
  <c r="CE287" i="11"/>
  <c r="CF286" i="11"/>
  <c r="CC252" i="11"/>
  <c r="CC254" i="11" s="1"/>
  <c r="CC273" i="11"/>
  <c r="CC267" i="11"/>
  <c r="CE288" i="11" l="1"/>
  <c r="CE318" i="11"/>
  <c r="CB290" i="11"/>
  <c r="CB317" i="11"/>
  <c r="CC266" i="11"/>
  <c r="M182" i="2"/>
  <c r="CC276" i="11"/>
  <c r="CC278" i="11" s="1"/>
  <c r="CC291" i="11"/>
  <c r="CG286" i="11"/>
  <c r="CF287" i="11"/>
  <c r="CD273" i="11"/>
  <c r="CD252" i="11"/>
  <c r="CD254" i="11" s="1"/>
  <c r="BZ243" i="11"/>
  <c r="CA201" i="11"/>
  <c r="CA220" i="11" s="1"/>
  <c r="CE249" i="11"/>
  <c r="CE244" i="11"/>
  <c r="CF226" i="11"/>
  <c r="CF241" i="11" s="1"/>
  <c r="CF319" i="11" s="1"/>
  <c r="CF263" i="11"/>
  <c r="CG262" i="11"/>
  <c r="CE314" i="11"/>
  <c r="CE264" i="11"/>
  <c r="CC290" i="11" l="1"/>
  <c r="CC317" i="11"/>
  <c r="CF288" i="11"/>
  <c r="CF318" i="11"/>
  <c r="CD266" i="11"/>
  <c r="CD276" i="11"/>
  <c r="CD278" i="11" s="1"/>
  <c r="CD291" i="11"/>
  <c r="CE273" i="11"/>
  <c r="CE252" i="11"/>
  <c r="CE254" i="11" s="1"/>
  <c r="CG287" i="11"/>
  <c r="CH286" i="11"/>
  <c r="CF249" i="11"/>
  <c r="CF267" i="11" s="1"/>
  <c r="CF244" i="11"/>
  <c r="CG226" i="11"/>
  <c r="CG241" i="11" s="1"/>
  <c r="CG319" i="11" s="1"/>
  <c r="CA243" i="11"/>
  <c r="CB201" i="11"/>
  <c r="CB220" i="11" s="1"/>
  <c r="CG263" i="11"/>
  <c r="CH262" i="11"/>
  <c r="CF314" i="11"/>
  <c r="CF264" i="11"/>
  <c r="CE267" i="11"/>
  <c r="M185" i="2"/>
  <c r="M187" i="2" s="1"/>
  <c r="M199" i="2" s="1"/>
  <c r="M182" i="28"/>
  <c r="M201" i="2"/>
  <c r="CG288" i="11" l="1"/>
  <c r="CG318" i="11"/>
  <c r="M226" i="2"/>
  <c r="M226" i="28"/>
  <c r="CD290" i="11"/>
  <c r="CD317" i="11"/>
  <c r="CE266" i="11"/>
  <c r="CE276" i="11"/>
  <c r="CE278" i="11" s="1"/>
  <c r="CE291" i="11"/>
  <c r="CG249" i="11"/>
  <c r="CG267" i="11" s="1"/>
  <c r="CG244" i="11"/>
  <c r="CH226" i="11"/>
  <c r="CH241" i="11" s="1"/>
  <c r="CH319" i="11" s="1"/>
  <c r="CB243" i="11"/>
  <c r="CC201" i="11"/>
  <c r="CC220" i="11" s="1"/>
  <c r="CH263" i="11"/>
  <c r="CI262" i="11"/>
  <c r="CH287" i="11"/>
  <c r="CI286" i="11"/>
  <c r="M185" i="28"/>
  <c r="M201" i="28"/>
  <c r="CG314" i="11"/>
  <c r="CG264" i="11"/>
  <c r="CF252" i="11"/>
  <c r="CF254" i="11" s="1"/>
  <c r="CF273" i="11"/>
  <c r="CH288" i="11" l="1"/>
  <c r="CH318" i="11"/>
  <c r="CE290" i="11"/>
  <c r="CE317" i="11"/>
  <c r="M187" i="28"/>
  <c r="CF276" i="11"/>
  <c r="CF278" i="11" s="1"/>
  <c r="CF291" i="11"/>
  <c r="CI287" i="11"/>
  <c r="CJ286" i="11"/>
  <c r="CC243" i="11"/>
  <c r="CD201" i="11"/>
  <c r="CG252" i="11"/>
  <c r="CG254" i="11" s="1"/>
  <c r="CG273" i="11"/>
  <c r="CI263" i="11"/>
  <c r="CJ262" i="11"/>
  <c r="CH314" i="11"/>
  <c r="CH264" i="11"/>
  <c r="CF266" i="11"/>
  <c r="CH249" i="11"/>
  <c r="CH267" i="11" s="1"/>
  <c r="CH244" i="11"/>
  <c r="CI226" i="11"/>
  <c r="CI241" i="11" s="1"/>
  <c r="CI319" i="11" s="1"/>
  <c r="CF290" i="11" l="1"/>
  <c r="CF317" i="11"/>
  <c r="CI288" i="11"/>
  <c r="CI318" i="11"/>
  <c r="M199" i="28"/>
  <c r="CI249" i="11"/>
  <c r="CI267" i="11" s="1"/>
  <c r="CI244" i="11"/>
  <c r="CJ226" i="11"/>
  <c r="CJ241" i="11" s="1"/>
  <c r="CJ319" i="11" s="1"/>
  <c r="N126" i="2"/>
  <c r="N153" i="2"/>
  <c r="CD220" i="11"/>
  <c r="CJ287" i="11"/>
  <c r="CK286" i="11"/>
  <c r="CJ263" i="11"/>
  <c r="CK262" i="11"/>
  <c r="CH252" i="11"/>
  <c r="CH254" i="11" s="1"/>
  <c r="CH273" i="11"/>
  <c r="CI264" i="11"/>
  <c r="CI314" i="11"/>
  <c r="CG266" i="11"/>
  <c r="CG276" i="11"/>
  <c r="CG278" i="11" s="1"/>
  <c r="CG291" i="11"/>
  <c r="CJ288" i="11" l="1"/>
  <c r="CJ318" i="11"/>
  <c r="CG290" i="11"/>
  <c r="CG317" i="11"/>
  <c r="CH276" i="11"/>
  <c r="CH278" i="11" s="1"/>
  <c r="CH291" i="11"/>
  <c r="CJ249" i="11"/>
  <c r="CJ244" i="11"/>
  <c r="CK226" i="11"/>
  <c r="CK241" i="11" s="1"/>
  <c r="CK319" i="11" s="1"/>
  <c r="CJ264" i="11"/>
  <c r="CJ314" i="11"/>
  <c r="CK263" i="11"/>
  <c r="CL262" i="11"/>
  <c r="N126" i="28"/>
  <c r="N145" i="28" s="1"/>
  <c r="N145" i="2"/>
  <c r="CK287" i="11"/>
  <c r="CL286" i="11"/>
  <c r="CD243" i="11"/>
  <c r="CE201" i="11"/>
  <c r="CE220" i="11" s="1"/>
  <c r="CI252" i="11"/>
  <c r="CI254" i="11" s="1"/>
  <c r="CI273" i="11"/>
  <c r="N168" i="2"/>
  <c r="N153" i="28"/>
  <c r="N168" i="28" s="1"/>
  <c r="CH266" i="11"/>
  <c r="CH290" i="11" l="1"/>
  <c r="CH317" i="11"/>
  <c r="CK288" i="11"/>
  <c r="CK318" i="11"/>
  <c r="N200" i="2"/>
  <c r="N200" i="28"/>
  <c r="CK314" i="11"/>
  <c r="CK264" i="11"/>
  <c r="CI276" i="11"/>
  <c r="CI278" i="11" s="1"/>
  <c r="CI291" i="11"/>
  <c r="CE243" i="11"/>
  <c r="CF201" i="11"/>
  <c r="CF220" i="11" s="1"/>
  <c r="CI266" i="11"/>
  <c r="CJ252" i="11"/>
  <c r="CJ254" i="11" s="1"/>
  <c r="CJ273" i="11"/>
  <c r="CL263" i="11"/>
  <c r="CM262" i="11"/>
  <c r="CJ267" i="11"/>
  <c r="N202" i="28"/>
  <c r="CL287" i="11"/>
  <c r="CM286" i="11"/>
  <c r="CK249" i="11"/>
  <c r="CK267" i="11" s="1"/>
  <c r="CK244" i="11"/>
  <c r="CL226" i="11"/>
  <c r="CL241" i="11" s="1"/>
  <c r="CL319" i="11" s="1"/>
  <c r="N202" i="2"/>
  <c r="CL288" i="11" l="1"/>
  <c r="CL318" i="11"/>
  <c r="CI290" i="11"/>
  <c r="CI317" i="11"/>
  <c r="CJ266" i="11"/>
  <c r="CF243" i="11"/>
  <c r="CG201" i="11"/>
  <c r="CG220" i="11" s="1"/>
  <c r="CL244" i="11"/>
  <c r="CL249" i="11"/>
  <c r="CL267" i="11" s="1"/>
  <c r="CM226" i="11"/>
  <c r="CM241" i="11" s="1"/>
  <c r="CM319" i="11" s="1"/>
  <c r="CM263" i="11"/>
  <c r="CN262" i="11"/>
  <c r="CL264" i="11"/>
  <c r="CL314" i="11"/>
  <c r="CM287" i="11"/>
  <c r="CN286" i="11"/>
  <c r="CK252" i="11"/>
  <c r="CK254" i="11" s="1"/>
  <c r="CK273" i="11"/>
  <c r="CJ276" i="11"/>
  <c r="CJ278" i="11" s="1"/>
  <c r="CJ291" i="11"/>
  <c r="CM288" i="11" l="1"/>
  <c r="CM318" i="11"/>
  <c r="CJ290" i="11"/>
  <c r="CJ317" i="11"/>
  <c r="CK266" i="11"/>
  <c r="CL273" i="11"/>
  <c r="CL252" i="11"/>
  <c r="CL254" i="11" s="1"/>
  <c r="CK276" i="11"/>
  <c r="CK278" i="11" s="1"/>
  <c r="CK291" i="11"/>
  <c r="CN263" i="11"/>
  <c r="CO262" i="11"/>
  <c r="CM314" i="11"/>
  <c r="CM264" i="11"/>
  <c r="CG243" i="11"/>
  <c r="CH201" i="11"/>
  <c r="CH220" i="11" s="1"/>
  <c r="CN287" i="11"/>
  <c r="CO286" i="11"/>
  <c r="CM249" i="11"/>
  <c r="CM267" i="11" s="1"/>
  <c r="CM244" i="11"/>
  <c r="CN226" i="11"/>
  <c r="CN241" i="11" s="1"/>
  <c r="CN319" i="11" s="1"/>
  <c r="CN288" i="11" l="1"/>
  <c r="CN318" i="11"/>
  <c r="CK290" i="11"/>
  <c r="CK317" i="11"/>
  <c r="N195" i="2"/>
  <c r="CO287" i="11"/>
  <c r="CP286" i="11"/>
  <c r="CN314" i="11"/>
  <c r="CN264" i="11"/>
  <c r="CN249" i="11"/>
  <c r="CN244" i="11"/>
  <c r="CO226" i="11"/>
  <c r="CO241" i="11" s="1"/>
  <c r="CO319" i="11" s="1"/>
  <c r="CH243" i="11"/>
  <c r="CI201" i="11"/>
  <c r="CI220" i="11" s="1"/>
  <c r="CL276" i="11"/>
  <c r="CL278" i="11" s="1"/>
  <c r="CL291" i="11"/>
  <c r="CO263" i="11"/>
  <c r="CP262" i="11"/>
  <c r="CM252" i="11"/>
  <c r="CM254" i="11" s="1"/>
  <c r="CM273" i="11"/>
  <c r="CL266" i="11"/>
  <c r="CO288" i="11" l="1"/>
  <c r="CO318" i="11"/>
  <c r="CL290" i="11"/>
  <c r="CL317" i="11"/>
  <c r="CM276" i="11"/>
  <c r="CM278" i="11" s="1"/>
  <c r="CM291" i="11"/>
  <c r="CO244" i="11"/>
  <c r="CO249" i="11"/>
  <c r="CP226" i="11"/>
  <c r="CP241" i="11" s="1"/>
  <c r="CP319" i="11" s="1"/>
  <c r="CI243" i="11"/>
  <c r="CJ201" i="11"/>
  <c r="CJ220" i="11" s="1"/>
  <c r="CO314" i="11"/>
  <c r="CO264" i="11"/>
  <c r="CN273" i="11"/>
  <c r="CN252" i="11"/>
  <c r="CN254" i="11" s="1"/>
  <c r="CP287" i="11"/>
  <c r="CQ286" i="11"/>
  <c r="CN267" i="11"/>
  <c r="CP263" i="11"/>
  <c r="CQ262" i="11"/>
  <c r="CM266" i="11"/>
  <c r="N195" i="28"/>
  <c r="N196" i="28" s="1"/>
  <c r="N197" i="28" s="1"/>
  <c r="N196" i="2"/>
  <c r="N197" i="2" s="1"/>
  <c r="CM290" i="11" l="1"/>
  <c r="CM317" i="11"/>
  <c r="CP288" i="11"/>
  <c r="CP318" i="11"/>
  <c r="CO252" i="11"/>
  <c r="CO254" i="11" s="1"/>
  <c r="CO273" i="11"/>
  <c r="CP264" i="11"/>
  <c r="CP314" i="11"/>
  <c r="N228" i="28"/>
  <c r="N228" i="2"/>
  <c r="CQ263" i="11"/>
  <c r="CR262" i="11"/>
  <c r="CO267" i="11"/>
  <c r="N227" i="28"/>
  <c r="N227" i="2"/>
  <c r="CN276" i="11"/>
  <c r="CN278" i="11" s="1"/>
  <c r="CN291" i="11"/>
  <c r="CN266" i="11"/>
  <c r="CQ287" i="11"/>
  <c r="CR286" i="11"/>
  <c r="CJ243" i="11"/>
  <c r="CK201" i="11"/>
  <c r="CK220" i="11" s="1"/>
  <c r="CP249" i="11"/>
  <c r="CP267" i="11" s="1"/>
  <c r="CP244" i="11"/>
  <c r="CQ226" i="11"/>
  <c r="CQ241" i="11" s="1"/>
  <c r="CQ319" i="11" s="1"/>
  <c r="CQ288" i="11" l="1"/>
  <c r="CQ318" i="11"/>
  <c r="CN290" i="11"/>
  <c r="CN317" i="11"/>
  <c r="CO266" i="11"/>
  <c r="CP252" i="11"/>
  <c r="CP254" i="11" s="1"/>
  <c r="CP273" i="11"/>
  <c r="CQ244" i="11"/>
  <c r="CQ249" i="11"/>
  <c r="CR226" i="11"/>
  <c r="CR241" i="11" s="1"/>
  <c r="CR319" i="11" s="1"/>
  <c r="CR263" i="11"/>
  <c r="CS262" i="11"/>
  <c r="CQ264" i="11"/>
  <c r="CQ314" i="11"/>
  <c r="N182" i="2"/>
  <c r="CO276" i="11"/>
  <c r="CO278" i="11" s="1"/>
  <c r="CO291" i="11"/>
  <c r="CK243" i="11"/>
  <c r="CL201" i="11"/>
  <c r="CL220" i="11" s="1"/>
  <c r="CS286" i="11"/>
  <c r="CR287" i="11"/>
  <c r="CR288" i="11" l="1"/>
  <c r="CR318" i="11"/>
  <c r="CO290" i="11"/>
  <c r="CO317" i="11"/>
  <c r="CP266" i="11"/>
  <c r="CL243" i="11"/>
  <c r="CM201" i="11"/>
  <c r="CM220" i="11" s="1"/>
  <c r="CQ252" i="11"/>
  <c r="CQ254" i="11" s="1"/>
  <c r="CQ273" i="11"/>
  <c r="CS287" i="11"/>
  <c r="CT286" i="11"/>
  <c r="CS263" i="11"/>
  <c r="CT262" i="11"/>
  <c r="CQ267" i="11"/>
  <c r="CR314" i="11"/>
  <c r="CR264" i="11"/>
  <c r="CP276" i="11"/>
  <c r="CP278" i="11" s="1"/>
  <c r="CP291" i="11"/>
  <c r="N182" i="28"/>
  <c r="N185" i="2"/>
  <c r="N187" i="2" s="1"/>
  <c r="N199" i="2" s="1"/>
  <c r="N201" i="2"/>
  <c r="CR249" i="11"/>
  <c r="CR267" i="11" s="1"/>
  <c r="CR244" i="11"/>
  <c r="CS226" i="11"/>
  <c r="CS241" i="11" s="1"/>
  <c r="CS319" i="11" s="1"/>
  <c r="N226" i="2" l="1"/>
  <c r="N226" i="28"/>
  <c r="CS288" i="11"/>
  <c r="CS318" i="11"/>
  <c r="CP290" i="11"/>
  <c r="CP317" i="11"/>
  <c r="CT287" i="11"/>
  <c r="CU286" i="11"/>
  <c r="CQ276" i="11"/>
  <c r="CQ278" i="11" s="1"/>
  <c r="CQ291" i="11"/>
  <c r="CR273" i="11"/>
  <c r="CR252" i="11"/>
  <c r="CR254" i="11" s="1"/>
  <c r="CM243" i="11"/>
  <c r="CN201" i="11"/>
  <c r="CN220" i="11" s="1"/>
  <c r="N185" i="28"/>
  <c r="N201" i="28"/>
  <c r="CT263" i="11"/>
  <c r="CU262" i="11"/>
  <c r="CS249" i="11"/>
  <c r="CS267" i="11" s="1"/>
  <c r="CS244" i="11"/>
  <c r="CT226" i="11"/>
  <c r="CT241" i="11" s="1"/>
  <c r="CT319" i="11" s="1"/>
  <c r="CS314" i="11"/>
  <c r="CS264" i="11"/>
  <c r="CQ266" i="11"/>
  <c r="CT288" i="11" l="1"/>
  <c r="CT318" i="11"/>
  <c r="CQ290" i="11"/>
  <c r="CQ317" i="11"/>
  <c r="N187" i="28"/>
  <c r="CS252" i="11"/>
  <c r="CS254" i="11" s="1"/>
  <c r="CS273" i="11"/>
  <c r="CR276" i="11"/>
  <c r="CR278" i="11" s="1"/>
  <c r="CR291" i="11"/>
  <c r="CU263" i="11"/>
  <c r="CV262" i="11"/>
  <c r="CR266" i="11"/>
  <c r="CT314" i="11"/>
  <c r="CT264" i="11"/>
  <c r="CU287" i="11"/>
  <c r="CV286" i="11"/>
  <c r="CT249" i="11"/>
  <c r="CT244" i="11"/>
  <c r="CU226" i="11"/>
  <c r="CU241" i="11" s="1"/>
  <c r="CU319" i="11" s="1"/>
  <c r="CN243" i="11"/>
  <c r="CO201" i="11"/>
  <c r="CO220" i="11" s="1"/>
  <c r="CU288" i="11" l="1"/>
  <c r="CU318" i="11"/>
  <c r="CR290" i="11"/>
  <c r="CR317" i="11"/>
  <c r="N199" i="28"/>
  <c r="CS266" i="11"/>
  <c r="CU264" i="11"/>
  <c r="CU314" i="11"/>
  <c r="CU244" i="11"/>
  <c r="CU249" i="11"/>
  <c r="CU267" i="11" s="1"/>
  <c r="CV226" i="11"/>
  <c r="CV241" i="11" s="1"/>
  <c r="CV319" i="11" s="1"/>
  <c r="CT252" i="11"/>
  <c r="CT254" i="11" s="1"/>
  <c r="CT273" i="11"/>
  <c r="CT267" i="11"/>
  <c r="CS276" i="11"/>
  <c r="CS278" i="11" s="1"/>
  <c r="CS291" i="11"/>
  <c r="CO243" i="11"/>
  <c r="CP201" i="11"/>
  <c r="CV263" i="11"/>
  <c r="CW262" i="11"/>
  <c r="CW286" i="11"/>
  <c r="CV287" i="11"/>
  <c r="CV288" i="11" l="1"/>
  <c r="CV318" i="11"/>
  <c r="CS290" i="11"/>
  <c r="CS317" i="11"/>
  <c r="CT266" i="11"/>
  <c r="CT276" i="11"/>
  <c r="CT278" i="11" s="1"/>
  <c r="CT291" i="11"/>
  <c r="CW287" i="11"/>
  <c r="CX286" i="11"/>
  <c r="CV244" i="11"/>
  <c r="CV249" i="11"/>
  <c r="CV267" i="11" s="1"/>
  <c r="CW226" i="11"/>
  <c r="CW241" i="11" s="1"/>
  <c r="CW319" i="11" s="1"/>
  <c r="CW263" i="11"/>
  <c r="CX262" i="11"/>
  <c r="CV264" i="11"/>
  <c r="CV314" i="11"/>
  <c r="O126" i="2"/>
  <c r="O153" i="2"/>
  <c r="CP220" i="11"/>
  <c r="CU273" i="11"/>
  <c r="CU252" i="11"/>
  <c r="CU254" i="11" s="1"/>
  <c r="CT290" i="11" l="1"/>
  <c r="CT317" i="11"/>
  <c r="CW288" i="11"/>
  <c r="CW318" i="11"/>
  <c r="CX263" i="11"/>
  <c r="CY262" i="11"/>
  <c r="CX287" i="11"/>
  <c r="CY286" i="11"/>
  <c r="CU266" i="11"/>
  <c r="CP243" i="11"/>
  <c r="CQ201" i="11"/>
  <c r="CQ220" i="11" s="1"/>
  <c r="O153" i="28"/>
  <c r="O168" i="28" s="1"/>
  <c r="O168" i="2"/>
  <c r="CW249" i="11"/>
  <c r="CW244" i="11"/>
  <c r="CX226" i="11"/>
  <c r="CX241" i="11" s="1"/>
  <c r="CX319" i="11" s="1"/>
  <c r="CU276" i="11"/>
  <c r="CU278" i="11" s="1"/>
  <c r="CU291" i="11"/>
  <c r="CW264" i="11"/>
  <c r="CW314" i="11"/>
  <c r="O126" i="28"/>
  <c r="O145" i="28" s="1"/>
  <c r="O145" i="2"/>
  <c r="CV252" i="11"/>
  <c r="CV254" i="11" s="1"/>
  <c r="CV273" i="11"/>
  <c r="CX288" i="11" l="1"/>
  <c r="CX318" i="11"/>
  <c r="CU290" i="11"/>
  <c r="CU317" i="11"/>
  <c r="O200" i="2"/>
  <c r="O200" i="28"/>
  <c r="CQ243" i="11"/>
  <c r="CR201" i="11"/>
  <c r="CR220" i="11" s="1"/>
  <c r="CX249" i="11"/>
  <c r="CX244" i="11"/>
  <c r="CY226" i="11"/>
  <c r="CY241" i="11" s="1"/>
  <c r="CY319" i="11" s="1"/>
  <c r="CY287" i="11"/>
  <c r="CZ286" i="11"/>
  <c r="CW252" i="11"/>
  <c r="CW254" i="11" s="1"/>
  <c r="CW273" i="11"/>
  <c r="CV276" i="11"/>
  <c r="CV278" i="11" s="1"/>
  <c r="CV291" i="11"/>
  <c r="CW267" i="11"/>
  <c r="O202" i="2"/>
  <c r="CY263" i="11"/>
  <c r="CZ262" i="11"/>
  <c r="CV266" i="11"/>
  <c r="O202" i="28"/>
  <c r="CX264" i="11"/>
  <c r="CX314" i="11"/>
  <c r="CY288" i="11" l="1"/>
  <c r="CY318" i="11"/>
  <c r="CV290" i="11"/>
  <c r="CV317" i="11"/>
  <c r="CY249" i="11"/>
  <c r="CZ226" i="11"/>
  <c r="CZ241" i="11" s="1"/>
  <c r="CZ319" i="11" s="1"/>
  <c r="CY244" i="11"/>
  <c r="CW276" i="11"/>
  <c r="CW278" i="11" s="1"/>
  <c r="CW291" i="11"/>
  <c r="CZ263" i="11"/>
  <c r="DA262" i="11"/>
  <c r="CX252" i="11"/>
  <c r="CX254" i="11" s="1"/>
  <c r="CX273" i="11"/>
  <c r="CY314" i="11"/>
  <c r="CY264" i="11"/>
  <c r="CX267" i="11"/>
  <c r="CR243" i="11"/>
  <c r="CS201" i="11"/>
  <c r="CS220" i="11" s="1"/>
  <c r="DA286" i="11"/>
  <c r="CZ287" i="11"/>
  <c r="CW266" i="11"/>
  <c r="CZ288" i="11" l="1"/>
  <c r="CZ318" i="11"/>
  <c r="CW290" i="11"/>
  <c r="CW317" i="11"/>
  <c r="O195" i="2"/>
  <c r="DA287" i="11"/>
  <c r="DB286" i="11"/>
  <c r="CZ249" i="11"/>
  <c r="CZ244" i="11"/>
  <c r="DA226" i="11"/>
  <c r="DA241" i="11" s="1"/>
  <c r="DA319" i="11" s="1"/>
  <c r="DA263" i="11"/>
  <c r="DB262" i="11"/>
  <c r="CY252" i="11"/>
  <c r="CY254" i="11" s="1"/>
  <c r="CY273" i="11"/>
  <c r="CS243" i="11"/>
  <c r="CT201" i="11"/>
  <c r="CT220" i="11" s="1"/>
  <c r="CX276" i="11"/>
  <c r="CX278" i="11" s="1"/>
  <c r="CX291" i="11"/>
  <c r="CX266" i="11"/>
  <c r="CZ314" i="11"/>
  <c r="CZ264" i="11"/>
  <c r="CY267" i="11"/>
  <c r="DA288" i="11" l="1"/>
  <c r="DA318" i="11"/>
  <c r="CX290" i="11"/>
  <c r="CX317" i="11"/>
  <c r="CZ252" i="11"/>
  <c r="CZ254" i="11" s="1"/>
  <c r="CZ273" i="11"/>
  <c r="CZ267" i="11"/>
  <c r="DB287" i="11"/>
  <c r="DC286" i="11"/>
  <c r="DA314" i="11"/>
  <c r="DA264" i="11"/>
  <c r="CY266" i="11"/>
  <c r="DA249" i="11"/>
  <c r="DA244" i="11"/>
  <c r="DB226" i="11"/>
  <c r="DB241" i="11" s="1"/>
  <c r="DB319" i="11" s="1"/>
  <c r="O196" i="2"/>
  <c r="O197" i="2" s="1"/>
  <c r="O195" i="28"/>
  <c r="O196" i="28" s="1"/>
  <c r="O197" i="28" s="1"/>
  <c r="CY276" i="11"/>
  <c r="CY278" i="11" s="1"/>
  <c r="CY291" i="11"/>
  <c r="DB263" i="11"/>
  <c r="DC262" i="11"/>
  <c r="CT243" i="11"/>
  <c r="CU201" i="11"/>
  <c r="CU220" i="11" s="1"/>
  <c r="CY290" i="11" l="1"/>
  <c r="CY317" i="11"/>
  <c r="DB288" i="11"/>
  <c r="DB318" i="11"/>
  <c r="CZ266" i="11"/>
  <c r="O228" i="2"/>
  <c r="O228" i="28"/>
  <c r="O227" i="2"/>
  <c r="O227" i="28"/>
  <c r="DC287" i="11"/>
  <c r="DD286" i="11"/>
  <c r="DA273" i="11"/>
  <c r="DA252" i="11"/>
  <c r="DA254" i="11" s="1"/>
  <c r="DA267" i="11"/>
  <c r="CU243" i="11"/>
  <c r="CV201" i="11"/>
  <c r="CV220" i="11" s="1"/>
  <c r="CZ276" i="11"/>
  <c r="CZ278" i="11" s="1"/>
  <c r="CZ291" i="11"/>
  <c r="DC263" i="11"/>
  <c r="DD262" i="11"/>
  <c r="DB314" i="11"/>
  <c r="DB264" i="11"/>
  <c r="DB249" i="11"/>
  <c r="DB267" i="11" s="1"/>
  <c r="DB244" i="11"/>
  <c r="DC226" i="11"/>
  <c r="DC241" i="11" s="1"/>
  <c r="DC319" i="11" s="1"/>
  <c r="CZ290" i="11" l="1"/>
  <c r="CZ317" i="11"/>
  <c r="DC288" i="11"/>
  <c r="DC318" i="11"/>
  <c r="DA266" i="11"/>
  <c r="CV243" i="11"/>
  <c r="CW201" i="11"/>
  <c r="CW220" i="11" s="1"/>
  <c r="DC244" i="11"/>
  <c r="DC249" i="11"/>
  <c r="DC267" i="11" s="1"/>
  <c r="DD226" i="11"/>
  <c r="DD241" i="11" s="1"/>
  <c r="DD319" i="11" s="1"/>
  <c r="DD263" i="11"/>
  <c r="DE262" i="11"/>
  <c r="DC314" i="11"/>
  <c r="DC264" i="11"/>
  <c r="O182" i="2"/>
  <c r="DA276" i="11"/>
  <c r="DA278" i="11" s="1"/>
  <c r="DA291" i="11"/>
  <c r="DD287" i="11"/>
  <c r="DE286" i="11"/>
  <c r="DB273" i="11"/>
  <c r="DB252" i="11"/>
  <c r="DB254" i="11" s="1"/>
  <c r="DD288" i="11" l="1"/>
  <c r="DD318" i="11"/>
  <c r="DA290" i="11"/>
  <c r="DA317" i="11"/>
  <c r="DB266" i="11"/>
  <c r="DB276" i="11"/>
  <c r="DB278" i="11" s="1"/>
  <c r="DB291" i="11"/>
  <c r="DE287" i="11"/>
  <c r="DF286" i="11"/>
  <c r="DD244" i="11"/>
  <c r="DE226" i="11"/>
  <c r="DE241" i="11" s="1"/>
  <c r="DE319" i="11" s="1"/>
  <c r="DD249" i="11"/>
  <c r="DD267" i="11" s="1"/>
  <c r="CW243" i="11"/>
  <c r="CX201" i="11"/>
  <c r="CX220" i="11" s="1"/>
  <c r="DF262" i="11"/>
  <c r="DE263" i="11"/>
  <c r="DD314" i="11"/>
  <c r="DD264" i="11"/>
  <c r="O182" i="28"/>
  <c r="O185" i="2"/>
  <c r="O187" i="2" s="1"/>
  <c r="O199" i="2" s="1"/>
  <c r="O201" i="2"/>
  <c r="DC273" i="11"/>
  <c r="DC252" i="11"/>
  <c r="DC254" i="11" s="1"/>
  <c r="O226" i="2" l="1"/>
  <c r="O226" i="28"/>
  <c r="DB290" i="11"/>
  <c r="DB317" i="11"/>
  <c r="DE288" i="11"/>
  <c r="DE318" i="11"/>
  <c r="DF287" i="11"/>
  <c r="DG286" i="11"/>
  <c r="CX243" i="11"/>
  <c r="CY201" i="11"/>
  <c r="CY220" i="11" s="1"/>
  <c r="DD273" i="11"/>
  <c r="DD252" i="11"/>
  <c r="DD254" i="11" s="1"/>
  <c r="DF263" i="11"/>
  <c r="DG262" i="11"/>
  <c r="O185" i="28"/>
  <c r="O201" i="28"/>
  <c r="DE249" i="11"/>
  <c r="DE267" i="11" s="1"/>
  <c r="DE244" i="11"/>
  <c r="DF226" i="11"/>
  <c r="DF241" i="11" s="1"/>
  <c r="DF319" i="11" s="1"/>
  <c r="DC276" i="11"/>
  <c r="DC278" i="11" s="1"/>
  <c r="DC291" i="11"/>
  <c r="DE314" i="11"/>
  <c r="DE264" i="11"/>
  <c r="DC266" i="11"/>
  <c r="DF288" i="11" l="1"/>
  <c r="DF318" i="11"/>
  <c r="DC290" i="11"/>
  <c r="DC317" i="11"/>
  <c r="O187" i="28"/>
  <c r="DD276" i="11"/>
  <c r="DD278" i="11" s="1"/>
  <c r="DD291" i="11"/>
  <c r="DE252" i="11"/>
  <c r="DE254" i="11" s="1"/>
  <c r="DE273" i="11"/>
  <c r="CY243" i="11"/>
  <c r="CZ201" i="11"/>
  <c r="CZ220" i="11" s="1"/>
  <c r="DD266" i="11"/>
  <c r="DF314" i="11"/>
  <c r="DF264" i="11"/>
  <c r="DH286" i="11"/>
  <c r="DG287" i="11"/>
  <c r="DF249" i="11"/>
  <c r="DF267" i="11" s="1"/>
  <c r="DF244" i="11"/>
  <c r="DG226" i="11"/>
  <c r="DG241" i="11" s="1"/>
  <c r="DG319" i="11" s="1"/>
  <c r="DG263" i="11"/>
  <c r="DH262" i="11"/>
  <c r="DD290" i="11" l="1"/>
  <c r="DD317" i="11"/>
  <c r="DG288" i="11"/>
  <c r="DG318" i="11"/>
  <c r="O199" i="28"/>
  <c r="DE266" i="11"/>
  <c r="CZ243" i="11"/>
  <c r="DA201" i="11"/>
  <c r="DA220" i="11" s="1"/>
  <c r="DG249" i="11"/>
  <c r="DG267" i="11" s="1"/>
  <c r="DG244" i="11"/>
  <c r="DH226" i="11"/>
  <c r="DH241" i="11" s="1"/>
  <c r="DH319" i="11" s="1"/>
  <c r="DG264" i="11"/>
  <c r="DG314" i="11"/>
  <c r="DH263" i="11"/>
  <c r="DI262" i="11"/>
  <c r="DE276" i="11"/>
  <c r="DE278" i="11" s="1"/>
  <c r="DE291" i="11"/>
  <c r="DH287" i="11"/>
  <c r="DI286" i="11"/>
  <c r="DF273" i="11"/>
  <c r="DF252" i="11"/>
  <c r="DF254" i="11" s="1"/>
  <c r="DH288" i="11" l="1"/>
  <c r="DH318" i="11"/>
  <c r="DE290" i="11"/>
  <c r="DE317" i="11"/>
  <c r="DH244" i="11"/>
  <c r="DH249" i="11"/>
  <c r="DI226" i="11"/>
  <c r="DI241" i="11" s="1"/>
  <c r="DI319" i="11" s="1"/>
  <c r="DH314" i="11"/>
  <c r="DH264" i="11"/>
  <c r="DF276" i="11"/>
  <c r="DF278" i="11" s="1"/>
  <c r="DF291" i="11"/>
  <c r="DI287" i="11"/>
  <c r="DJ286" i="11"/>
  <c r="DI263" i="11"/>
  <c r="DJ262" i="11"/>
  <c r="DG252" i="11"/>
  <c r="DG254" i="11" s="1"/>
  <c r="DG273" i="11"/>
  <c r="DA243" i="11"/>
  <c r="DB201" i="11"/>
  <c r="DF266" i="11"/>
  <c r="DF290" i="11" l="1"/>
  <c r="DF317" i="11"/>
  <c r="DI288" i="11"/>
  <c r="DI318" i="11"/>
  <c r="DJ263" i="11"/>
  <c r="DK262" i="11"/>
  <c r="P153" i="2"/>
  <c r="P126" i="2"/>
  <c r="DB220" i="11"/>
  <c r="DH252" i="11"/>
  <c r="DH254" i="11" s="1"/>
  <c r="DH273" i="11"/>
  <c r="DJ287" i="11"/>
  <c r="DK286" i="11"/>
  <c r="DG276" i="11"/>
  <c r="DG278" i="11" s="1"/>
  <c r="DG291" i="11"/>
  <c r="DI249" i="11"/>
  <c r="DI244" i="11"/>
  <c r="DJ226" i="11"/>
  <c r="DJ241" i="11" s="1"/>
  <c r="DJ319" i="11" s="1"/>
  <c r="DG266" i="11"/>
  <c r="DH267" i="11"/>
  <c r="DI264" i="11"/>
  <c r="DI314" i="11"/>
  <c r="DJ288" i="11" l="1"/>
  <c r="DJ318" i="11"/>
  <c r="DG290" i="11"/>
  <c r="DG317" i="11"/>
  <c r="DH276" i="11"/>
  <c r="DH278" i="11" s="1"/>
  <c r="DH291" i="11"/>
  <c r="DI252" i="11"/>
  <c r="DI254" i="11" s="1"/>
  <c r="DI273" i="11"/>
  <c r="DB243" i="11"/>
  <c r="DC201" i="11"/>
  <c r="DC220" i="11" s="1"/>
  <c r="P145" i="2"/>
  <c r="P126" i="28"/>
  <c r="P145" i="28" s="1"/>
  <c r="P153" i="28"/>
  <c r="P168" i="28" s="1"/>
  <c r="P168" i="2"/>
  <c r="DJ249" i="11"/>
  <c r="DJ267" i="11" s="1"/>
  <c r="DJ244" i="11"/>
  <c r="DK226" i="11"/>
  <c r="DK241" i="11" s="1"/>
  <c r="DK319" i="11" s="1"/>
  <c r="DK263" i="11"/>
  <c r="DL262" i="11"/>
  <c r="DH266" i="11"/>
  <c r="DI267" i="11"/>
  <c r="DL286" i="11"/>
  <c r="DK287" i="11"/>
  <c r="DJ314" i="11"/>
  <c r="DJ264" i="11"/>
  <c r="DH290" i="11" l="1"/>
  <c r="DH317" i="11"/>
  <c r="DK288" i="11"/>
  <c r="DK318" i="11"/>
  <c r="P200" i="28"/>
  <c r="DC243" i="11"/>
  <c r="DD201" i="11"/>
  <c r="DD220" i="11" s="1"/>
  <c r="DI276" i="11"/>
  <c r="DI278" i="11" s="1"/>
  <c r="DI291" i="11"/>
  <c r="DJ273" i="11"/>
  <c r="DJ252" i="11"/>
  <c r="DJ254" i="11" s="1"/>
  <c r="DL287" i="11"/>
  <c r="DM286" i="11"/>
  <c r="DL263" i="11"/>
  <c r="DM262" i="11"/>
  <c r="P202" i="2"/>
  <c r="DI266" i="11"/>
  <c r="DK314" i="11"/>
  <c r="DK264" i="11"/>
  <c r="P202" i="28"/>
  <c r="DK244" i="11"/>
  <c r="DK249" i="11"/>
  <c r="DL226" i="11"/>
  <c r="DL241" i="11" s="1"/>
  <c r="DL319" i="11" s="1"/>
  <c r="P200" i="2"/>
  <c r="DL288" i="11" l="1"/>
  <c r="DL318" i="11"/>
  <c r="DI290" i="11"/>
  <c r="DI317" i="11"/>
  <c r="P195" i="2"/>
  <c r="DM287" i="11"/>
  <c r="DN286" i="11"/>
  <c r="DK273" i="11"/>
  <c r="DK252" i="11"/>
  <c r="DK254" i="11" s="1"/>
  <c r="DJ276" i="11"/>
  <c r="DJ278" i="11" s="1"/>
  <c r="DJ291" i="11"/>
  <c r="DL249" i="11"/>
  <c r="DL244" i="11"/>
  <c r="DM226" i="11"/>
  <c r="DM241" i="11" s="1"/>
  <c r="DM319" i="11" s="1"/>
  <c r="DN262" i="11"/>
  <c r="DM263" i="11"/>
  <c r="DD243" i="11"/>
  <c r="DE201" i="11"/>
  <c r="DE220" i="11" s="1"/>
  <c r="DJ266" i="11"/>
  <c r="DK267" i="11"/>
  <c r="DL264" i="11"/>
  <c r="DL314" i="11"/>
  <c r="DM288" i="11" l="1"/>
  <c r="DM318" i="11"/>
  <c r="DJ290" i="11"/>
  <c r="DJ317" i="11"/>
  <c r="DK266" i="11"/>
  <c r="DN226" i="11"/>
  <c r="DN241" i="11" s="1"/>
  <c r="DN319" i="11" s="1"/>
  <c r="DM244" i="11"/>
  <c r="DM249" i="11"/>
  <c r="DL252" i="11"/>
  <c r="DL254" i="11" s="1"/>
  <c r="DL273" i="11"/>
  <c r="DM264" i="11"/>
  <c r="DM314" i="11"/>
  <c r="DO286" i="11"/>
  <c r="DN287" i="11"/>
  <c r="DO262" i="11"/>
  <c r="DN263" i="11"/>
  <c r="DK276" i="11"/>
  <c r="DK278" i="11" s="1"/>
  <c r="DK291" i="11"/>
  <c r="DL267" i="11"/>
  <c r="DE243" i="11"/>
  <c r="DF201" i="11"/>
  <c r="DF220" i="11" s="1"/>
  <c r="P196" i="2"/>
  <c r="P197" i="2" s="1"/>
  <c r="P195" i="28"/>
  <c r="P196" i="28" s="1"/>
  <c r="P197" i="28" s="1"/>
  <c r="DN288" i="11" l="1"/>
  <c r="DN318" i="11"/>
  <c r="DK290" i="11"/>
  <c r="DK317" i="11"/>
  <c r="DN314" i="11"/>
  <c r="DN264" i="11"/>
  <c r="DO263" i="11"/>
  <c r="DP262" i="11"/>
  <c r="DP286" i="11"/>
  <c r="DO287" i="11"/>
  <c r="DL266" i="11"/>
  <c r="DF243" i="11"/>
  <c r="DG201" i="11"/>
  <c r="DG220" i="11" s="1"/>
  <c r="DM252" i="11"/>
  <c r="DM254" i="11" s="1"/>
  <c r="DM273" i="11"/>
  <c r="DM267" i="11"/>
  <c r="DN249" i="11"/>
  <c r="DN244" i="11"/>
  <c r="DO226" i="11"/>
  <c r="DO241" i="11" s="1"/>
  <c r="DO319" i="11" s="1"/>
  <c r="DL276" i="11"/>
  <c r="DL278" i="11" s="1"/>
  <c r="DL291" i="11"/>
  <c r="P227" i="28"/>
  <c r="P227" i="2"/>
  <c r="P228" i="28"/>
  <c r="P228" i="2"/>
  <c r="DL290" i="11" l="1"/>
  <c r="DL317" i="11"/>
  <c r="DO288" i="11"/>
  <c r="DO318" i="11"/>
  <c r="DQ286" i="11"/>
  <c r="DP287" i="11"/>
  <c r="DP263" i="11"/>
  <c r="DQ262" i="11"/>
  <c r="DM266" i="11"/>
  <c r="P182" i="2"/>
  <c r="DM276" i="11"/>
  <c r="DM278" i="11" s="1"/>
  <c r="DM291" i="11"/>
  <c r="DO264" i="11"/>
  <c r="DO314" i="11"/>
  <c r="DN273" i="11"/>
  <c r="DN252" i="11"/>
  <c r="DN254" i="11" s="1"/>
  <c r="DP226" i="11"/>
  <c r="DP241" i="11" s="1"/>
  <c r="DP319" i="11" s="1"/>
  <c r="DO249" i="11"/>
  <c r="DO244" i="11"/>
  <c r="DG243" i="11"/>
  <c r="DH201" i="11"/>
  <c r="DH220" i="11" s="1"/>
  <c r="DN267" i="11"/>
  <c r="DP288" i="11" l="1"/>
  <c r="DP318" i="11"/>
  <c r="DM290" i="11"/>
  <c r="DM317" i="11"/>
  <c r="DI201" i="11"/>
  <c r="DI220" i="11" s="1"/>
  <c r="DH243" i="11"/>
  <c r="P185" i="2"/>
  <c r="P187" i="2" s="1"/>
  <c r="P199" i="2" s="1"/>
  <c r="P182" i="28"/>
  <c r="P201" i="2"/>
  <c r="DR262" i="11"/>
  <c r="DQ263" i="11"/>
  <c r="DN276" i="11"/>
  <c r="DN278" i="11" s="1"/>
  <c r="DN291" i="11"/>
  <c r="DO252" i="11"/>
  <c r="DO254" i="11" s="1"/>
  <c r="DO273" i="11"/>
  <c r="DP314" i="11"/>
  <c r="DP264" i="11"/>
  <c r="DP249" i="11"/>
  <c r="DP244" i="11"/>
  <c r="DQ226" i="11"/>
  <c r="DQ241" i="11" s="1"/>
  <c r="DQ319" i="11" s="1"/>
  <c r="DN266" i="11"/>
  <c r="DO267" i="11"/>
  <c r="DR286" i="11"/>
  <c r="DQ287" i="11"/>
  <c r="P226" i="2" l="1"/>
  <c r="P226" i="28"/>
  <c r="DN290" i="11"/>
  <c r="DN317" i="11"/>
  <c r="DQ288" i="11"/>
  <c r="DQ318" i="11"/>
  <c r="DO266" i="11"/>
  <c r="DP273" i="11"/>
  <c r="DP252" i="11"/>
  <c r="DP254" i="11" s="1"/>
  <c r="DR263" i="11"/>
  <c r="DS262" i="11"/>
  <c r="DP267" i="11"/>
  <c r="P185" i="28"/>
  <c r="P201" i="28"/>
  <c r="DQ249" i="11"/>
  <c r="DQ267" i="11" s="1"/>
  <c r="DR226" i="11"/>
  <c r="DR241" i="11" s="1"/>
  <c r="DR319" i="11" s="1"/>
  <c r="DQ244" i="11"/>
  <c r="DO276" i="11"/>
  <c r="DO278" i="11" s="1"/>
  <c r="DO291" i="11"/>
  <c r="DR287" i="11"/>
  <c r="DS286" i="11"/>
  <c r="DQ264" i="11"/>
  <c r="DQ314" i="11"/>
  <c r="DI243" i="11"/>
  <c r="DJ201" i="11"/>
  <c r="DJ220" i="11" s="1"/>
  <c r="DR288" i="11" l="1"/>
  <c r="DR318" i="11"/>
  <c r="DO290" i="11"/>
  <c r="DO317" i="11"/>
  <c r="P187" i="28"/>
  <c r="DP266" i="11"/>
  <c r="DS263" i="11"/>
  <c r="DT262" i="11"/>
  <c r="DR249" i="11"/>
  <c r="DR267" i="11" s="1"/>
  <c r="DR244" i="11"/>
  <c r="DS226" i="11"/>
  <c r="DS241" i="11" s="1"/>
  <c r="DS319" i="11" s="1"/>
  <c r="DR314" i="11"/>
  <c r="DR264" i="11"/>
  <c r="DS287" i="11"/>
  <c r="DT286" i="11"/>
  <c r="DQ252" i="11"/>
  <c r="DQ254" i="11" s="1"/>
  <c r="DQ273" i="11"/>
  <c r="DJ243" i="11"/>
  <c r="DK201" i="11"/>
  <c r="DK220" i="11" s="1"/>
  <c r="DP276" i="11"/>
  <c r="DP278" i="11" s="1"/>
  <c r="DP291" i="11"/>
  <c r="DP290" i="11" l="1"/>
  <c r="DP317" i="11"/>
  <c r="DS288" i="11"/>
  <c r="DS318" i="11"/>
  <c r="P199" i="28"/>
  <c r="DS249" i="11"/>
  <c r="DT226" i="11"/>
  <c r="DT241" i="11" s="1"/>
  <c r="DT319" i="11" s="1"/>
  <c r="DS244" i="11"/>
  <c r="DT263" i="11"/>
  <c r="DU262" i="11"/>
  <c r="DK243" i="11"/>
  <c r="DL201" i="11"/>
  <c r="DL220" i="11" s="1"/>
  <c r="DR273" i="11"/>
  <c r="DR252" i="11"/>
  <c r="DR254" i="11" s="1"/>
  <c r="DS264" i="11"/>
  <c r="DS314" i="11"/>
  <c r="DU286" i="11"/>
  <c r="DT287" i="11"/>
  <c r="DQ276" i="11"/>
  <c r="DQ278" i="11" s="1"/>
  <c r="DQ291" i="11"/>
  <c r="DQ266" i="11"/>
  <c r="DQ290" i="11" l="1"/>
  <c r="DQ317" i="11"/>
  <c r="DT288" i="11"/>
  <c r="DT318" i="11"/>
  <c r="DR276" i="11"/>
  <c r="DR278" i="11" s="1"/>
  <c r="DR291" i="11"/>
  <c r="DT314" i="11"/>
  <c r="DT264" i="11"/>
  <c r="DT249" i="11"/>
  <c r="DT267" i="11" s="1"/>
  <c r="DU226" i="11"/>
  <c r="DU241" i="11" s="1"/>
  <c r="DU319" i="11" s="1"/>
  <c r="DT244" i="11"/>
  <c r="DU287" i="11"/>
  <c r="DV286" i="11"/>
  <c r="DL243" i="11"/>
  <c r="DM201" i="11"/>
  <c r="DM220" i="11" s="1"/>
  <c r="DS252" i="11"/>
  <c r="DS254" i="11" s="1"/>
  <c r="DS273" i="11"/>
  <c r="DR266" i="11"/>
  <c r="DS267" i="11"/>
  <c r="DV262" i="11"/>
  <c r="DU263" i="11"/>
  <c r="DR290" i="11" l="1"/>
  <c r="DR317" i="11"/>
  <c r="DU288" i="11"/>
  <c r="DU318" i="11"/>
  <c r="DS266" i="11"/>
  <c r="DV263" i="11"/>
  <c r="DW262" i="11"/>
  <c r="DU314" i="11"/>
  <c r="DU264" i="11"/>
  <c r="DV226" i="11"/>
  <c r="DV241" i="11" s="1"/>
  <c r="DV319" i="11" s="1"/>
  <c r="DW319" i="11" s="1"/>
  <c r="DX319" i="11" s="1"/>
  <c r="DY319" i="11" s="1"/>
  <c r="DU244" i="11"/>
  <c r="DU249" i="11"/>
  <c r="DV287" i="11"/>
  <c r="DW286" i="11"/>
  <c r="DS276" i="11"/>
  <c r="DS278" i="11" s="1"/>
  <c r="DS291" i="11"/>
  <c r="DT273" i="11"/>
  <c r="DT252" i="11"/>
  <c r="DT254" i="11" s="1"/>
  <c r="DM243" i="11"/>
  <c r="DN201" i="11"/>
  <c r="DS290" i="11" l="1"/>
  <c r="DS317" i="11"/>
  <c r="DV288" i="11"/>
  <c r="DV318" i="11"/>
  <c r="DT266" i="11"/>
  <c r="DV249" i="11"/>
  <c r="DV267" i="11" s="1"/>
  <c r="DW226" i="11"/>
  <c r="DW241" i="11" s="1"/>
  <c r="DV244" i="11"/>
  <c r="DT276" i="11"/>
  <c r="DT278" i="11" s="1"/>
  <c r="DT291" i="11"/>
  <c r="DU273" i="11"/>
  <c r="DU252" i="11"/>
  <c r="DU254" i="11" s="1"/>
  <c r="Q153" i="2"/>
  <c r="DN220" i="11"/>
  <c r="Q126" i="2"/>
  <c r="DX262" i="11"/>
  <c r="DW263" i="11"/>
  <c r="DW287" i="11"/>
  <c r="DX286" i="11"/>
  <c r="DU267" i="11"/>
  <c r="DV314" i="11"/>
  <c r="DV264" i="11"/>
  <c r="DW288" i="11" l="1"/>
  <c r="DW318" i="11"/>
  <c r="DT290" i="11"/>
  <c r="DT317" i="11"/>
  <c r="DU266" i="11"/>
  <c r="Q126" i="28"/>
  <c r="Q145" i="28" s="1"/>
  <c r="Q145" i="2"/>
  <c r="DN243" i="11"/>
  <c r="DO201" i="11"/>
  <c r="DO220" i="11" s="1"/>
  <c r="Q228" i="2"/>
  <c r="Q228" i="28"/>
  <c r="DW314" i="11"/>
  <c r="DW264" i="11"/>
  <c r="DX263" i="11"/>
  <c r="DY262" i="11"/>
  <c r="DY263" i="11" s="1"/>
  <c r="DX287" i="11"/>
  <c r="DY286" i="11"/>
  <c r="DU276" i="11"/>
  <c r="DU278" i="11" s="1"/>
  <c r="DU291" i="11"/>
  <c r="DW249" i="11"/>
  <c r="DW267" i="11" s="1"/>
  <c r="DX226" i="11"/>
  <c r="DX241" i="11" s="1"/>
  <c r="DW244" i="11"/>
  <c r="Q168" i="2"/>
  <c r="Q153" i="28"/>
  <c r="Q168" i="28" s="1"/>
  <c r="DV273" i="11"/>
  <c r="DV252" i="11"/>
  <c r="DV254" i="11" s="1"/>
  <c r="DU290" i="11" l="1"/>
  <c r="DU317" i="11"/>
  <c r="DX288" i="11"/>
  <c r="DX318" i="11"/>
  <c r="Q195" i="2"/>
  <c r="DY287" i="11"/>
  <c r="DY314" i="11"/>
  <c r="DY264" i="11"/>
  <c r="DV266" i="11"/>
  <c r="DX314" i="11"/>
  <c r="DX264" i="11"/>
  <c r="DP201" i="11"/>
  <c r="DP220" i="11" s="1"/>
  <c r="DO243" i="11"/>
  <c r="Q202" i="2"/>
  <c r="F202" i="2" s="1"/>
  <c r="E26" i="30" s="1"/>
  <c r="DX244" i="11"/>
  <c r="DY226" i="11"/>
  <c r="DY241" i="11" s="1"/>
  <c r="DX249" i="11"/>
  <c r="DV276" i="11"/>
  <c r="DV278" i="11" s="1"/>
  <c r="DV291" i="11"/>
  <c r="DW273" i="11"/>
  <c r="DW252" i="11"/>
  <c r="DW254" i="11" s="1"/>
  <c r="Q200" i="2"/>
  <c r="F200" i="2" s="1"/>
  <c r="E24" i="30" s="1"/>
  <c r="Q202" i="28"/>
  <c r="F202" i="28" s="1"/>
  <c r="E32" i="30" s="1"/>
  <c r="Q200" i="28"/>
  <c r="F200" i="28" s="1"/>
  <c r="E30" i="30" s="1"/>
  <c r="DY288" i="11" l="1"/>
  <c r="DY318" i="11"/>
  <c r="DV290" i="11"/>
  <c r="DV317" i="11"/>
  <c r="DW276" i="11"/>
  <c r="DW278" i="11" s="1"/>
  <c r="DW291" i="11"/>
  <c r="DP243" i="11"/>
  <c r="DQ201" i="11"/>
  <c r="DQ220" i="11" s="1"/>
  <c r="Q227" i="2"/>
  <c r="Q227" i="28"/>
  <c r="DX273" i="11"/>
  <c r="DX252" i="11"/>
  <c r="DX254" i="11" s="1"/>
  <c r="DY244" i="11"/>
  <c r="H244" i="11" s="1"/>
  <c r="E12" i="30" s="1"/>
  <c r="DY249" i="11"/>
  <c r="DY267" i="11" s="1"/>
  <c r="DW266" i="11"/>
  <c r="DX267" i="11"/>
  <c r="Q195" i="28"/>
  <c r="Q196" i="28" s="1"/>
  <c r="Q197" i="28" s="1"/>
  <c r="Q196" i="2"/>
  <c r="Q197" i="2" s="1"/>
  <c r="DW290" i="11" l="1"/>
  <c r="DW317" i="11"/>
  <c r="H267" i="11"/>
  <c r="E14" i="30" s="1"/>
  <c r="DX266" i="11"/>
  <c r="DX276" i="11"/>
  <c r="DX278" i="11" s="1"/>
  <c r="DX291" i="11"/>
  <c r="DQ243" i="11"/>
  <c r="DR201" i="11"/>
  <c r="DR220" i="11" s="1"/>
  <c r="DY273" i="11"/>
  <c r="DY252" i="11"/>
  <c r="DY254" i="11" s="1"/>
  <c r="DX290" i="11" l="1"/>
  <c r="DX317" i="11"/>
  <c r="DY266" i="11"/>
  <c r="H266" i="11" s="1"/>
  <c r="E13" i="30" s="1"/>
  <c r="Q182" i="2"/>
  <c r="DY276" i="11"/>
  <c r="DY278" i="11" s="1"/>
  <c r="DY291" i="11"/>
  <c r="H291" i="11" s="1"/>
  <c r="E17" i="30" s="1"/>
  <c r="DR243" i="11"/>
  <c r="DS201" i="11"/>
  <c r="DS220" i="11" s="1"/>
  <c r="DY290" i="11" l="1"/>
  <c r="H290" i="11" s="1"/>
  <c r="E16" i="30" s="1"/>
  <c r="DY317" i="11"/>
  <c r="Q226" i="2" s="1"/>
  <c r="DT201" i="11"/>
  <c r="DT220" i="11" s="1"/>
  <c r="DS243" i="11"/>
  <c r="Q182" i="28"/>
  <c r="Q185" i="2"/>
  <c r="Q187" i="2" s="1"/>
  <c r="Q199" i="2" s="1"/>
  <c r="F199" i="2" s="1"/>
  <c r="E23" i="30" s="1"/>
  <c r="Q201" i="2"/>
  <c r="F201" i="2" s="1"/>
  <c r="E25" i="30" s="1"/>
  <c r="Q226" i="28"/>
  <c r="Q185" i="28" l="1"/>
  <c r="Q201" i="28"/>
  <c r="F201" i="28" s="1"/>
  <c r="E31" i="30" s="1"/>
  <c r="DT243" i="11"/>
  <c r="DU201" i="11"/>
  <c r="DU220" i="11" s="1"/>
  <c r="Q187" i="28" l="1"/>
  <c r="DV201" i="11"/>
  <c r="DV220" i="11" s="1"/>
  <c r="DU243" i="11"/>
  <c r="Q199" i="28" l="1"/>
  <c r="F199" i="28" s="1"/>
  <c r="E29" i="30" s="1"/>
  <c r="DV243" i="11"/>
  <c r="DW201" i="11"/>
  <c r="DW220" i="11" s="1"/>
  <c r="DX201" i="11" l="1"/>
  <c r="DX220" i="11" s="1"/>
  <c r="DW243" i="11"/>
  <c r="DY201" i="11" l="1"/>
  <c r="DY220" i="11" s="1"/>
  <c r="DY243" i="11" s="1"/>
  <c r="DX243" i="11"/>
  <c r="H243" i="11" l="1"/>
  <c r="E11" i="30" s="1"/>
  <c r="E6" i="30" s="1"/>
  <c r="B4" i="30" l="1"/>
  <c r="B4" i="7"/>
  <c r="B4" i="10"/>
  <c r="B4" i="12"/>
  <c r="B4" i="28"/>
  <c r="B4" i="11"/>
  <c r="B4" i="17"/>
  <c r="B4" i="2"/>
  <c r="B4" i="19"/>
  <c r="B4" i="23"/>
  <c r="B4" i="3"/>
  <c r="B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tc={E7C22476-ED62-4521-82B3-945D1B096BE0}</author>
    <author>tc={3794C7E5-5EDF-429F-A410-F38A57045CED}</author>
    <author>tc={B50C605D-9617-48E2-9912-91E2E0FD3446}</author>
    <author>tc={2CDAC6FC-74A4-4FC3-AB0D-0AC24D8CB53E}</author>
    <author>tc={2E9A7C83-971B-403A-8FEE-9F6F81E1DE2F}</author>
    <author>tc={9A97D1B1-8DB7-42B9-9D36-25EBB6F703E0}</author>
    <author>tc={527AFF34-BE70-48B8-8810-6287A83286AE}</author>
    <author>tc={6440CCF3-EF2E-4F1D-BBFC-F6406BDD6172}</author>
    <author>tc={E40DADBA-986A-49B0-9D01-C1643154807D}</author>
    <author>tc={0F4A163B-6697-4411-9E25-5B6258C22889}</author>
    <author>tc={A1D9BD4F-D211-4084-973C-42B245372ED4}</author>
    <author>tc={C3F0A489-7E16-4400-B7F3-A4FE0FEE1343}</author>
    <author>tc={3B8C5328-ACEE-4790-A35B-D0A40133BFA3}</author>
    <author>tc={D15A718E-3BDA-42D9-BD7D-ECAC749657B9}</author>
    <author>tc={539DF04F-12A2-4E27-9371-821F05E2C99F}</author>
  </authors>
  <commentList>
    <comment ref="C49" authorId="0" shapeId="0" xr:uid="{E7C22476-ED62-4521-82B3-945D1B096BE0}">
      <text>
        <t>[Threaded comment]
Your version of Excel allows you to read this threaded comment; however, any edits to it will get removed if the file is opened in a newer version of Excel. Learn more: https://go.microsoft.com/fwlink/?linkid=870924
Comment:
    The model is based on the assumption that VAT on revenues is paid in the same month as received, and VAT on stock is received in the same month as it is paid</t>
      </text>
    </comment>
    <comment ref="E72" authorId="1" shapeId="0" xr:uid="{3794C7E5-5EDF-429F-A410-F38A57045CED}">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E79" authorId="2" shapeId="0" xr:uid="{B50C605D-9617-48E2-9912-91E2E0FD3446}">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E82" authorId="3" shapeId="0" xr:uid="{2CDAC6FC-74A4-4FC3-AB0D-0AC24D8CB53E}">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F84" authorId="4" shapeId="0" xr:uid="{2E9A7C83-971B-403A-8FEE-9F6F81E1DE2F}">
      <text>
        <t>[Threaded comment]
Your version of Excel allows you to read this threaded comment; however, any edits to it will get removed if the file is opened in a newer version of Excel. Learn more: https://go.microsoft.com/fwlink/?linkid=870924
Comment:
    to be resold or exchanged under warranty</t>
      </text>
    </comment>
    <comment ref="E95" authorId="5" shapeId="0" xr:uid="{9A97D1B1-8DB7-42B9-9D36-25EBB6F703E0}">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F119" authorId="6" shapeId="0" xr:uid="{527AFF34-BE70-48B8-8810-6287A83286AE}">
      <text>
        <t>[Threaded comment]
Your version of Excel allows you to read this threaded comment; however, any edits to it will get removed if the file is opened in a newer version of Excel. Learn more: https://go.microsoft.com/fwlink/?linkid=870924
Comment:
    invetory in cash view is calculated as follows: inventory past period + stock purchased in this period - COGS in this period (where COGS is the monthly costs (depreciation) of systems deployed)</t>
      </text>
    </comment>
    <comment ref="H119" authorId="7" shapeId="0" xr:uid="{6440CCF3-EF2E-4F1D-BBFC-F6406BDD6172}">
      <text>
        <t>[Threaded comment]
Your version of Excel allows you to read this threaded comment; however, any edits to it will get removed if the file is opened in a newer version of Excel. Learn more: https://go.microsoft.com/fwlink/?linkid=870924
Comment:
    inventory in accrual view is calculated as follow: inventory past period + stock purchased in this period - COGS in this period (where COGS is the full cost of the products sold)</t>
      </text>
    </comment>
    <comment ref="F120" authorId="8" shapeId="0" xr:uid="{E40DADBA-986A-49B0-9D01-C1643154807D}">
      <text>
        <t>[Threaded comment]
Your version of Excel allows you to read this threaded comment; however, any edits to it will get removed if the file is opened in a newer version of Excel. Learn more: https://go.microsoft.com/fwlink/?linkid=870924
Comment:
    in cash view, there are no receivables, as you only account for what you collect in a given month</t>
      </text>
    </comment>
    <comment ref="C133" authorId="9" shapeId="0" xr:uid="{0F4A163B-6697-4411-9E25-5B6258C22889}">
      <text>
        <t>[Threaded comment]
Your version of Excel allows you to read this threaded comment; however, any edits to it will get removed if the file is opened in a newer version of Excel. Learn more: https://go.microsoft.com/fwlink/?linkid=870924
Comment:
    Date needs to be defined as 1st of month</t>
      </text>
    </comment>
    <comment ref="C135" authorId="10" shapeId="0" xr:uid="{A1D9BD4F-D211-4084-973C-42B245372ED4}">
      <text>
        <t>[Threaded comment]
Your version of Excel allows you to read this threaded comment; however, any edits to it will get removed if the file is opened in a newer version of Excel. Learn more: https://go.microsoft.com/fwlink/?linkid=870924
Comment:
    Exchange rate at moment of debt raise</t>
      </text>
    </comment>
    <comment ref="C141" authorId="11" shapeId="0" xr:uid="{C3F0A489-7E16-4400-B7F3-A4FE0FEE1343}">
      <text>
        <t>[Threaded comment]
Your version of Excel allows you to read this threaded comment; however, any edits to it will get removed if the file is opened in a newer version of Excel. Learn more: https://go.microsoft.com/fwlink/?linkid=870924
Comment:
    Interest payments are by default calculated on a monthly basis</t>
      </text>
    </comment>
    <comment ref="C158" authorId="12" shapeId="0" xr:uid="{3B8C5328-ACEE-4790-A35B-D0A40133BFA3}">
      <text>
        <t>[Threaded comment]
Your version of Excel allows you to read this threaded comment; however, any edits to it will get removed if the file is opened in a newer version of Excel. Learn more: https://go.microsoft.com/fwlink/?linkid=870924
Comment:
    used to calculate approximate # of jobs created</t>
      </text>
    </comment>
    <comment ref="B160" authorId="13" shapeId="0" xr:uid="{D15A718E-3BDA-42D9-BD7D-ECAC749657B9}">
      <text>
        <t>[Threaded comment]
Your version of Excel allows you to read this threaded comment; however, any edits to it will get removed if the file is opened in a newer version of Excel. Learn more: https://go.microsoft.com/fwlink/?linkid=870924
Comment:
    The seasonality effect adjusts projected new sales per month (according to inputs provided), e.g. if you indicate a number &lt;100% the projected sales will be adjusted by x % (e.g. 90% -&gt; new sales per month will be reduced by 10%)</t>
      </text>
    </comment>
    <comment ref="B174" authorId="14" shapeId="0" xr:uid="{539DF04F-12A2-4E27-9371-821F05E2C99F}">
      <text>
        <t>[Threaded comment]
Your version of Excel allows you to read this threaded comment; however, any edits to it will get removed if the file is opened in a newer version of Excel. Learn more: https://go.microsoft.com/fwlink/?linkid=870924
Comment:
    applies to error checks; should not be changed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tc={56626121-1E20-4188-AAB0-A15F951E6318}</author>
    <author>tc={72C9FA48-FD9A-4559-AB5E-F167B79E886D}</author>
  </authors>
  <commentList>
    <comment ref="E12" authorId="0" shapeId="0" xr:uid="{56626121-1E20-4188-AAB0-A15F951E6318}">
      <text>
        <t>[Threaded comment]
Your version of Excel allows you to read this threaded comment; however, any edits to it will get removed if the file is opened in a newer version of Excel. Learn more: https://go.microsoft.com/fwlink/?linkid=870924
Comment:
    for sensitivity analysis - do not edit</t>
      </text>
    </comment>
    <comment ref="E33" authorId="1" shapeId="0" xr:uid="{72C9FA48-FD9A-4559-AB5E-F167B79E886D}">
      <text>
        <t>[Threaded comment]
Your version of Excel allows you to read this threaded comment; however, any edits to it will get removed if the file is opened in a newer version of Excel. Learn more: https://go.microsoft.com/fwlink/?linkid=870924
Comment:
    for sensitivity analysis - do not edit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tc={B87152CA-7B52-478B-ADA1-270E71850B10}</author>
  </authors>
  <commentList>
    <comment ref="E23" authorId="0" shapeId="0" xr:uid="{B87152CA-7B52-478B-ADA1-270E71850B10}">
      <text>
        <t>[Threaded comment]
Your version of Excel allows you to read this threaded comment; however, any edits to it will get removed if the file is opened in a newer version of Excel. Learn more: https://go.microsoft.com/fwlink/?linkid=870924
Comment:
    needs to be calculated on valuation sheet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tc={38F9C2FD-C782-4154-995A-61BB61C34EFE}</author>
    <author>tc={5882F5A3-BF21-47DA-8955-1E2B3AE7C190}</author>
    <author>tc={9165D4EC-5B09-4CC8-A812-9E24B126C545}</author>
    <author>tc={2ED5F08E-2B0A-4112-94FC-EB0102376C35}</author>
    <author>tc={75250683-3A11-40CC-ACA3-8C95BB5EBB3E}</author>
    <author>tc={21BBC8AB-A94F-43E6-A5AC-A628E635D11F}</author>
    <author>tc={C02DEEB8-F102-4C37-98C7-70EED52C7C87}</author>
    <author>tc={3EDFD596-87DF-4A1B-A91E-6307180B0869}</author>
    <author>tc={5C193E1E-4748-4D72-B11A-17EEE3E37B83}</author>
    <author>tc={F49169C0-FC4F-41BE-9ED0-13DFDAD5D3A2}</author>
    <author>tc={8E2CAD7E-B5BB-4AB4-8690-805C204B724D}</author>
    <author>tc={C41B9F9A-3BEA-4474-A5ED-BCCA5C005F57}</author>
    <author>tc={F7753E89-12BD-449F-B381-2B82767C148E}</author>
  </authors>
  <commentList>
    <comment ref="D42" authorId="0" shapeId="0" xr:uid="{38F9C2FD-C782-4154-995A-61BB61C34EFE}">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54" authorId="1" shapeId="0" xr:uid="{5882F5A3-BF21-47DA-8955-1E2B3AE7C190}">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66" authorId="2" shapeId="0" xr:uid="{9165D4EC-5B09-4CC8-A812-9E24B126C545}">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78" authorId="3" shapeId="0" xr:uid="{2ED5F08E-2B0A-4112-94FC-EB0102376C35}">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90" authorId="4" shapeId="0" xr:uid="{75250683-3A11-40CC-ACA3-8C95BB5EBB3E}">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G115" authorId="5" shapeId="0" xr:uid="{21BBC8AB-A94F-43E6-A5AC-A628E635D11F}">
      <text>
        <t>[Threaded comment]
Your version of Excel allows you to read this threaded comment; however, any edits to it will get removed if the file is opened in a newer version of Excel. Learn more: https://go.microsoft.com/fwlink/?linkid=870924
Comment:
    This is an estimate for the value of the receivables that has to be written off due to customers not making any more payments; the write-off expense lowers the value of the receivables asset; we estimate the value by assuming an average amount that the customer has paid before stopping all payments - this amount is expressed in % of contract value less down payment; for example if a customer has made 10 out of 20 expected installements, but then stopped all payments, the write off amount would be 50% of (contract value - down payment); the model provides the option to vary the % amount by year on Model Assumptions.</t>
      </text>
    </comment>
    <comment ref="H125" authorId="6" shapeId="0" xr:uid="{C02DEEB8-F102-4C37-98C7-70EED52C7C87}">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C184" authorId="7" shapeId="0" xr:uid="{3EDFD596-87DF-4A1B-A91E-6307180B0869}">
      <text>
        <t>[Threaded comment]
Your version of Excel allows you to read this threaded comment; however, any edits to it will get removed if the file is opened in a newer version of Excel. Learn more: https://go.microsoft.com/fwlink/?linkid=870924
Comment:
    also includes upfront payment on debt, i.e. agio</t>
      </text>
    </comment>
    <comment ref="H194" authorId="8" shapeId="0" xr:uid="{5C193E1E-4748-4D72-B11A-17EEE3E37B8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D275" authorId="9" shapeId="0" xr:uid="{F49169C0-FC4F-41BE-9ED0-13DFDAD5D3A2}">
      <text>
        <t>[Threaded comment]
Your version of Excel allows you to read this threaded comment; however, any edits to it will get removed if the file is opened in a newer version of Excel. Learn more: https://go.microsoft.com/fwlink/?linkid=870924
Comment:
    The value of receivables is not adjusted for a bad debt provision; please see line 310 for an indication of "receivables at risk"</t>
      </text>
    </comment>
    <comment ref="I309" authorId="10" shapeId="0" xr:uid="{8E2CAD7E-B5BB-4AB4-8690-805C204B724D}">
      <text>
        <t>[Threaded comment]
Your version of Excel allows you to read this threaded comment; however, any edits to it will get removed if the file is opened in a newer version of Excel. Learn more: https://go.microsoft.com/fwlink/?linkid=870924
Comment:
    To get a reasonable estimate one can work with average life as per payplan and discount this value to get an estimate of the remaining average life in the portfolio. If the company is very new or grows very fast the discount factor is close to 100%, i.e. the remaining average life is close to the average life.</t>
      </text>
    </comment>
    <comment ref="C316" authorId="11" shapeId="0" xr:uid="{C41B9F9A-3BEA-4474-A5ED-BCCA5C005F57}">
      <text>
        <t>[Threaded comment]
Your version of Excel allows you to read this threaded comment; however, any edits to it will get removed if the file is opened in a newer version of Excel. Learn more: https://go.microsoft.com/fwlink/?linkid=870924
Comment:
    Covenants and related requirements to be adjusted based on specific situation</t>
      </text>
    </comment>
    <comment ref="G323" authorId="12" shapeId="0" xr:uid="{F7753E89-12BD-449F-B381-2B82767C148E}">
      <text>
        <t>[Threaded comment]
Your version of Excel allows you to read this threaded comment; however, any edits to it will get removed if the file is opened in a newer version of Excel. Learn more: https://go.microsoft.com/fwlink/?linkid=870924
Comment:
    used to calculate approximate # of jobs created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tc={C6F306A7-6F97-4F5B-AAAF-FAF6B42C19FF}</author>
    <author>tc={802CDDF7-85FC-458F-A1C9-95E7A2532DF3}</author>
  </authors>
  <commentList>
    <comment ref="F43" authorId="0" shapeId="0" xr:uid="{C6F306A7-6F97-4F5B-AAAF-FAF6B42C19FF}">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F113" authorId="1" shapeId="0" xr:uid="{802CDDF7-85FC-458F-A1C9-95E7A2532DF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tc={2C713E0B-DBBC-4391-B0E5-B24BA5866293}</author>
    <author>tc={41709928-D7AD-41E2-B6C5-0D6A75D2FAA0}</author>
  </authors>
  <commentList>
    <comment ref="F43" authorId="0" shapeId="0" xr:uid="{2C713E0B-DBBC-4391-B0E5-B24BA586629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F113" authorId="1" shapeId="0" xr:uid="{41709928-D7AD-41E2-B6C5-0D6A75D2FAA0}">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tc={08EB4721-B153-4478-800A-ED05231F2F3F}</author>
  </authors>
  <commentList>
    <comment ref="B65" authorId="0" shapeId="0" xr:uid="{08EB4721-B153-4478-800A-ED05231F2F3F}">
      <text>
        <t>[Threaded comment]
Your version of Excel allows you to read this threaded comment; however, any edits to it will get removed if the file is opened in a newer version of Excel. Learn more: https://go.microsoft.com/fwlink/?linkid=870924
Comment:
    does not take currency effects into consideration</t>
      </text>
    </comment>
  </commentList>
</comments>
</file>

<file path=xl/sharedStrings.xml><?xml version="1.0" encoding="utf-8"?>
<sst xmlns="http://schemas.openxmlformats.org/spreadsheetml/2006/main" count="1619" uniqueCount="751">
  <si>
    <t>sales to existing clients</t>
  </si>
  <si>
    <t>lost</t>
  </si>
  <si>
    <t>ending contract</t>
  </si>
  <si>
    <t>repossessed</t>
  </si>
  <si>
    <t>active installations BoP</t>
  </si>
  <si>
    <t>+</t>
  </si>
  <si>
    <t>-</t>
  </si>
  <si>
    <t>EBITDA (cash)</t>
  </si>
  <si>
    <t>Net income (cash)</t>
  </si>
  <si>
    <t>EBITDA (acc)</t>
  </si>
  <si>
    <t>Net income (acc)</t>
  </si>
  <si>
    <t>Cash BoP</t>
  </si>
  <si>
    <t>Grants raised</t>
  </si>
  <si>
    <t>Equity raised</t>
  </si>
  <si>
    <t>Cash EoP</t>
  </si>
  <si>
    <t>WACC</t>
  </si>
  <si>
    <t>Revenue</t>
  </si>
  <si>
    <t>EBITDA</t>
  </si>
  <si>
    <t>Leverage</t>
  </si>
  <si>
    <t>Equity Cost</t>
  </si>
  <si>
    <t>Debt Cost</t>
  </si>
  <si>
    <t>Tax shield</t>
  </si>
  <si>
    <t>Churn</t>
  </si>
  <si>
    <t>of all active clients, every month</t>
  </si>
  <si>
    <t>Scale</t>
  </si>
  <si>
    <t>Consolidated</t>
  </si>
  <si>
    <t>Line 4</t>
  </si>
  <si>
    <t>Line 5</t>
  </si>
  <si>
    <t>Line 6</t>
  </si>
  <si>
    <t>Sections</t>
  </si>
  <si>
    <t>General</t>
  </si>
  <si>
    <t>Company name</t>
  </si>
  <si>
    <t>USD</t>
  </si>
  <si>
    <t>Timing Constant</t>
  </si>
  <si>
    <t>Number of days in a year</t>
  </si>
  <si>
    <t>Model timelines</t>
  </si>
  <si>
    <t>Model start date</t>
  </si>
  <si>
    <t>Model periods</t>
  </si>
  <si>
    <t>Model length (years)</t>
  </si>
  <si>
    <t>Model end date</t>
  </si>
  <si>
    <t>End of Sheet</t>
  </si>
  <si>
    <t>Model Assumptions</t>
  </si>
  <si>
    <t>Units</t>
  </si>
  <si>
    <t>Model call - ups</t>
  </si>
  <si>
    <t>Date</t>
  </si>
  <si>
    <t>Model length (months)</t>
  </si>
  <si>
    <t>Period # (year)</t>
  </si>
  <si>
    <t>#</t>
  </si>
  <si>
    <t>Period # (month)</t>
  </si>
  <si>
    <t>Period Start date</t>
  </si>
  <si>
    <t>date</t>
  </si>
  <si>
    <t>Period End date</t>
  </si>
  <si>
    <t>Year Ending</t>
  </si>
  <si>
    <t>year</t>
  </si>
  <si>
    <t>Days in period</t>
  </si>
  <si>
    <t>days</t>
  </si>
  <si>
    <t>Seasonality Flag</t>
  </si>
  <si>
    <t>January</t>
  </si>
  <si>
    <t>February</t>
  </si>
  <si>
    <t>March</t>
  </si>
  <si>
    <t>April</t>
  </si>
  <si>
    <t>May</t>
  </si>
  <si>
    <t>June</t>
  </si>
  <si>
    <t>July</t>
  </si>
  <si>
    <t>August</t>
  </si>
  <si>
    <t>September</t>
  </si>
  <si>
    <t>October</t>
  </si>
  <si>
    <t>November</t>
  </si>
  <si>
    <t>December</t>
  </si>
  <si>
    <t>Effect</t>
  </si>
  <si>
    <t>Product information</t>
  </si>
  <si>
    <t>Growth projections</t>
  </si>
  <si>
    <t>Cover page</t>
  </si>
  <si>
    <t>Model timelline</t>
  </si>
  <si>
    <t>Total</t>
  </si>
  <si>
    <t>Tax calculations</t>
  </si>
  <si>
    <t>Corporate Tax rate</t>
  </si>
  <si>
    <t>VAT</t>
  </si>
  <si>
    <t>Funding overview</t>
  </si>
  <si>
    <t>Interest</t>
  </si>
  <si>
    <t xml:space="preserve"> </t>
  </si>
  <si>
    <t>New installations</t>
  </si>
  <si>
    <t>Funding</t>
  </si>
  <si>
    <t>Line 1</t>
  </si>
  <si>
    <t>Line 2</t>
  </si>
  <si>
    <t>Line 3</t>
  </si>
  <si>
    <t>Monthly repayment</t>
  </si>
  <si>
    <t>Grace Period</t>
  </si>
  <si>
    <t>Collection rate</t>
  </si>
  <si>
    <t>Depreciation</t>
  </si>
  <si>
    <t>Cash from equity financing</t>
  </si>
  <si>
    <t>Cash from debt financing</t>
  </si>
  <si>
    <t>Less debt repayment</t>
  </si>
  <si>
    <t>Less stock (incl. duties)</t>
  </si>
  <si>
    <t>Less capex</t>
  </si>
  <si>
    <t>Cash</t>
  </si>
  <si>
    <t>Inventory</t>
  </si>
  <si>
    <t>Receivables</t>
  </si>
  <si>
    <t>Total assets</t>
  </si>
  <si>
    <t>Debt</t>
  </si>
  <si>
    <t>Equity</t>
  </si>
  <si>
    <t>Accum profits (losses)</t>
  </si>
  <si>
    <t>Balance Sheet</t>
  </si>
  <si>
    <t>Total Revenue (cash)</t>
  </si>
  <si>
    <t>Total Revenue (acc)</t>
  </si>
  <si>
    <t>Total installations</t>
  </si>
  <si>
    <t>Installed assets</t>
  </si>
  <si>
    <t>Total COGS (cash)</t>
  </si>
  <si>
    <t>Total COGS (acc)</t>
  </si>
  <si>
    <t>Profit and Loss</t>
  </si>
  <si>
    <t>Non Operating Income</t>
  </si>
  <si>
    <t>Current Assets</t>
  </si>
  <si>
    <t>Total Current Assets</t>
  </si>
  <si>
    <t>Fixed assets</t>
  </si>
  <si>
    <t>Total Liabilities</t>
  </si>
  <si>
    <t>Total Equity &amp; Reserves</t>
  </si>
  <si>
    <t>Cash flow from operations</t>
  </si>
  <si>
    <t>Total Cash flow from operations</t>
  </si>
  <si>
    <t>Cash flow from investing</t>
  </si>
  <si>
    <t>Total cash flow from investing</t>
  </si>
  <si>
    <t>Cash flow from financing</t>
  </si>
  <si>
    <t>Total cash flow from financing</t>
  </si>
  <si>
    <t>Liabilities</t>
  </si>
  <si>
    <t>Equity &amp; Reserves</t>
  </si>
  <si>
    <t>Total Liabilities and Equity</t>
  </si>
  <si>
    <t>active installations EoP</t>
  </si>
  <si>
    <t>Total active installations BoP</t>
  </si>
  <si>
    <t>Total active installations EoP</t>
  </si>
  <si>
    <t>Total sales to new clients</t>
  </si>
  <si>
    <t>Total sales to existing clients</t>
  </si>
  <si>
    <t>Total ending contract</t>
  </si>
  <si>
    <t>Total repossessed</t>
  </si>
  <si>
    <t>Total lost</t>
  </si>
  <si>
    <t>_TotalRetainedSales</t>
  </si>
  <si>
    <t>_TotalNewSales</t>
  </si>
  <si>
    <t>_TotalRepossessed</t>
  </si>
  <si>
    <t>_TotalLost</t>
  </si>
  <si>
    <t>_activeinstallationsEoP</t>
  </si>
  <si>
    <t>Total new installations</t>
  </si>
  <si>
    <t>_TotalNewInstallations</t>
  </si>
  <si>
    <t>_TotalInstalledAssets</t>
  </si>
  <si>
    <t>Total Installed</t>
  </si>
  <si>
    <t xml:space="preserve">Installed Assets </t>
  </si>
  <si>
    <t>_TotalRevneueCash</t>
  </si>
  <si>
    <t>_NonOperatingIncome</t>
  </si>
  <si>
    <t>_TotalCOGSAcc</t>
  </si>
  <si>
    <t>_TotalCOGSCash</t>
  </si>
  <si>
    <t xml:space="preserve">Operating Expenses </t>
  </si>
  <si>
    <t>_EBITDAcash</t>
  </si>
  <si>
    <t>_EBITDAAcc</t>
  </si>
  <si>
    <t>_Interest</t>
  </si>
  <si>
    <t>_Depreciation</t>
  </si>
  <si>
    <t>_NetIncomeCash</t>
  </si>
  <si>
    <t>_NetIncomeAcc</t>
  </si>
  <si>
    <t>_CashEoP</t>
  </si>
  <si>
    <t>_cfEquity</t>
  </si>
  <si>
    <t>_cfDebt</t>
  </si>
  <si>
    <t>_cfDebtRepayment</t>
  </si>
  <si>
    <t>_TotalCFFinancing</t>
  </si>
  <si>
    <t>_TotalCFInvesting</t>
  </si>
  <si>
    <t>_TotalCFOperating</t>
  </si>
  <si>
    <t>_cfStockExpenses</t>
  </si>
  <si>
    <t>_CashBoP</t>
  </si>
  <si>
    <t>_bsCash</t>
  </si>
  <si>
    <t>_bsInventory</t>
  </si>
  <si>
    <t>_bsReceivables</t>
  </si>
  <si>
    <t>_bsFixedAssets</t>
  </si>
  <si>
    <t>_bsTotalAssets</t>
  </si>
  <si>
    <t>_bsTotalCurrentAssets</t>
  </si>
  <si>
    <t>_bsDebt</t>
  </si>
  <si>
    <t>_bsEquity</t>
  </si>
  <si>
    <t>_bsAccumProfit</t>
  </si>
  <si>
    <t>_cfNetIncomeCash</t>
  </si>
  <si>
    <t>_cfDepreciation</t>
  </si>
  <si>
    <t>_cfCapex</t>
  </si>
  <si>
    <t>Profit &amp; Loss</t>
  </si>
  <si>
    <t>_TotalActiveInstallationsBoP</t>
  </si>
  <si>
    <t>_TotalEndingContract</t>
  </si>
  <si>
    <t>Dashboard</t>
  </si>
  <si>
    <t>Equity funding</t>
  </si>
  <si>
    <t>Retention rate</t>
  </si>
  <si>
    <t>Cash flow to Equity</t>
  </si>
  <si>
    <t>EBT (cash)</t>
  </si>
  <si>
    <t>EBT (acc)</t>
  </si>
  <si>
    <t>_EBTcash</t>
  </si>
  <si>
    <t>_EBTAcc</t>
  </si>
  <si>
    <t>KPIs</t>
  </si>
  <si>
    <t>Face value of receivables</t>
  </si>
  <si>
    <t>PV of receivables</t>
  </si>
  <si>
    <t>Borrowing capacity</t>
  </si>
  <si>
    <t>Net borrowing capacity</t>
  </si>
  <si>
    <t>Value of Receivables</t>
  </si>
  <si>
    <t>Assets</t>
  </si>
  <si>
    <t>Performance</t>
  </si>
  <si>
    <t>EBITDA in period (cash basis)</t>
  </si>
  <si>
    <t>Net income in period (cash basis)</t>
  </si>
  <si>
    <t>Impact created</t>
  </si>
  <si>
    <t>Total Households powered</t>
  </si>
  <si>
    <t>Total livelihoods improved</t>
  </si>
  <si>
    <t>Total women in jobs</t>
  </si>
  <si>
    <t>CO2 saved (tonnes p.a.)</t>
  </si>
  <si>
    <t>Impact KPIs</t>
  </si>
  <si>
    <t xml:space="preserve">Opex breakeven </t>
  </si>
  <si>
    <t>Yearly Revenues (Cash)</t>
  </si>
  <si>
    <t>(in million, USD)</t>
  </si>
  <si>
    <t>Operating Expenses (cash)</t>
  </si>
  <si>
    <t>Key</t>
  </si>
  <si>
    <t>Input</t>
  </si>
  <si>
    <t>Formulas</t>
  </si>
  <si>
    <t>xy</t>
  </si>
  <si>
    <t>Actual figures</t>
  </si>
  <si>
    <t>Grant funding</t>
  </si>
  <si>
    <t>prior to start</t>
  </si>
  <si>
    <t>Debt financing</t>
  </si>
  <si>
    <t>Depreciation fixed assets</t>
  </si>
  <si>
    <t>New Sales</t>
  </si>
  <si>
    <t>Product 5</t>
  </si>
  <si>
    <t>Monetary assumptions</t>
  </si>
  <si>
    <t>_activeinstallationsBoPP5</t>
  </si>
  <si>
    <t>_NewSalesP5</t>
  </si>
  <si>
    <t>_RetainedSalesP5</t>
  </si>
  <si>
    <t>_EndingContractP5</t>
  </si>
  <si>
    <t>_RepossessedP5</t>
  </si>
  <si>
    <t>_LostP5</t>
  </si>
  <si>
    <t>_activeinstallationsEoPP5</t>
  </si>
  <si>
    <t>_NewinstallationsP5</t>
  </si>
  <si>
    <t>_InstalledAssetsP5</t>
  </si>
  <si>
    <t>Unit economics</t>
  </si>
  <si>
    <t>Total revenue</t>
  </si>
  <si>
    <t>Gross margin</t>
  </si>
  <si>
    <t>Other Overhead</t>
  </si>
  <si>
    <t>Links to other worksheets</t>
  </si>
  <si>
    <t>_PLSalaries</t>
  </si>
  <si>
    <t>Cash Flow Statement - indirect</t>
  </si>
  <si>
    <t>Cash Flow Statement - direct</t>
  </si>
  <si>
    <t>Plus cash from grant financing</t>
  </si>
  <si>
    <t>Plus cash from equity financing</t>
  </si>
  <si>
    <t>Plus cash from debt financing</t>
  </si>
  <si>
    <t>Less opex</t>
  </si>
  <si>
    <t>Less interest</t>
  </si>
  <si>
    <t>Less tax</t>
  </si>
  <si>
    <t>Plus cash revenue</t>
  </si>
  <si>
    <t>Capital Need</t>
  </si>
  <si>
    <t>Total capital need</t>
  </si>
  <si>
    <t>Cumulative</t>
  </si>
  <si>
    <t>Commercial Debt</t>
  </si>
  <si>
    <t>Equity / grants</t>
  </si>
  <si>
    <t>Free cash flow to firm</t>
  </si>
  <si>
    <t>Free cash flow to equity</t>
  </si>
  <si>
    <t>Product 1</t>
  </si>
  <si>
    <t>Product 2</t>
  </si>
  <si>
    <t>Product 3</t>
  </si>
  <si>
    <t>Product 4</t>
  </si>
  <si>
    <t>Description</t>
  </si>
  <si>
    <t>_activeinstallationsBoPP4</t>
  </si>
  <si>
    <t>_NewSalesP4</t>
  </si>
  <si>
    <t>_RetainedSalesP4</t>
  </si>
  <si>
    <t>_EndingContractP4</t>
  </si>
  <si>
    <t>_RepossessedP4</t>
  </si>
  <si>
    <t>_LostP4</t>
  </si>
  <si>
    <t>_activeinstallationsEoPP4</t>
  </si>
  <si>
    <t>_NewinstallationsP4</t>
  </si>
  <si>
    <t>_InstalledAssetsP4</t>
  </si>
  <si>
    <t>_activeinstallationBOPP1</t>
  </si>
  <si>
    <t>_NewSalesP1</t>
  </si>
  <si>
    <t>_RetainedSalesP1</t>
  </si>
  <si>
    <t>_EndingContractP1</t>
  </si>
  <si>
    <t>_RepossessedP1</t>
  </si>
  <si>
    <t>_LostP1</t>
  </si>
  <si>
    <t>_activeinstallationsEoPP1</t>
  </si>
  <si>
    <t>_NewinstallationsP1</t>
  </si>
  <si>
    <t>_InstalledAssetsP1</t>
  </si>
  <si>
    <t>_activeinstallationsBoPP2</t>
  </si>
  <si>
    <t>_NewSalesP2</t>
  </si>
  <si>
    <t>_RetainedSalesP2</t>
  </si>
  <si>
    <t>_EndingContractP2</t>
  </si>
  <si>
    <t>_RepossessedP2</t>
  </si>
  <si>
    <t>_LostP2</t>
  </si>
  <si>
    <t>_activeinstallationsEoPP2</t>
  </si>
  <si>
    <t>_NewinstallationsP2</t>
  </si>
  <si>
    <t>_InstalledAssetsP2</t>
  </si>
  <si>
    <t>_activeinstallationsBoPP3</t>
  </si>
  <si>
    <t>_NewSalesP3</t>
  </si>
  <si>
    <t>_RetainedSalesP3</t>
  </si>
  <si>
    <t>_EndingContractP3</t>
  </si>
  <si>
    <t>_RepossessedP3</t>
  </si>
  <si>
    <t>_LostP3</t>
  </si>
  <si>
    <t>_activeinstallationsEoPP3</t>
  </si>
  <si>
    <t>_NewinstallationsP3</t>
  </si>
  <si>
    <t>_InstalledAssetsP3</t>
  </si>
  <si>
    <t>ARPU</t>
  </si>
  <si>
    <t>Downpayment (excl. VAT)</t>
  </si>
  <si>
    <t>Contractual payment (incl. VAT)</t>
  </si>
  <si>
    <t>Capitalized cost per system (excl. VAT)</t>
  </si>
  <si>
    <t>Weighted average 
(new sales)</t>
  </si>
  <si>
    <t>Sales mix (new sales)</t>
  </si>
  <si>
    <t># of monthly payments</t>
  </si>
  <si>
    <t>Growth - worst case</t>
  </si>
  <si>
    <t>Growth - base</t>
  </si>
  <si>
    <t>Growth - best case</t>
  </si>
  <si>
    <t>Collection - worst case</t>
  </si>
  <si>
    <t>Collection - base</t>
  </si>
  <si>
    <t>Collection - best case</t>
  </si>
  <si>
    <t>Churn - worst case</t>
  </si>
  <si>
    <t>Churn - base</t>
  </si>
  <si>
    <t>Churn - best case</t>
  </si>
  <si>
    <t>Opex - worst case</t>
  </si>
  <si>
    <t>Opex - base</t>
  </si>
  <si>
    <t>Opex - best case</t>
  </si>
  <si>
    <t>Please select scenario</t>
  </si>
  <si>
    <t>Active scenario</t>
  </si>
  <si>
    <t>Additional</t>
  </si>
  <si>
    <t>Model Assumptions - scenarios</t>
  </si>
  <si>
    <t>Product1 sales to new clients</t>
  </si>
  <si>
    <t>Product2 sales to new clients</t>
  </si>
  <si>
    <t>Product3 sales to new clients</t>
  </si>
  <si>
    <t>Product4 sales to new clients</t>
  </si>
  <si>
    <t>Product5 sales to new clients</t>
  </si>
  <si>
    <t>Dummy input cell (collection rate)</t>
  </si>
  <si>
    <t>Dummy input cell (retention rate)</t>
  </si>
  <si>
    <t>Sales month on month growth</t>
  </si>
  <si>
    <t>Profit margin (cash, excl. grants)</t>
  </si>
  <si>
    <t>Profit margin (accrual, excl. grants)</t>
  </si>
  <si>
    <t>Net margin (cash, excl. grants)</t>
  </si>
  <si>
    <t>Net margin (accrual, excl. grants)</t>
  </si>
  <si>
    <t>Dummy input cell (month on month sales growth)</t>
  </si>
  <si>
    <t>Line 7</t>
  </si>
  <si>
    <t>Line 8</t>
  </si>
  <si>
    <t>Line 9</t>
  </si>
  <si>
    <t>Line 10</t>
  </si>
  <si>
    <t>do not touch - for sensitivity analysis to function, cell needs to be empty</t>
  </si>
  <si>
    <t>Interest rate differential</t>
  </si>
  <si>
    <t>Marketing</t>
  </si>
  <si>
    <t>IT</t>
  </si>
  <si>
    <t>_PLMarketing</t>
  </si>
  <si>
    <t>_PLIT</t>
  </si>
  <si>
    <t>Travel</t>
  </si>
  <si>
    <t xml:space="preserve">Leverage ratio </t>
  </si>
  <si>
    <t>Management cost</t>
  </si>
  <si>
    <t>Bank charges</t>
  </si>
  <si>
    <t>Depreciation of fixed assets (months)</t>
  </si>
  <si>
    <t>Mobile Money costs</t>
  </si>
  <si>
    <t xml:space="preserve">Office </t>
  </si>
  <si>
    <t>_TotalVariable</t>
  </si>
  <si>
    <t>_PLMgmtcost</t>
  </si>
  <si>
    <t>_PLTravel</t>
  </si>
  <si>
    <t>_PLOffice</t>
  </si>
  <si>
    <t>_PLOtherOverhead</t>
  </si>
  <si>
    <t>_TotalOverhead</t>
  </si>
  <si>
    <t>_TotalOpex</t>
  </si>
  <si>
    <t>Receivables at risk</t>
  </si>
  <si>
    <t>Covenants</t>
  </si>
  <si>
    <t>Total debt to total equity</t>
  </si>
  <si>
    <t>Ratio cash to debt ratio services</t>
  </si>
  <si>
    <t>Definition</t>
  </si>
  <si>
    <t>Total Equity divided by Total Assets</t>
  </si>
  <si>
    <t>Cash / (principal repayments to all creditors + interest payments to all creditors due in the next 3 months)</t>
  </si>
  <si>
    <t>Unencumbered receivables from next 3 months divided by (principal repayments + interest payments due in the next 3 months)</t>
  </si>
  <si>
    <t>Requirement</t>
  </si>
  <si>
    <t>Receivables coverage ratio</t>
  </si>
  <si>
    <t>Average credit period</t>
  </si>
  <si>
    <t>Sum Over Units of (Expected Final Payment Date - System
Acquisition Date [Days])/ (Total # of Active [Units]).</t>
  </si>
  <si>
    <t>Average number of monthly payments</t>
  </si>
  <si>
    <t>Tier 1 levarage ratio</t>
  </si>
  <si>
    <t>Livelihoods improved per system</t>
  </si>
  <si>
    <t>Cash flow from operations and investments</t>
  </si>
  <si>
    <t>Net cumulative cash position</t>
  </si>
  <si>
    <t>Total Revenue (acc, net of receivable write-offs)</t>
  </si>
  <si>
    <t>_TotalRevneueAcc</t>
  </si>
  <si>
    <t>Total Revenue (acc, net of write-offs)</t>
  </si>
  <si>
    <t>_TotalRevenueAccExWriteoffs</t>
  </si>
  <si>
    <t>Receivables write offs</t>
  </si>
  <si>
    <t>_Receivablewriteoffs</t>
  </si>
  <si>
    <t>Balance Sheet (cash basis)</t>
  </si>
  <si>
    <t>Input sheet</t>
  </si>
  <si>
    <t>Output sheet (main model)</t>
  </si>
  <si>
    <t>Output sheet (addtl. analysis)</t>
  </si>
  <si>
    <t>Opex - worst case (local currency)</t>
  </si>
  <si>
    <t>Opex - base (local currency)</t>
  </si>
  <si>
    <t>Opex - best case (local currency)</t>
  </si>
  <si>
    <t>LCY</t>
  </si>
  <si>
    <t>Model currency</t>
  </si>
  <si>
    <t>LCY per 1 USD</t>
  </si>
  <si>
    <t>USD per 1 LCY</t>
  </si>
  <si>
    <t>Debts raised (local currency)</t>
  </si>
  <si>
    <t>Principal repayments (local currency)</t>
  </si>
  <si>
    <t>Debt raised (USD)</t>
  </si>
  <si>
    <t>Debt raised (local currency)</t>
  </si>
  <si>
    <t>Monthly repayment (USD)</t>
  </si>
  <si>
    <t>Principal repayment (local currency)</t>
  </si>
  <si>
    <t>Interests (local currency)</t>
  </si>
  <si>
    <t>period</t>
  </si>
  <si>
    <t>Fx results</t>
  </si>
  <si>
    <t>Estimated LCY/USD x-rate at moment of debt raise</t>
  </si>
  <si>
    <t xml:space="preserve">Debt raised in </t>
  </si>
  <si>
    <t>Principal repayments (USD)</t>
  </si>
  <si>
    <t>Interests (USD)</t>
  </si>
  <si>
    <t>FX loss/ gain</t>
  </si>
  <si>
    <t>_FX loss/gain</t>
  </si>
  <si>
    <t>LCY/USD x-rate</t>
  </si>
  <si>
    <t>Total debt (local currency)</t>
  </si>
  <si>
    <t>Exchange rate at start of model</t>
  </si>
  <si>
    <t>Fx loss/gain</t>
  </si>
  <si>
    <t>Fx loss/ gain</t>
  </si>
  <si>
    <t>Sensitivity analysis</t>
  </si>
  <si>
    <t/>
  </si>
  <si>
    <t>_Receivablewriteoffrate</t>
  </si>
  <si>
    <t>Discount factor for present value calculation</t>
  </si>
  <si>
    <t>Capex</t>
  </si>
  <si>
    <t>Management Team</t>
  </si>
  <si>
    <t>Other salaries (excl. field team, marketing, IT, management)</t>
  </si>
  <si>
    <t>Overhead Costs and Capex</t>
  </si>
  <si>
    <t>Overhead costs and Capex</t>
  </si>
  <si>
    <t>Total Overhead</t>
  </si>
  <si>
    <t>Call center</t>
  </si>
  <si>
    <t>Field team - variable</t>
  </si>
  <si>
    <t>Field team - fixed</t>
  </si>
  <si>
    <t>across products</t>
  </si>
  <si>
    <t>Totel overhead</t>
  </si>
  <si>
    <t>Model periods per year</t>
  </si>
  <si>
    <t>[Company name]</t>
  </si>
  <si>
    <t>Assumptions relative to three different scenarios for sales growth, collection, churn, overhead costs and capex (worst case, base case and best case)</t>
  </si>
  <si>
    <t>Detailed model (LCY)</t>
  </si>
  <si>
    <t>Macro Model (USD)</t>
  </si>
  <si>
    <t>Macro Model (LCY)</t>
  </si>
  <si>
    <t>Projections of new sales, scale, P&amp;L, CF statement, balance sheet and KPIs presented by month and in local currency</t>
  </si>
  <si>
    <t>Projections of new sales, scale, P&amp;L, CF statement, balance sheet and KPIs presented by year and in USD</t>
  </si>
  <si>
    <t>Unit economics (gross margin, contribution margin) per product</t>
  </si>
  <si>
    <t>Sensitivity analysis (USD)</t>
  </si>
  <si>
    <t>Financing</t>
  </si>
  <si>
    <t>Flags</t>
  </si>
  <si>
    <t>Month on month model of detailed financing scheme: equity, grant and debt lines (incl. currency effects)</t>
  </si>
  <si>
    <t>Projections of new sales, scale, P&amp;L, CF statement, balance sheet and KPIs presented by year and in local currency</t>
  </si>
  <si>
    <t>Flags on model timeline, evolution of local currency (LCY) versus USD</t>
  </si>
  <si>
    <t>Type</t>
  </si>
  <si>
    <t>Summary of key outputs on company financials (USD) and impact</t>
  </si>
  <si>
    <t>Calculation sheet</t>
  </si>
  <si>
    <t>Overview of sections</t>
  </si>
  <si>
    <t>Disclaimer</t>
  </si>
  <si>
    <t>Error checks on detailed and macro model</t>
  </si>
  <si>
    <t>Other</t>
  </si>
  <si>
    <t>_averagenumbermonthlypayments</t>
  </si>
  <si>
    <t>Direct variable costs (field team)</t>
  </si>
  <si>
    <t>Direct variable costs (mobile money, bank charges, call center)</t>
  </si>
  <si>
    <t>Contribution margin</t>
  </si>
  <si>
    <t>Average % of contract price (excl. down-payment) written off at write-off/ reposession</t>
  </si>
  <si>
    <t>Please note: the average % of contract price written off at write-off/repossession will be higher in the initial months of a new business</t>
  </si>
  <si>
    <t>Stock expenses for systems sold in 3 months from now, adjusted for yearly increase in COGS</t>
  </si>
  <si>
    <t>theoretical, not adj. for seasonalities</t>
  </si>
  <si>
    <t>% of present value of receivables</t>
  </si>
  <si>
    <t>% of non-deductable Opex</t>
  </si>
  <si>
    <t>Average remaining contract duration of outstanding receivables (in %)</t>
  </si>
  <si>
    <t>Definitions</t>
  </si>
  <si>
    <t>Summary of outputs (main model)</t>
  </si>
  <si>
    <t>Model set-up</t>
  </si>
  <si>
    <t>Cost of Goods sold (COGS)</t>
  </si>
  <si>
    <t>local currency/USD in period 1 (start of the model)</t>
  </si>
  <si>
    <t>Stock (excl. VAT)</t>
  </si>
  <si>
    <t>Stock (incl. duties)</t>
  </si>
  <si>
    <t>Debt repayment</t>
  </si>
  <si>
    <t>Cash basis</t>
  </si>
  <si>
    <t>Accrual basis</t>
  </si>
  <si>
    <t>EBT cash (tax base, incl. non deductable)</t>
  </si>
  <si>
    <t>EBT acc (tax base, incl. non deductable)</t>
  </si>
  <si>
    <t>Corporate tax</t>
  </si>
  <si>
    <t>_CorporateTax</t>
  </si>
  <si>
    <t>Office cost: rent, supplies, utilities, etc. (LCY per month)</t>
  </si>
  <si>
    <t>Travel cost (as % of management cost and other salaries)</t>
  </si>
  <si>
    <t>Capex: investment in shops, vehicles, etc. (LYC per month)</t>
  </si>
  <si>
    <t>Top Management salaries (LCY per month for top 4-5 FTE)</t>
  </si>
  <si>
    <t>Approximate number of active customers per FTE</t>
  </si>
  <si>
    <t>Total jobs created</t>
  </si>
  <si>
    <t xml:space="preserve">Collection rate </t>
  </si>
  <si>
    <t>Ratio of all collected receivables payments over total receivables payments due for a period (does not include deposits)</t>
  </si>
  <si>
    <t>Churn rate</t>
  </si>
  <si>
    <t>Repossession rate</t>
  </si>
  <si>
    <t>Balance Sheet (accrual basis)</t>
  </si>
  <si>
    <t>(1+interest rate differential) ^ time</t>
  </si>
  <si>
    <t>please select whether to show balance sheet on accrual or cash basis</t>
  </si>
  <si>
    <t>_VAT</t>
  </si>
  <si>
    <t>calculated on</t>
  </si>
  <si>
    <t>Tax caculated on</t>
  </si>
  <si>
    <t xml:space="preserve">VAT calculated on </t>
  </si>
  <si>
    <t>Less VAT on revenues</t>
  </si>
  <si>
    <t>as selected on Macro Model (LCY) sheet</t>
  </si>
  <si>
    <t>Cash Flow - indirect</t>
  </si>
  <si>
    <t>Cash Flow - direct</t>
  </si>
  <si>
    <t>Sales mix (active installations end of year)</t>
  </si>
  <si>
    <t>Assumptions relative to timeline, currency, company’s scale, pricing, COGS, direct customer costs and overhead, capex, month on month sales growth, collection rate, retention rate, churn, tax, existing balance sheet, projected funding and impact</t>
  </si>
  <si>
    <t>Ratio of repossessed and written-off units over total units outstanding</t>
  </si>
  <si>
    <t>Sales mix by year</t>
  </si>
  <si>
    <t>Active installations end of year</t>
  </si>
  <si>
    <t>New sales</t>
  </si>
  <si>
    <t>Weighted average (active portfolio)</t>
  </si>
  <si>
    <t>Amount of money available for a company to borrow, here defined as x% (~100%) of PV value of receivables</t>
  </si>
  <si>
    <t>Date (1/mm/yy)</t>
  </si>
  <si>
    <t>Debt raised in (select USD or LCY from drop down)</t>
  </si>
  <si>
    <t xml:space="preserve">Balance sheet items - Beginning of period </t>
  </si>
  <si>
    <t>% of customers which buy a new product once they completed all payments</t>
  </si>
  <si>
    <t>Fixed monthly salary per agent (independent of # of products sold)</t>
  </si>
  <si>
    <t>Average new sales per month per agent across product categories</t>
  </si>
  <si>
    <t>Total Direct Cost of Sales</t>
  </si>
  <si>
    <t>Landed cost per unit (post VAT)</t>
  </si>
  <si>
    <t>Revenue per unit (gross of VAT)</t>
  </si>
  <si>
    <t>Revenue per unit (net of VAT)</t>
  </si>
  <si>
    <t>Depreciation per unit per month</t>
  </si>
  <si>
    <t>ARPU per month, excl. Downpayment</t>
  </si>
  <si>
    <t>ARPU per month, incl. Downpayment</t>
  </si>
  <si>
    <t>lost and written off products</t>
  </si>
  <si>
    <t>repossessed products</t>
  </si>
  <si>
    <t>Seasonality effect (on new sales per month)</t>
  </si>
  <si>
    <t>Average cash revenue per unit per month</t>
  </si>
  <si>
    <t>% of new sales of one product category over the total new sales across all product categories</t>
  </si>
  <si>
    <t>Cash breakeven (opex + debt service)</t>
  </si>
  <si>
    <t>Cash breakeven (all costs)</t>
  </si>
  <si>
    <t>Impact of  m-o-m sales growth rate and collection rate on net income</t>
  </si>
  <si>
    <t>(in thousands)</t>
  </si>
  <si>
    <t>Cumulative cash need to finance growth</t>
  </si>
  <si>
    <t>Debt versus Receivables</t>
  </si>
  <si>
    <t>Yearly Net Income (cash) and EBITDA (cash)</t>
  </si>
  <si>
    <t>Cash and Opex breakeven</t>
  </si>
  <si>
    <t>reference rate currency sold in the local exchange per year (e.g. KSH) less reference rate currency bought in the foreign exchange per year (e.g. USD)</t>
  </si>
  <si>
    <t>Term of contractual payment period</t>
  </si>
  <si>
    <t>Contractual monthly payment per unit</t>
  </si>
  <si>
    <t>FOB Price per unit</t>
  </si>
  <si>
    <t>Debt raised in</t>
  </si>
  <si>
    <t>Calculation sheet (main model)</t>
  </si>
  <si>
    <t>Tolerance level</t>
  </si>
  <si>
    <t>check (assets = liabilities + equity)</t>
  </si>
  <si>
    <t>check (cash EoP = cash recorded in balance sheet)</t>
  </si>
  <si>
    <t>check (cash EoP &gt; 0)</t>
  </si>
  <si>
    <t>check (cash EoP direct CF = cash EoP indirect CF)</t>
  </si>
  <si>
    <t>Sheet</t>
  </si>
  <si>
    <t>Checks</t>
  </si>
  <si>
    <t>cash EoP &gt; 0</t>
  </si>
  <si>
    <t>total # of new sales = sum of # of new sales per product</t>
  </si>
  <si>
    <t>cash EoP [direct cash flow statement] = cash EoP [indirect cash flow statement]</t>
  </si>
  <si>
    <t>EBITDA cash [macro model LCY]= Σ EBITDA cash [detailed model LCY] for 1 year</t>
  </si>
  <si>
    <t>EBITDA accrual [macro model LCY]= Σ EBITDA accrual [detailed model LCY] for 1 year</t>
  </si>
  <si>
    <t>Net Income cash [macro model LCY] = Σ Net Income cash [detailed model LCY] for 1 year</t>
  </si>
  <si>
    <t>Net Income accrual [macro model LCY] = Σ Net Income accrual [detailed model LCY] for 1 year</t>
  </si>
  <si>
    <t>Result</t>
  </si>
  <si>
    <t>Check: cash EoP = cash BS [cash view of BS]</t>
  </si>
  <si>
    <t>Check: assets [cash view of BS] = liabilities + equity [cash view of BS]</t>
  </si>
  <si>
    <t>Check: assets [accrual view of BS] = liabilities + equity [accrual view of BS]</t>
  </si>
  <si>
    <t>Check: cash EoP = cash BS [accrual view of BS]</t>
  </si>
  <si>
    <t>Check: cash EoP [direct cash flow statement] = cash EoP [indirect cash flow statement]</t>
  </si>
  <si>
    <t>Check: cash EoP &gt; 0</t>
  </si>
  <si>
    <t>Check: total # of new sales = sum of # of new sales per product</t>
  </si>
  <si>
    <t>Check: EBITDA cash [macro model LCY]= Σ EBITDA cash [detailed model LCY] for 1 year</t>
  </si>
  <si>
    <t>Check: EBITDA accrual [macro model LCY]= Σ EBITDA accrual [detailed model LCY] for 1 year</t>
  </si>
  <si>
    <t>Check: Net Income cash [macro model LCY] = Σ Net Income cash [detailed model LCY] for 1 year</t>
  </si>
  <si>
    <t>Check: Net Income accrual [macro model LCY] = Σ Net Income accrual [detailed model LCY] for 1 year</t>
  </si>
  <si>
    <t>Check: net income cash USD = net income cash LCY / x-rate</t>
  </si>
  <si>
    <t>Check: net income accural USD = net income accrual LCY / x-rate</t>
  </si>
  <si>
    <t>Master check</t>
  </si>
  <si>
    <t>All-in Cost of Debt</t>
  </si>
  <si>
    <t>Cash available</t>
  </si>
  <si>
    <t>look-up for valuation</t>
  </si>
  <si>
    <t>Debt to total capitalization</t>
  </si>
  <si>
    <t>Equity to total capitalization</t>
  </si>
  <si>
    <t>Cost of capital</t>
  </si>
  <si>
    <t>Cost of Equity</t>
  </si>
  <si>
    <t>Cost of Debt</t>
  </si>
  <si>
    <t>Equity (BS)</t>
  </si>
  <si>
    <t>Debt (BS)</t>
  </si>
  <si>
    <t>Unit</t>
  </si>
  <si>
    <t>%</t>
  </si>
  <si>
    <t>Months</t>
  </si>
  <si>
    <t xml:space="preserve">% </t>
  </si>
  <si>
    <t>tonnes per annum</t>
  </si>
  <si>
    <t># of units</t>
  </si>
  <si>
    <t xml:space="preserve">International shipping </t>
  </si>
  <si>
    <t>in % of FOB</t>
  </si>
  <si>
    <t xml:space="preserve">Import duties </t>
  </si>
  <si>
    <t>in % of FOB + international shipping</t>
  </si>
  <si>
    <t xml:space="preserve">Clearance &amp; handling cost per unit </t>
  </si>
  <si>
    <t xml:space="preserve">Local transport </t>
  </si>
  <si>
    <t xml:space="preserve">Capitalized cost per unit </t>
  </si>
  <si>
    <t xml:space="preserve">VAT </t>
  </si>
  <si>
    <t>in % of capitalized cost per unit</t>
  </si>
  <si>
    <t>Unit depreciation Period</t>
  </si>
  <si>
    <t>Agents commission per new unit sale</t>
  </si>
  <si>
    <t>Agent opex per new product sale (Airtime, Transport)</t>
  </si>
  <si>
    <t>Field Team - Repossessions (cost per reposession)</t>
  </si>
  <si>
    <t xml:space="preserve">Mobile money fee </t>
  </si>
  <si>
    <t>in % of revenue</t>
  </si>
  <si>
    <t xml:space="preserve">Bank charges </t>
  </si>
  <si>
    <t xml:space="preserve">Call center costs, incl. communication </t>
  </si>
  <si>
    <t>Depreciation of fixed assets</t>
  </si>
  <si>
    <t>LCY per month</t>
  </si>
  <si>
    <t>Capex: investment in shops, vehicles, etc.</t>
  </si>
  <si>
    <t>Office cost: rent, supplies, utilities, etc.</t>
  </si>
  <si>
    <t>Assumptions</t>
  </si>
  <si>
    <t>Inventory BoP</t>
  </si>
  <si>
    <t>Receivables BoP</t>
  </si>
  <si>
    <t>Fixed Assets BoP</t>
  </si>
  <si>
    <t># of years</t>
  </si>
  <si>
    <t># of years from now</t>
  </si>
  <si>
    <t xml:space="preserve">Debt raised </t>
  </si>
  <si>
    <t>Principal repayments over</t>
  </si>
  <si>
    <t>Interest rate per year</t>
  </si>
  <si>
    <t>1/mm/yy</t>
  </si>
  <si>
    <t>Grant raised</t>
  </si>
  <si>
    <t>Women in jobs</t>
  </si>
  <si>
    <t>Products paid for in (please select in drop down)</t>
  </si>
  <si>
    <t>Top Management salaries (for top 4-5 FTE)</t>
  </si>
  <si>
    <t>Marketing cost per month, incl. salaries</t>
  </si>
  <si>
    <t>IT cost per month, incl. salaries</t>
  </si>
  <si>
    <t>Other salaries, excl. field team, management, IT, marketing</t>
  </si>
  <si>
    <t>Travel cost</t>
  </si>
  <si>
    <t>% of management cost and other salaries</t>
  </si>
  <si>
    <t>Other overhead costs (consultancy not covered in other categories, legal, insurance, etc.)</t>
  </si>
  <si>
    <t># of months</t>
  </si>
  <si>
    <t>Currency effect on COGS</t>
  </si>
  <si>
    <t>assets (at start of model) = liabilities + equity (at start of model)</t>
  </si>
  <si>
    <t>Assets = liabilities + equity</t>
  </si>
  <si>
    <t>cash EoP direct CF statement = cash EoP indirect CF statement</t>
  </si>
  <si>
    <t>cash EoP = cash recorded in balance sheet</t>
  </si>
  <si>
    <t>Section</t>
  </si>
  <si>
    <t>Balance sheet items</t>
  </si>
  <si>
    <t>Cash flow statement</t>
  </si>
  <si>
    <t>Balance sheet</t>
  </si>
  <si>
    <t>CFS and BS</t>
  </si>
  <si>
    <t>If cash sale, then full system cost; if not, then monthly depreciation of active installations</t>
  </si>
  <si>
    <t>COGS reduction related to recovered value of reposessed system</t>
  </si>
  <si>
    <t>If cash sale, then not applicable; if not, then inventory write-off due to lost systems</t>
  </si>
  <si>
    <t>Currency effect, if products are bought in hard currency (USD)</t>
  </si>
  <si>
    <t>Calculated on</t>
  </si>
  <si>
    <t>Mobile money fee</t>
  </si>
  <si>
    <t>Bankcharge</t>
  </si>
  <si>
    <t>Capitalized cost of systems sold</t>
  </si>
  <si>
    <t>Master error check</t>
  </si>
  <si>
    <t>Debt BoP</t>
  </si>
  <si>
    <t>Equity BoP</t>
  </si>
  <si>
    <t>Accumulated profits BoP</t>
  </si>
  <si>
    <t>Agio (upfront payment as % of principal)</t>
  </si>
  <si>
    <t>Agio (USD)</t>
  </si>
  <si>
    <t>Agio (local currency)</t>
  </si>
  <si>
    <t>Interest + Agio (local currency)</t>
  </si>
  <si>
    <t>Remaining amount of debt (local currency, adj. for x-rate effect)</t>
  </si>
  <si>
    <t xml:space="preserve">Equity </t>
  </si>
  <si>
    <t>0 if cash sale, otherwise x% of ending contracts, where x is the retention rate as indicated on the assumptions sheet</t>
  </si>
  <si>
    <t>Equal to new clients if cash sales; otherwhise equal to customers that have completed payments, adjusted for churn rate (please see comment in column D for more detailed explanation of formula)</t>
  </si>
  <si>
    <t>Check: assets = liabilities + equity</t>
  </si>
  <si>
    <t>Check: inventory &gt; 0</t>
  </si>
  <si>
    <t>Balance sheet (cash view)</t>
  </si>
  <si>
    <t>Balance sheet (accrual view)</t>
  </si>
  <si>
    <t>Inventory &gt; 0</t>
  </si>
  <si>
    <t>CFS and BS (cash view)</t>
  </si>
  <si>
    <t>CFS and BS (accrual view)</t>
  </si>
  <si>
    <t>Net income cash USD = net income cash LCY / x-rate</t>
  </si>
  <si>
    <t>Net income accural USD = net income accrual LCY / x-rate</t>
  </si>
  <si>
    <t>Cash View</t>
  </si>
  <si>
    <t>Accrual view</t>
  </si>
  <si>
    <t>In cash view, no receivables are recorded</t>
  </si>
  <si>
    <t>Gross margin (cash, excl. grants)</t>
  </si>
  <si>
    <t>Gross margin (accrual, excl. grants)</t>
  </si>
  <si>
    <t>same as in cash view</t>
  </si>
  <si>
    <t>inventory value in cash view differs from inventory value in accrual view</t>
  </si>
  <si>
    <t>in cash view, there are no receivables</t>
  </si>
  <si>
    <t>accumulated profit in cash view differs from accumulated profit in accural view</t>
  </si>
  <si>
    <t>Marketing cost per month, incl. salaries (% of  cash revenues)</t>
  </si>
  <si>
    <t>IT cost per month, incl. salaries (% of cash revenues)</t>
  </si>
  <si>
    <t>Other salaries, excl. field team, management, IT, marketing (% of cash revenues)</t>
  </si>
  <si>
    <t>Other overhead costs as % of cash revenues (consultancy not covered in other categories, legal, insurance, etc.)</t>
  </si>
  <si>
    <t>% of cash revenues</t>
  </si>
  <si>
    <t>Expected revenue per month (incl. VAT, excl. downpayment)</t>
  </si>
  <si>
    <t>Expected revenue per month (excl. VAT, excl. downpayment)</t>
  </si>
  <si>
    <t>at least</t>
  </si>
  <si>
    <t>at max</t>
  </si>
  <si>
    <t>CO2 saved per installation (tonnes per annum)</t>
  </si>
  <si>
    <t>Downpayment per unit (gross of VAT)</t>
  </si>
  <si>
    <t>in % of price</t>
  </si>
  <si>
    <t>Net Revenue (cash)</t>
  </si>
  <si>
    <t>Net Revenue (accrual)</t>
  </si>
  <si>
    <t>_NetRevenueCash</t>
  </si>
  <si>
    <t>_NetRevenueAccrual</t>
  </si>
  <si>
    <t>Net revenue (cash)</t>
  </si>
  <si>
    <t>Net revenue (accrual)</t>
  </si>
  <si>
    <t>Month-on-month growth rate (new sales)</t>
  </si>
  <si>
    <t>Sales Agents - Fixed Salary (if any)</t>
  </si>
  <si>
    <t>Field Team - Cost per new sale</t>
  </si>
  <si>
    <t>Month on month growth rate (across products and years)</t>
  </si>
  <si>
    <t>Collection rate (across years)</t>
  </si>
  <si>
    <t>month-on-month growth rate (per product, per year)</t>
  </si>
  <si>
    <t>collection rate (per year)</t>
  </si>
  <si>
    <t>Growth, collection, churn, retention</t>
  </si>
  <si>
    <t>deviation from m-o-m growth rate as indicated in cell E11</t>
  </si>
  <si>
    <t>deviation from collection rate as indicated in cell E32</t>
  </si>
  <si>
    <t>calculated on liquidation basis</t>
  </si>
  <si>
    <t>calculated on DCF</t>
  </si>
  <si>
    <t>Direct cost of sales (incl. after sales)</t>
  </si>
  <si>
    <t>Cash accounting</t>
  </si>
  <si>
    <t>Accrual accounting</t>
  </si>
  <si>
    <t>The full sale is accounted for as revenue at the time that a customer signs a contract; similarly, the full product cost is expensed as COGS (cost of goods sold) on the P&amp;L at the time that a customer signs a contract</t>
  </si>
  <si>
    <t>Only the cash collected in a given period is accounted for as revenue; similary, the COGS (cost of goods sold) reflects the depreciation related to the product deployed in a given period</t>
  </si>
  <si>
    <t>Grace period on principal repayment</t>
  </si>
  <si>
    <t>Number of total products sold: active + non-active (before start of model)</t>
  </si>
  <si>
    <t>Revenues and payment plans</t>
  </si>
  <si>
    <t>Other cost per new sale</t>
  </si>
  <si>
    <t>Field Team - Maintenance (monthly cost per active product)</t>
  </si>
  <si>
    <t>Free on board (FOB) Price per unit</t>
  </si>
  <si>
    <t>Cash Beginning of Period (BoP)</t>
  </si>
  <si>
    <t>Sales mix (active products)</t>
  </si>
  <si>
    <t>% of active products of one product category over the total active products of the portfolio</t>
  </si>
  <si>
    <t>Ratio of repossessed units over total units outstanding</t>
  </si>
  <si>
    <t>Calculates weighted average cost of capital</t>
  </si>
  <si>
    <t>Analysis on sensitivities of key parameters (net income)</t>
  </si>
  <si>
    <t xml:space="preserve">Active installations, products or customers </t>
  </si>
  <si>
    <t>Units sold vs total units sold</t>
  </si>
  <si>
    <t>Units sold</t>
  </si>
  <si>
    <t>Total units sold</t>
  </si>
  <si>
    <t>Steps to follow for data entry</t>
  </si>
  <si>
    <t>Step 1</t>
  </si>
  <si>
    <t>Step 2</t>
  </si>
  <si>
    <r>
      <t xml:space="preserve">Complete the </t>
    </r>
    <r>
      <rPr>
        <b/>
        <sz val="10"/>
        <color theme="1"/>
        <rFont val="Calibri"/>
        <family val="2"/>
        <scheme val="minor"/>
      </rPr>
      <t>input cells</t>
    </r>
    <r>
      <rPr>
        <sz val="10"/>
        <color theme="1"/>
        <rFont val="Calibri"/>
        <family val="2"/>
        <scheme val="minor"/>
      </rPr>
      <t xml:space="preserve"> on the </t>
    </r>
    <r>
      <rPr>
        <b/>
        <sz val="10"/>
        <color theme="1"/>
        <rFont val="Calibri"/>
        <family val="2"/>
        <scheme val="minor"/>
      </rPr>
      <t>Model Assumptions - Scenarios</t>
    </r>
    <r>
      <rPr>
        <sz val="10"/>
        <color theme="1"/>
        <rFont val="Calibri"/>
        <family val="2"/>
        <scheme val="minor"/>
      </rPr>
      <t xml:space="preserve"> sheet for the different scenarios on month on month sales growth, collection rate, churn, overhead costs, and CapEx</t>
    </r>
  </si>
  <si>
    <r>
      <t xml:space="preserve">Complete all the cells formatted as </t>
    </r>
    <r>
      <rPr>
        <b/>
        <sz val="10"/>
        <rFont val="Calibri"/>
        <family val="2"/>
        <scheme val="minor"/>
      </rPr>
      <t>input cells</t>
    </r>
    <r>
      <rPr>
        <sz val="10"/>
        <color theme="1"/>
        <rFont val="Calibri"/>
        <family val="2"/>
        <scheme val="minor"/>
      </rPr>
      <t xml:space="preserve"> on the </t>
    </r>
    <r>
      <rPr>
        <b/>
        <sz val="10"/>
        <color theme="1"/>
        <rFont val="Calibri"/>
        <family val="2"/>
        <scheme val="minor"/>
      </rPr>
      <t>Model Assumptions</t>
    </r>
    <r>
      <rPr>
        <sz val="10"/>
        <color theme="1"/>
        <rFont val="Calibri"/>
        <family val="2"/>
        <scheme val="minor"/>
      </rPr>
      <t xml:space="preserve"> sheet</t>
    </r>
  </si>
  <si>
    <t>Step 3</t>
  </si>
  <si>
    <t>Additional sheets that require input:</t>
  </si>
  <si>
    <t>Step 4</t>
  </si>
  <si>
    <t>Step 5</t>
  </si>
  <si>
    <r>
      <t xml:space="preserve">Note: pre-existing inputs in input cells are only illustrative. </t>
    </r>
    <r>
      <rPr>
        <u/>
        <sz val="10"/>
        <color theme="1"/>
        <rFont val="Calibri"/>
        <family val="2"/>
        <scheme val="minor"/>
      </rPr>
      <t>All</t>
    </r>
    <r>
      <rPr>
        <sz val="10"/>
        <color theme="1"/>
        <rFont val="Calibri"/>
        <family val="2"/>
        <scheme val="minor"/>
      </rPr>
      <t xml:space="preserve"> of these pre-existing inputs have to be replaced by companies' specific inputs.</t>
    </r>
  </si>
  <si>
    <t>Only the input for month on month sales growth, collection rate, churn, overhead costs, and CapEx has to be left as is, given that the related input is automatically taken from the “model assumptions – scenarios” sheet (see step #2).</t>
  </si>
  <si>
    <r>
      <t xml:space="preserve">Inputs provided in this sheet flow into the </t>
    </r>
    <r>
      <rPr>
        <b/>
        <sz val="10"/>
        <color theme="1"/>
        <rFont val="Calibri"/>
        <family val="2"/>
        <scheme val="minor"/>
      </rPr>
      <t>Model Assumptions</t>
    </r>
    <r>
      <rPr>
        <sz val="10"/>
        <color theme="1"/>
        <rFont val="Calibri"/>
        <family val="2"/>
        <scheme val="minor"/>
      </rPr>
      <t xml:space="preserve"> sheet, based on the scenario selected (see step #3).</t>
    </r>
  </si>
  <si>
    <r>
      <t xml:space="preserve">Select the desired scenario in the </t>
    </r>
    <r>
      <rPr>
        <b/>
        <sz val="10"/>
        <color theme="1"/>
        <rFont val="Calibri"/>
        <family val="2"/>
        <scheme val="minor"/>
      </rPr>
      <t>Model Assumptions</t>
    </r>
    <r>
      <rPr>
        <sz val="10"/>
        <color theme="1"/>
        <rFont val="Calibri"/>
        <family val="2"/>
        <scheme val="minor"/>
      </rPr>
      <t xml:space="preserve"> sheet for month on month sales growth in the cell F72, collection rate in the cell F79, churn in the cell F82, overhead costs, and CapEx in the cell F95.</t>
    </r>
  </si>
  <si>
    <r>
      <t xml:space="preserve">Indicate the requirement for covenants (if any) and the assumptions on present value (PV) receivables and borrowings capacity on the </t>
    </r>
    <r>
      <rPr>
        <b/>
        <sz val="10"/>
        <color theme="1"/>
        <rFont val="Calibri"/>
        <family val="2"/>
        <scheme val="minor"/>
      </rPr>
      <t>Detailed model (LCY)</t>
    </r>
    <r>
      <rPr>
        <sz val="10"/>
        <color theme="1"/>
        <rFont val="Calibri"/>
        <family val="2"/>
        <scheme val="minor"/>
      </rPr>
      <t xml:space="preserve"> sheet (input cells in G309 to I320).</t>
    </r>
  </si>
  <si>
    <r>
      <t xml:space="preserve">Complete all the cells formatted as input cells (cost of equity) on the </t>
    </r>
    <r>
      <rPr>
        <b/>
        <sz val="10"/>
        <color theme="1"/>
        <rFont val="Calibri"/>
        <family val="2"/>
        <scheme val="minor"/>
      </rPr>
      <t>Cost of Capital</t>
    </r>
    <r>
      <rPr>
        <sz val="10"/>
        <color theme="1"/>
        <rFont val="Calibri"/>
        <family val="2"/>
        <scheme val="minor"/>
      </rPr>
      <t xml:space="preserve"> sheet</t>
    </r>
  </si>
  <si>
    <t>Number of installations or products that are expected to generate monthly revenues (cash inflows), eg products sold on credit that are still being repaid</t>
  </si>
  <si>
    <t>Forecast of units sold per year (in thousands) as well as cumulative sales</t>
  </si>
  <si>
    <t>Forecast of annual revenues in USD millions on cash basis (as opposed to accrual basis), ie includes revenue from cash sales each year and cash instalments of products sold on credit in previous years that are still being repaid.</t>
  </si>
  <si>
    <t xml:space="preserve">Forecast of Earnings before interest, taxes, depreciation, and amortization (EBITDA) each year, as well as Net income (EBITDA minus interest, taxes and depreciation). This allows to determine the company's projected profitability. </t>
  </si>
  <si>
    <t>CO2 saved per installation</t>
  </si>
  <si>
    <t xml:space="preserve">Forecast of net cumulative cash position of company for projected operations and investments (see row 147 of Macro Model (USD). Negative values (ie, in between brackets), suggest a need to meet the cash gap via financing operations (raising equity and debt). </t>
  </si>
  <si>
    <t xml:space="preserve">Forecast of outstanding debt (a liability) every year and of the value of the receivables account (an asset representing the amount customers owe for products sold on credit). Cash revenues every year are compared with debt in the "receivables coverage ratio". This is a measure of companies' ability to repay their debt, ie of their creditworthiness vis-à-vis potential lenders.  </t>
  </si>
  <si>
    <t xml:space="preserve">Forecast of cash position over cash revenues every year to determine the point of breakeven (ie indicator &gt;= 0%) on different bases: operational (ie, recovery of opex), and cash (recovery of opex, debt service, taxes, and other costs). </t>
  </si>
  <si>
    <t>Number of active customers in last period (before start of model, e.g. end of December 2022, if model starts in January 2023)</t>
  </si>
  <si>
    <t>Number of units sold per month in last period (before start of model, e.g. end of December 2022, if model starts in January 2023)</t>
  </si>
  <si>
    <t>https://www.get-invest.eu/</t>
  </si>
  <si>
    <t xml:space="preserve">This is one in a suite of three tools produced to help early-stage LMDs to get investment ready. You can also find an investment-readiness self assessment tool, and a pitch recommendation and template tool on the GDC's website: </t>
  </si>
  <si>
    <t>https://globaldistributorscollective.org/knowledge-hub</t>
  </si>
  <si>
    <t>About this model</t>
  </si>
  <si>
    <t>https://www.usaid.gov/sites/default/files/documents/20210114_Financial_Modeling_Tool_-_User_Guide.pdf</t>
  </si>
  <si>
    <t>This version of the tool (adjusted by GDC) was developed with the support of GET.invest, a European programme which aims to mobilise investment in decentralised renewable energy, supported by the European Union, Germany, Sweden, the Netherlands and Austria.</t>
  </si>
  <si>
    <t>Note:</t>
  </si>
  <si>
    <t>Main inputs are to be provided in input cells                                          on the following sheets:</t>
  </si>
  <si>
    <t>To preserve the integrity of the model, worksheets are protected so that only inut cells can be edited. Worksheets can however be unprotected without a password.</t>
  </si>
  <si>
    <t>This financial model has been adjusted by the Global Distributors Collective (GDC) from the Financial Modeling Tool for PAYGO Energy Access Companies published by Power Africa:</t>
  </si>
  <si>
    <t>Sheets in this file are protected (without password) so that only input cells can be edited. This allows to preserve the integrity of the calculation blocks.</t>
  </si>
  <si>
    <t>The model is provided to the public in good faith and based on the objectives stated above and is not to be sold by third parties. The model is not comprehensive. Neither GDC nor USAID make any representations or warranties (expressed or implied) as to the accuracy or completeness of the model. Users of the model should neither treat nor rely on the contents and calculations of the model as advice relating to legal, taxation, investment, accounting, or other matters and are advised to consult professional advisors in those areas. Interested parties should conduct their own inquiries, investigation, and analysis of the information set forth in the model. The model may include forward-looking statements that represent opinions, expectations, beliefs, intentions, estimates, or strategies regarding the future, which may not be realized. Actual and future results and trends could differ materially from those described by such statements and from projections made by the model. To the fullest extent permitted by law, GDC, USAID and Power Africa shall have no liability whatsoever to the user or any third party, with regard to the usage of the model, output of the model, or decisions made based upon the model, including the accuracy or completeness thereof. GDC, USAID and Power Africa expressly disclaim any and all legal responsibility and liability that may be based on the use of, or information provided by, the model or errors or omissions therein. Use of the model should not be construed as an endorsement by the U.S. Government of any particular company, possible investment, technology or business model.  USAID did not verify the accuracy of any information derived from public sources. USAID may update, replace or withdraw the model or the information contained herein, in part or entirely, at any time, and undertakes no obligation to notify users.</t>
  </si>
  <si>
    <r>
      <t xml:space="preserve">This adjusted model is intended for </t>
    </r>
    <r>
      <rPr>
        <b/>
        <u/>
        <sz val="11"/>
        <color theme="5"/>
        <rFont val="Calibri"/>
        <family val="2"/>
        <scheme val="minor"/>
      </rPr>
      <t>illustrative</t>
    </r>
    <r>
      <rPr>
        <b/>
        <sz val="11"/>
        <color theme="5"/>
        <rFont val="Calibri"/>
        <family val="2"/>
        <scheme val="minor"/>
      </rPr>
      <t xml:space="preserve"> use by last mile distributors of products sold on cash or credit. A good financial model should be </t>
    </r>
    <r>
      <rPr>
        <b/>
        <u/>
        <sz val="11"/>
        <color theme="5"/>
        <rFont val="Calibri"/>
        <family val="2"/>
        <scheme val="minor"/>
      </rPr>
      <t>customised</t>
    </r>
    <r>
      <rPr>
        <b/>
        <sz val="11"/>
        <color theme="5"/>
        <rFont val="Calibri"/>
        <family val="2"/>
        <scheme val="minor"/>
      </rPr>
      <t xml:space="preserve"> for each business. This template is intended as an introduction to financial modeling, and is not a one-size-fits all template. It will however be useful for LMDs with limited financial modelling experience to get familiar with jargon and presentation formats of financial projections, units economics, and liquidity management.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</si>
</sst>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_);_(* \(#,##0\);_(* &quot;-&quot;_);_(@_)"/>
    <numFmt numFmtId="165" formatCode="_(&quot;$&quot;* #,##0.00_);_(&quot;$&quot;* \(#,##0.00\);_(&quot;$&quot;* &quot;-&quot;??_);_(@_)"/>
    <numFmt numFmtId="166" formatCode="_(* #,##0.00_);_(* \(#,##0.00\);_(* &quot;-&quot;??_);_(@_)"/>
    <numFmt numFmtId="167" formatCode="0.0"/>
    <numFmt numFmtId="168" formatCode="0.0%"/>
    <numFmt numFmtId="169" formatCode="_(* #,##0_);_(* \(#,##0\);_(* &quot;-&quot;??_);_(@_)"/>
    <numFmt numFmtId="170" formatCode="_-* #,##0_-;\-* #,##0_-;_-* &quot;-&quot;??_-;_-@_-"/>
    <numFmt numFmtId="171" formatCode="[$-409]d\-mmm\-yy;@"/>
    <numFmt numFmtId="172" formatCode="#,##0_ ;\(#,##0\);\-\ "/>
    <numFmt numFmtId="173" formatCode="[$-409]dd\-mmm\-yy;@"/>
    <numFmt numFmtId="174" formatCode="dd\-mmm\-yyyy_);;&quot;-  &quot;;&quot; &quot;@&quot; &quot;"/>
    <numFmt numFmtId="175" formatCode="_(&quot;$&quot;* #,##0_);_(&quot;$&quot;* \(#,##0\);_(&quot;$&quot;* &quot;-&quot;??_);_(@_)"/>
    <numFmt numFmtId="176" formatCode="_(* #,##0.0_);_(* \(#,##0.0\);_(* &quot;-&quot;??_);_(@_)"/>
    <numFmt numFmtId="177" formatCode="_(* #,##0.000_);_(* \(#,##0.000\);_(* &quot;-&quot;??_);_(@_)"/>
    <numFmt numFmtId="178" formatCode="#,##0.0"/>
    <numFmt numFmtId="179" formatCode="[$USD]\ #,##0;[$USD]\ \-#,##0"/>
    <numFmt numFmtId="180" formatCode="[Red]#&quot; ERROR(S)&quot;;[Red]#&quot; ERROR(S)&quot;;[Green]&quot;OK&quot;"/>
    <numFmt numFmtId="181" formatCode="0.0000000"/>
    <numFmt numFmtId="182" formatCode="_(* #,##0.00000_);_(* \(#,##0.00000\);_(* &quot;-&quot;??_);_(@_)"/>
    <numFmt numFmtId="183" formatCode="0.00000000000000%"/>
    <numFmt numFmtId="184" formatCode="0.000000000000000%"/>
  </numFmts>
  <fonts count="123">
    <font>
      <sz val="11"/>
      <color theme="1"/>
      <name val="Calibri"/>
      <family val="2"/>
      <scheme val="minor"/>
    </font>
    <font>
      <sz val="11"/>
      <color theme="1"/>
      <name val="Calibri"/>
      <family val="2"/>
      <scheme val="minor"/>
    </font>
    <font>
      <u/>
      <sz val="11"/>
      <color theme="1"/>
      <name val="Calibri"/>
      <family val="2"/>
      <scheme val="minor"/>
    </font>
    <font>
      <sz val="10"/>
      <name val="Arial"/>
      <family val="2"/>
    </font>
    <font>
      <u/>
      <sz val="11"/>
      <color theme="10"/>
      <name val="Calibri"/>
      <family val="2"/>
      <scheme val="minor"/>
    </font>
    <font>
      <sz val="11"/>
      <color rgb="FFFFFFFF"/>
      <name val="Calibri"/>
      <family val="2"/>
    </font>
    <font>
      <sz val="11"/>
      <color rgb="FF000000"/>
      <name val="Calibri"/>
      <family val="2"/>
    </font>
    <font>
      <b/>
      <sz val="12"/>
      <name val="Calibri"/>
      <family val="2"/>
    </font>
    <font>
      <b/>
      <sz val="12"/>
      <color rgb="FFFFFFFF"/>
      <name val="Arial"/>
      <family val="2"/>
    </font>
    <font>
      <sz val="11"/>
      <color theme="1"/>
      <name val="Calibri"/>
      <family val="2"/>
    </font>
    <font>
      <sz val="11"/>
      <name val="Calibri"/>
      <family val="2"/>
    </font>
    <font>
      <b/>
      <sz val="11"/>
      <color rgb="FFFFFFFF"/>
      <name val="Calibri"/>
      <family val="2"/>
    </font>
    <font>
      <b/>
      <sz val="11"/>
      <color theme="0"/>
      <name val="Calibri"/>
      <family val="2"/>
    </font>
    <font>
      <sz val="10"/>
      <color rgb="FFFFFFFF"/>
      <name val="Calibri"/>
      <family val="2"/>
    </font>
    <font>
      <sz val="10"/>
      <color theme="1"/>
      <name val="Calibri"/>
      <family val="2"/>
      <scheme val="minor"/>
    </font>
    <font>
      <u/>
      <sz val="10"/>
      <color theme="1"/>
      <name val="Calibri"/>
      <family val="2"/>
      <scheme val="minor"/>
    </font>
    <font>
      <sz val="10"/>
      <name val="Calibri"/>
      <family val="2"/>
      <scheme val="minor"/>
    </font>
    <font>
      <sz val="10"/>
      <color theme="4"/>
      <name val="Calibri"/>
      <family val="2"/>
      <scheme val="minor"/>
    </font>
    <font>
      <sz val="10"/>
      <color rgb="FF000000"/>
      <name val="Calibri"/>
      <family val="2"/>
    </font>
    <font>
      <sz val="10"/>
      <color theme="1"/>
      <name val="Calibri"/>
      <family val="2"/>
    </font>
    <font>
      <b/>
      <sz val="10"/>
      <color rgb="FF000000"/>
      <name val="Calibri"/>
      <family val="2"/>
    </font>
    <font>
      <b/>
      <sz val="10"/>
      <name val="Calibri"/>
      <family val="2"/>
    </font>
    <font>
      <b/>
      <sz val="10"/>
      <color theme="1"/>
      <name val="Calibri"/>
      <family val="2"/>
      <scheme val="minor"/>
    </font>
    <font>
      <b/>
      <sz val="10"/>
      <name val="Calibri"/>
      <family val="2"/>
      <scheme val="minor"/>
    </font>
    <font>
      <sz val="10"/>
      <color rgb="FF4472C4"/>
      <name val="Calibri"/>
      <family val="2"/>
    </font>
    <font>
      <b/>
      <i/>
      <sz val="10"/>
      <color rgb="FF000000"/>
      <name val="Calibri"/>
      <family val="2"/>
    </font>
    <font>
      <sz val="10"/>
      <name val="Calibri"/>
      <family val="2"/>
    </font>
    <font>
      <u val="singleAccounting"/>
      <sz val="10"/>
      <name val="Calibri"/>
      <family val="2"/>
    </font>
    <font>
      <b/>
      <sz val="10"/>
      <color rgb="FF974706"/>
      <name val="Calibri"/>
      <family val="2"/>
    </font>
    <font>
      <b/>
      <sz val="10"/>
      <color theme="1"/>
      <name val="Calibri"/>
      <family val="2"/>
    </font>
    <font>
      <sz val="11"/>
      <name val="Calibri"/>
      <family val="2"/>
      <scheme val="minor"/>
    </font>
    <font>
      <b/>
      <sz val="10"/>
      <color rgb="FFFFFFFF"/>
      <name val="Calibri"/>
      <family val="2"/>
    </font>
    <font>
      <i/>
      <sz val="10"/>
      <color theme="1"/>
      <name val="Calibri"/>
      <family val="2"/>
      <scheme val="minor"/>
    </font>
    <font>
      <sz val="10"/>
      <color theme="4"/>
      <name val="Calibri"/>
      <family val="2"/>
    </font>
    <font>
      <b/>
      <u/>
      <sz val="10"/>
      <color theme="0"/>
      <name val="Calibri"/>
      <family val="2"/>
      <scheme val="minor"/>
    </font>
    <font>
      <u/>
      <sz val="11"/>
      <color rgb="FF000000"/>
      <name val="Calibri"/>
      <family val="2"/>
    </font>
    <font>
      <sz val="11"/>
      <color theme="4"/>
      <name val="Calibri"/>
      <family val="2"/>
    </font>
    <font>
      <sz val="10"/>
      <color rgb="FFFFFFFF"/>
      <name val="Calibri"/>
      <family val="2"/>
      <scheme val="minor"/>
    </font>
    <font>
      <b/>
      <sz val="10"/>
      <color rgb="FF000000"/>
      <name val="Calibri"/>
      <family val="2"/>
      <scheme val="minor"/>
    </font>
    <font>
      <u/>
      <sz val="10"/>
      <color rgb="FF000000"/>
      <name val="Calibri"/>
      <family val="2"/>
      <scheme val="minor"/>
    </font>
    <font>
      <b/>
      <sz val="10"/>
      <color theme="4"/>
      <name val="Calibri"/>
      <family val="2"/>
    </font>
    <font>
      <b/>
      <sz val="10"/>
      <color theme="4"/>
      <name val="Calibri"/>
      <family val="2"/>
      <scheme val="minor"/>
    </font>
    <font>
      <sz val="10"/>
      <color rgb="FF00B050"/>
      <name val="Calibri"/>
      <family val="2"/>
      <scheme val="minor"/>
    </font>
    <font>
      <b/>
      <sz val="10"/>
      <color rgb="FF00B050"/>
      <name val="Calibri"/>
      <family val="2"/>
    </font>
    <font>
      <b/>
      <sz val="10"/>
      <color rgb="FF00B050"/>
      <name val="Calibri"/>
      <family val="2"/>
      <scheme val="minor"/>
    </font>
    <font>
      <b/>
      <u/>
      <sz val="10"/>
      <color theme="1"/>
      <name val="Calibri"/>
      <family val="2"/>
      <scheme val="minor"/>
    </font>
    <font>
      <sz val="10"/>
      <color theme="1"/>
      <name val="Arial"/>
      <family val="2"/>
    </font>
    <font>
      <sz val="8"/>
      <name val="Calibri"/>
      <family val="2"/>
      <scheme val="minor"/>
    </font>
    <font>
      <u/>
      <sz val="10"/>
      <name val="Calibri"/>
      <family val="2"/>
      <scheme val="minor"/>
    </font>
    <font>
      <b/>
      <sz val="10"/>
      <color theme="9"/>
      <name val="Calibri"/>
      <family val="2"/>
    </font>
    <font>
      <sz val="10"/>
      <color rgb="FFFF0000"/>
      <name val="Calibri"/>
      <family val="2"/>
      <scheme val="minor"/>
    </font>
    <font>
      <b/>
      <sz val="10"/>
      <color theme="9"/>
      <name val="Calibri"/>
      <family val="2"/>
      <scheme val="minor"/>
    </font>
    <font>
      <sz val="10"/>
      <color theme="9"/>
      <name val="Calibri"/>
      <family val="2"/>
      <scheme val="minor"/>
    </font>
    <font>
      <i/>
      <sz val="10"/>
      <color theme="0" tint="-0.34998626667073579"/>
      <name val="Calibri"/>
      <family val="2"/>
      <scheme val="minor"/>
    </font>
    <font>
      <sz val="10"/>
      <color rgb="FF974706"/>
      <name val="Calibri"/>
      <family val="2"/>
    </font>
    <font>
      <sz val="10"/>
      <color theme="0" tint="-0.499984740745262"/>
      <name val="Calibri"/>
      <family val="2"/>
    </font>
    <font>
      <sz val="10"/>
      <color theme="0" tint="-0.499984740745262"/>
      <name val="Calibri"/>
      <family val="2"/>
      <scheme val="minor"/>
    </font>
    <font>
      <sz val="11"/>
      <color theme="9"/>
      <name val="Calibri"/>
      <family val="2"/>
    </font>
    <font>
      <i/>
      <sz val="10"/>
      <color theme="0" tint="-0.499984740745262"/>
      <name val="Calibri"/>
      <family val="2"/>
      <scheme val="minor"/>
    </font>
    <font>
      <sz val="8"/>
      <color rgb="FFFFFFFF"/>
      <name val="Calibri"/>
      <family val="2"/>
    </font>
    <font>
      <sz val="8"/>
      <color theme="1"/>
      <name val="Calibri"/>
      <family val="2"/>
    </font>
    <font>
      <sz val="10"/>
      <color theme="4" tint="-0.249977111117893"/>
      <name val="Calibri"/>
      <family val="2"/>
      <scheme val="minor"/>
    </font>
    <font>
      <i/>
      <sz val="10"/>
      <name val="Calibri"/>
      <family val="2"/>
    </font>
    <font>
      <b/>
      <u/>
      <sz val="10"/>
      <color theme="0"/>
      <name val="Calibri"/>
      <family val="2"/>
    </font>
    <font>
      <i/>
      <sz val="10"/>
      <color theme="1"/>
      <name val="Calibri"/>
      <family val="2"/>
    </font>
    <font>
      <sz val="10"/>
      <color rgb="FFFF0000"/>
      <name val="Calibri"/>
      <family val="2"/>
    </font>
    <font>
      <b/>
      <sz val="10"/>
      <color theme="0"/>
      <name val="Calibri"/>
      <family val="2"/>
      <scheme val="minor"/>
    </font>
    <font>
      <sz val="10"/>
      <color rgb="FF000000"/>
      <name val="Calibri"/>
      <family val="2"/>
      <scheme val="minor"/>
    </font>
    <font>
      <b/>
      <sz val="10"/>
      <color theme="7" tint="-0.249977111117893"/>
      <name val="Calibri"/>
      <family val="2"/>
      <scheme val="minor"/>
    </font>
    <font>
      <sz val="10"/>
      <color theme="7" tint="-0.249977111117893"/>
      <name val="Calibri"/>
      <family val="2"/>
      <scheme val="minor"/>
    </font>
    <font>
      <b/>
      <i/>
      <sz val="10"/>
      <color rgb="FF974706"/>
      <name val="Calibri"/>
      <family val="2"/>
    </font>
    <font>
      <i/>
      <sz val="10"/>
      <color theme="0" tint="-0.499984740745262"/>
      <name val="Calibri"/>
      <family val="2"/>
    </font>
    <font>
      <u val="singleAccounting"/>
      <sz val="10"/>
      <name val="Calibri"/>
      <family val="2"/>
      <scheme val="minor"/>
    </font>
    <font>
      <b/>
      <sz val="10"/>
      <color rgb="FF974706"/>
      <name val="Calibri"/>
      <family val="2"/>
      <scheme val="minor"/>
    </font>
    <font>
      <b/>
      <sz val="10"/>
      <color rgb="FFFFFFFF"/>
      <name val="Calibri"/>
      <family val="2"/>
      <scheme val="minor"/>
    </font>
    <font>
      <u/>
      <sz val="10"/>
      <color theme="0"/>
      <name val="Calibri"/>
      <family val="2"/>
      <scheme val="minor"/>
    </font>
    <font>
      <u/>
      <sz val="10"/>
      <color theme="10"/>
      <name val="Calibri"/>
      <family val="2"/>
      <scheme val="minor"/>
    </font>
    <font>
      <b/>
      <sz val="10"/>
      <color theme="5"/>
      <name val="Calibri"/>
      <family val="2"/>
      <scheme val="minor"/>
    </font>
    <font>
      <sz val="10"/>
      <color rgb="FF00B050"/>
      <name val="Calibri"/>
      <family val="2"/>
    </font>
    <font>
      <b/>
      <sz val="10"/>
      <color theme="0"/>
      <name val="Calibri"/>
      <family val="2"/>
    </font>
    <font>
      <i/>
      <sz val="10"/>
      <name val="Calibri"/>
      <family val="2"/>
      <scheme val="minor"/>
    </font>
    <font>
      <b/>
      <sz val="10"/>
      <color rgb="FFFF0000"/>
      <name val="Calibri"/>
      <family val="2"/>
      <scheme val="minor"/>
    </font>
    <font>
      <b/>
      <i/>
      <sz val="10"/>
      <color theme="1"/>
      <name val="Calibri"/>
      <family val="2"/>
      <scheme val="minor"/>
    </font>
    <font>
      <i/>
      <sz val="10"/>
      <color rgb="FFFF0000"/>
      <name val="Calibri"/>
      <family val="2"/>
      <scheme val="minor"/>
    </font>
    <font>
      <sz val="10"/>
      <color theme="0"/>
      <name val="Calibri"/>
      <family val="2"/>
      <scheme val="minor"/>
    </font>
    <font>
      <b/>
      <sz val="10"/>
      <color rgb="FFFF0000"/>
      <name val="Calibri"/>
      <family val="2"/>
    </font>
    <font>
      <u val="singleAccounting"/>
      <sz val="10"/>
      <color rgb="FFFF0000"/>
      <name val="Calibri"/>
      <family val="2"/>
    </font>
    <font>
      <b/>
      <sz val="22"/>
      <color theme="7" tint="-0.249977111117893"/>
      <name val="Calibri"/>
      <family val="2"/>
      <scheme val="minor"/>
    </font>
    <font>
      <sz val="12"/>
      <color theme="1"/>
      <name val="Calibri"/>
      <family val="2"/>
      <scheme val="minor"/>
    </font>
    <font>
      <b/>
      <sz val="12"/>
      <name val="Calibri "/>
    </font>
    <font>
      <b/>
      <sz val="12"/>
      <color theme="5"/>
      <name val="Calibri"/>
      <family val="2"/>
      <scheme val="minor"/>
    </font>
    <font>
      <b/>
      <sz val="10"/>
      <color theme="7"/>
      <name val="Calibri"/>
      <family val="2"/>
    </font>
    <font>
      <sz val="10"/>
      <color theme="7"/>
      <name val="Calibri"/>
      <family val="2"/>
      <scheme val="minor"/>
    </font>
    <font>
      <sz val="10"/>
      <color theme="7"/>
      <name val="Calibri"/>
      <family val="2"/>
    </font>
    <font>
      <b/>
      <sz val="10"/>
      <color theme="7"/>
      <name val="Calibri"/>
      <family val="2"/>
      <scheme val="minor"/>
    </font>
    <font>
      <sz val="10"/>
      <color theme="8" tint="-0.249977111117893"/>
      <name val="Calibri"/>
      <family val="2"/>
      <scheme val="minor"/>
    </font>
    <font>
      <sz val="10"/>
      <color theme="9" tint="-0.499984740745262"/>
      <name val="Calibri"/>
      <family val="2"/>
    </font>
    <font>
      <sz val="10"/>
      <color theme="8" tint="-0.249977111117893"/>
      <name val="Calibri"/>
      <family val="2"/>
    </font>
    <font>
      <b/>
      <sz val="10"/>
      <color theme="8" tint="-0.249977111117893"/>
      <name val="Calibri"/>
      <family val="2"/>
    </font>
    <font>
      <b/>
      <sz val="10"/>
      <color theme="8" tint="-0.249977111117893"/>
      <name val="Calibri"/>
      <family val="2"/>
      <scheme val="minor"/>
    </font>
    <font>
      <sz val="10"/>
      <color rgb="FFD0A800"/>
      <name val="Calibri"/>
      <family val="2"/>
      <scheme val="minor"/>
    </font>
    <font>
      <b/>
      <sz val="10"/>
      <color rgb="FFD0A800"/>
      <name val="Calibri"/>
      <family val="2"/>
      <scheme val="minor"/>
    </font>
    <font>
      <sz val="10"/>
      <color rgb="FFD0A800"/>
      <name val="Calibri"/>
      <family val="2"/>
    </font>
    <font>
      <b/>
      <sz val="10"/>
      <color rgb="FFD0A800"/>
      <name val="Calibri"/>
      <family val="2"/>
    </font>
    <font>
      <sz val="11"/>
      <color theme="8" tint="-0.249977111117893"/>
      <name val="Calibri"/>
      <family val="2"/>
    </font>
    <font>
      <sz val="11"/>
      <color theme="8" tint="-0.249977111117893"/>
      <name val="Calibri"/>
      <family val="2"/>
      <scheme val="minor"/>
    </font>
    <font>
      <b/>
      <i/>
      <sz val="12"/>
      <color theme="9" tint="-0.249977111117893"/>
      <name val="Calibri"/>
      <family val="2"/>
      <scheme val="minor"/>
    </font>
    <font>
      <i/>
      <sz val="10"/>
      <color theme="2" tint="-0.249977111117893"/>
      <name val="Calibri"/>
      <family val="2"/>
      <scheme val="minor"/>
    </font>
    <font>
      <i/>
      <sz val="10"/>
      <color theme="2" tint="-0.249977111117893"/>
      <name val="Calibri"/>
      <family val="2"/>
    </font>
    <font>
      <i/>
      <sz val="10"/>
      <color theme="8" tint="-0.249977111117893"/>
      <name val="Calibri"/>
      <family val="2"/>
      <scheme val="minor"/>
    </font>
    <font>
      <i/>
      <sz val="10"/>
      <color theme="1" tint="0.499984740745262"/>
      <name val="Calibri"/>
      <family val="2"/>
      <scheme val="minor"/>
    </font>
    <font>
      <i/>
      <sz val="10"/>
      <color indexed="23" tint="-0.499984740745262"/>
      <name val="Calibri"/>
      <family val="2"/>
      <scheme val="minor"/>
    </font>
    <font>
      <b/>
      <sz val="11"/>
      <color theme="1"/>
      <name val="Calibri"/>
      <family val="2"/>
      <scheme val="minor"/>
    </font>
    <font>
      <sz val="10"/>
      <color theme="8" tint="-0.249977111117893"/>
      <name val="Calibri Light"/>
      <family val="2"/>
      <scheme val="major"/>
    </font>
    <font>
      <u/>
      <sz val="11"/>
      <color theme="1"/>
      <name val="Calibri"/>
      <family val="2"/>
    </font>
    <font>
      <i/>
      <sz val="11"/>
      <color theme="8" tint="-0.249977111117893"/>
      <name val="Calibri"/>
      <family val="2"/>
    </font>
    <font>
      <i/>
      <sz val="11"/>
      <color theme="1"/>
      <name val="Calibri"/>
      <family val="2"/>
    </font>
    <font>
      <u/>
      <sz val="11"/>
      <name val="Calibri"/>
      <family val="2"/>
    </font>
    <font>
      <i/>
      <sz val="10"/>
      <color rgb="FFFF0000"/>
      <name val="Calibri"/>
      <family val="2"/>
    </font>
    <font>
      <i/>
      <sz val="10"/>
      <color rgb="FFD0A800"/>
      <name val="Calibri"/>
      <family val="2"/>
    </font>
    <font>
      <b/>
      <sz val="10"/>
      <color theme="0" tint="-0.499984740745262"/>
      <name val="Calibri"/>
      <family val="2"/>
    </font>
    <font>
      <b/>
      <sz val="11"/>
      <color theme="5"/>
      <name val="Calibri"/>
      <family val="2"/>
      <scheme val="minor"/>
    </font>
    <font>
      <b/>
      <u/>
      <sz val="11"/>
      <color theme="5"/>
      <name val="Calibri"/>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FF99"/>
        <bgColor rgb="FF000000"/>
      </patternFill>
    </fill>
    <fill>
      <patternFill patternType="solid">
        <fgColor rgb="FF00338D"/>
        <bgColor rgb="FF000000"/>
      </patternFill>
    </fill>
    <fill>
      <patternFill patternType="solid">
        <fgColor rgb="FFFFFFFF"/>
        <bgColor rgb="FF000000"/>
      </patternFill>
    </fill>
    <fill>
      <patternFill patternType="solid">
        <fgColor theme="0"/>
        <bgColor rgb="FF00000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249977111117893"/>
        <bgColor rgb="FF000000"/>
      </patternFill>
    </fill>
    <fill>
      <patternFill patternType="solid">
        <fgColor theme="7" tint="-0.249977111117893"/>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4"/>
        <bgColor indexed="64"/>
      </patternFill>
    </fill>
    <fill>
      <patternFill patternType="solid">
        <fgColor rgb="FF171F33"/>
        <bgColor indexed="64"/>
      </patternFill>
    </fill>
    <fill>
      <patternFill patternType="solid">
        <fgColor rgb="FF171F33"/>
        <bgColor rgb="FF000000"/>
      </patternFill>
    </fill>
    <fill>
      <patternFill patternType="solid">
        <fgColor theme="6"/>
        <bgColor indexed="64"/>
      </patternFill>
    </fill>
  </fills>
  <borders count="2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thick">
        <color indexed="18"/>
      </top>
      <bottom/>
      <diagonal/>
    </border>
    <border>
      <left style="hair">
        <color rgb="FF806000"/>
      </left>
      <right style="hair">
        <color rgb="FF806000"/>
      </right>
      <top style="hair">
        <color rgb="FF806000"/>
      </top>
      <bottom style="hair">
        <color rgb="FF806000"/>
      </bottom>
      <diagonal/>
    </border>
    <border>
      <left/>
      <right/>
      <top/>
      <bottom style="medium">
        <color theme="7" tint="-0.499984740745262"/>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
        <color theme="7" tint="-0.249977111117893"/>
      </bottom>
      <diagonal/>
    </border>
    <border>
      <left style="thin">
        <color theme="0"/>
      </left>
      <right style="thin">
        <color theme="0"/>
      </right>
      <top style="thin">
        <color theme="0"/>
      </top>
      <bottom style="thin">
        <color theme="0"/>
      </bottom>
      <diagonal/>
    </border>
    <border>
      <left style="hair">
        <color auto="1"/>
      </left>
      <right style="hair">
        <color auto="1"/>
      </right>
      <top/>
      <bottom style="hair">
        <color auto="1"/>
      </bottom>
      <diagonal/>
    </border>
    <border>
      <left/>
      <right/>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theme="0"/>
      </left>
      <right/>
      <top/>
      <bottom style="thin">
        <color theme="0"/>
      </bottom>
      <diagonal/>
    </border>
    <border>
      <left style="hair">
        <color auto="1"/>
      </left>
      <right style="hair">
        <color auto="1"/>
      </right>
      <top style="hair">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diagonal/>
    </border>
  </borders>
  <cellStyleXfs count="11">
    <xf numFmtId="0" fontId="0" fillId="0" borderId="0"/>
    <xf numFmtId="9" fontId="1" fillId="0" borderId="0" applyFont="0" applyFill="0" applyBorder="0" applyAlignment="0" applyProtection="0"/>
    <xf numFmtId="0" fontId="3" fillId="0" borderId="0"/>
    <xf numFmtId="166" fontId="1" fillId="0" borderId="0" applyFont="0" applyFill="0" applyBorder="0" applyAlignment="0" applyProtection="0"/>
    <xf numFmtId="166" fontId="1" fillId="0" borderId="0" applyFont="0" applyFill="0" applyBorder="0" applyAlignment="0" applyProtection="0"/>
    <xf numFmtId="0" fontId="4" fillId="0" borderId="0" applyNumberFormat="0" applyFill="0" applyBorder="0" applyAlignment="0" applyProtection="0"/>
    <xf numFmtId="0" fontId="7" fillId="0" borderId="5">
      <alignment horizontal="left"/>
    </xf>
    <xf numFmtId="172" fontId="8" fillId="7" borderId="0" applyNumberFormat="0">
      <alignment vertical="top"/>
    </xf>
    <xf numFmtId="169" fontId="10" fillId="0" borderId="0">
      <alignment vertical="top"/>
    </xf>
    <xf numFmtId="174" fontId="10" fillId="0" borderId="0"/>
    <xf numFmtId="165" fontId="1" fillId="0" borderId="0" applyFont="0" applyFill="0" applyBorder="0" applyAlignment="0" applyProtection="0"/>
  </cellStyleXfs>
  <cellXfs count="673">
    <xf numFmtId="0" fontId="0" fillId="0" borderId="0" xfId="0"/>
    <xf numFmtId="0" fontId="2" fillId="2" borderId="0" xfId="0" applyFont="1" applyFill="1"/>
    <xf numFmtId="169" fontId="0" fillId="0" borderId="0" xfId="4" applyNumberFormat="1" applyFont="1"/>
    <xf numFmtId="169" fontId="0" fillId="2" borderId="0" xfId="4" applyNumberFormat="1" applyFont="1" applyFill="1"/>
    <xf numFmtId="0" fontId="5" fillId="0" borderId="0" xfId="0" applyFont="1"/>
    <xf numFmtId="0" fontId="14" fillId="0" borderId="0" xfId="0" applyFont="1"/>
    <xf numFmtId="0" fontId="15" fillId="0" borderId="0" xfId="0" applyFont="1"/>
    <xf numFmtId="3" fontId="14" fillId="0" borderId="0" xfId="0" applyNumberFormat="1" applyFont="1"/>
    <xf numFmtId="0" fontId="14" fillId="0" borderId="0" xfId="0" applyFont="1" applyAlignment="1">
      <alignment horizontal="left"/>
    </xf>
    <xf numFmtId="0" fontId="14" fillId="3" borderId="0" xfId="0" applyFont="1" applyFill="1"/>
    <xf numFmtId="0" fontId="22" fillId="3" borderId="0" xfId="0" applyFont="1" applyFill="1"/>
    <xf numFmtId="0" fontId="17" fillId="0" borderId="0" xfId="0" applyFont="1"/>
    <xf numFmtId="0" fontId="14" fillId="3" borderId="0" xfId="0" applyFont="1" applyFill="1" applyAlignment="1">
      <alignment horizontal="right"/>
    </xf>
    <xf numFmtId="9" fontId="14" fillId="0" borderId="0" xfId="1" applyFont="1" applyFill="1"/>
    <xf numFmtId="2" fontId="21" fillId="0" borderId="0" xfId="6" applyNumberFormat="1" applyFont="1" applyBorder="1" applyAlignment="1">
      <alignment horizontal="left" vertical="top"/>
    </xf>
    <xf numFmtId="0" fontId="18" fillId="0" borderId="0" xfId="0" applyFont="1"/>
    <xf numFmtId="0" fontId="20" fillId="0" borderId="0" xfId="0" applyFont="1"/>
    <xf numFmtId="0" fontId="25" fillId="0" borderId="0" xfId="0" applyFont="1"/>
    <xf numFmtId="171" fontId="18" fillId="0" borderId="0" xfId="0" applyNumberFormat="1" applyFont="1"/>
    <xf numFmtId="173" fontId="19" fillId="0" borderId="0" xfId="0" applyNumberFormat="1" applyFont="1"/>
    <xf numFmtId="169" fontId="26" fillId="0" borderId="0" xfId="0" applyNumberFormat="1" applyFont="1" applyAlignment="1">
      <alignment vertical="top"/>
    </xf>
    <xf numFmtId="169" fontId="27" fillId="0" borderId="0" xfId="0" applyNumberFormat="1" applyFont="1" applyAlignment="1">
      <alignment horizontal="left" vertical="top"/>
    </xf>
    <xf numFmtId="0" fontId="14" fillId="3" borderId="0" xfId="0" applyFont="1" applyFill="1" applyAlignment="1">
      <alignment horizontal="left" vertical="center" indent="2"/>
    </xf>
    <xf numFmtId="9" fontId="26" fillId="0" borderId="0" xfId="1" applyFont="1" applyFill="1" applyBorder="1" applyAlignment="1" applyProtection="1">
      <alignment vertical="top"/>
    </xf>
    <xf numFmtId="169" fontId="21" fillId="0" borderId="0" xfId="0" applyNumberFormat="1" applyFont="1" applyAlignment="1">
      <alignment vertical="top"/>
    </xf>
    <xf numFmtId="169" fontId="14" fillId="0" borderId="0" xfId="4" applyNumberFormat="1" applyFont="1"/>
    <xf numFmtId="9" fontId="14" fillId="0" borderId="0" xfId="0" applyNumberFormat="1" applyFont="1"/>
    <xf numFmtId="9" fontId="14" fillId="0" borderId="0" xfId="1" applyFont="1" applyFill="1" applyBorder="1"/>
    <xf numFmtId="0" fontId="0" fillId="2" borderId="0" xfId="0" applyFill="1"/>
    <xf numFmtId="168" fontId="14" fillId="3" borderId="0" xfId="0" applyNumberFormat="1" applyFont="1" applyFill="1"/>
    <xf numFmtId="2" fontId="28" fillId="0" borderId="0" xfId="6" applyNumberFormat="1" applyFont="1" applyBorder="1" applyAlignment="1">
      <alignment horizontal="left" vertical="top"/>
    </xf>
    <xf numFmtId="3" fontId="16" fillId="0" borderId="0" xfId="0" applyNumberFormat="1" applyFont="1"/>
    <xf numFmtId="170" fontId="26" fillId="0" borderId="0" xfId="4" applyNumberFormat="1" applyFont="1" applyFill="1" applyBorder="1" applyAlignment="1" applyProtection="1">
      <alignment vertical="top"/>
    </xf>
    <xf numFmtId="169" fontId="26" fillId="0" borderId="0" xfId="4" applyNumberFormat="1" applyFont="1" applyFill="1" applyBorder="1" applyAlignment="1" applyProtection="1">
      <alignment vertical="top"/>
    </xf>
    <xf numFmtId="169" fontId="33" fillId="0" borderId="0" xfId="4" applyNumberFormat="1" applyFont="1" applyFill="1" applyBorder="1" applyAlignment="1" applyProtection="1">
      <alignment vertical="top"/>
    </xf>
    <xf numFmtId="169" fontId="14" fillId="0" borderId="0" xfId="0" applyNumberFormat="1" applyFont="1"/>
    <xf numFmtId="166" fontId="14" fillId="0" borderId="0" xfId="4" applyFont="1"/>
    <xf numFmtId="0" fontId="22" fillId="0" borderId="0" xfId="0" applyFont="1"/>
    <xf numFmtId="169" fontId="22" fillId="0" borderId="0" xfId="4" applyNumberFormat="1" applyFont="1"/>
    <xf numFmtId="0" fontId="10" fillId="0" borderId="0" xfId="0" applyFont="1"/>
    <xf numFmtId="169" fontId="10" fillId="0" borderId="0" xfId="4" applyNumberFormat="1" applyFont="1" applyFill="1" applyBorder="1"/>
    <xf numFmtId="0" fontId="30" fillId="0" borderId="0" xfId="0" applyFont="1"/>
    <xf numFmtId="0" fontId="16" fillId="0" borderId="0" xfId="0" applyFont="1"/>
    <xf numFmtId="0" fontId="9" fillId="0" borderId="0" xfId="0" applyFont="1"/>
    <xf numFmtId="0" fontId="35" fillId="0" borderId="0" xfId="0" applyFont="1"/>
    <xf numFmtId="169" fontId="36" fillId="2" borderId="0" xfId="4" applyNumberFormat="1" applyFont="1" applyFill="1" applyBorder="1"/>
    <xf numFmtId="169" fontId="9" fillId="0" borderId="0" xfId="4" applyNumberFormat="1" applyFont="1"/>
    <xf numFmtId="169" fontId="16" fillId="0" borderId="0" xfId="4" applyNumberFormat="1" applyFont="1"/>
    <xf numFmtId="0" fontId="22" fillId="0" borderId="0" xfId="0" applyFont="1" applyAlignment="1">
      <alignment horizontal="center"/>
    </xf>
    <xf numFmtId="0" fontId="23" fillId="0" borderId="0" xfId="0" applyFont="1"/>
    <xf numFmtId="0" fontId="14" fillId="0" borderId="0" xfId="0" applyFont="1" applyAlignment="1">
      <alignment horizontal="right" vertical="center"/>
    </xf>
    <xf numFmtId="0" fontId="38" fillId="0" borderId="0" xfId="0" applyFont="1" applyAlignment="1">
      <alignment horizontal="right"/>
    </xf>
    <xf numFmtId="0" fontId="14" fillId="0" borderId="0" xfId="0" applyFont="1" applyAlignment="1">
      <alignment horizontal="right"/>
    </xf>
    <xf numFmtId="0" fontId="39" fillId="0" borderId="0" xfId="0" applyFont="1"/>
    <xf numFmtId="166" fontId="14" fillId="0" borderId="0" xfId="0" applyNumberFormat="1" applyFont="1"/>
    <xf numFmtId="0" fontId="14" fillId="0" borderId="2" xfId="0" applyFont="1" applyBorder="1"/>
    <xf numFmtId="0" fontId="14" fillId="0" borderId="8" xfId="0" applyFont="1" applyBorder="1"/>
    <xf numFmtId="169" fontId="14" fillId="0" borderId="2" xfId="0" applyNumberFormat="1" applyFont="1" applyBorder="1"/>
    <xf numFmtId="169" fontId="21" fillId="0" borderId="0" xfId="4" applyNumberFormat="1" applyFont="1" applyFill="1" applyBorder="1" applyAlignment="1">
      <alignment horizontal="left" vertical="top"/>
    </xf>
    <xf numFmtId="169" fontId="26" fillId="0" borderId="0" xfId="4" applyNumberFormat="1" applyFont="1" applyFill="1" applyBorder="1" applyAlignment="1">
      <alignment horizontal="left" vertical="top"/>
    </xf>
    <xf numFmtId="167" fontId="26" fillId="0" borderId="0" xfId="6" applyNumberFormat="1" applyFont="1" applyBorder="1" applyAlignment="1">
      <alignment horizontal="left" vertical="top"/>
    </xf>
    <xf numFmtId="1" fontId="21" fillId="0" borderId="0" xfId="6" applyNumberFormat="1" applyFont="1" applyBorder="1" applyAlignment="1">
      <alignment horizontal="left" vertical="top" indent="1"/>
    </xf>
    <xf numFmtId="0" fontId="32" fillId="0" borderId="0" xfId="0" applyFont="1"/>
    <xf numFmtId="2" fontId="26" fillId="0" borderId="0" xfId="6" applyNumberFormat="1" applyFont="1" applyBorder="1" applyAlignment="1">
      <alignment horizontal="left" vertical="top"/>
    </xf>
    <xf numFmtId="169" fontId="22" fillId="0" borderId="8" xfId="0" applyNumberFormat="1" applyFont="1" applyBorder="1"/>
    <xf numFmtId="2" fontId="28" fillId="0" borderId="8" xfId="6" applyNumberFormat="1" applyFont="1" applyBorder="1" applyAlignment="1">
      <alignment horizontal="left" vertical="top"/>
    </xf>
    <xf numFmtId="2" fontId="21" fillId="0" borderId="8" xfId="6" applyNumberFormat="1" applyFont="1" applyBorder="1" applyAlignment="1">
      <alignment horizontal="left" vertical="top"/>
    </xf>
    <xf numFmtId="169" fontId="21" fillId="0" borderId="8" xfId="4" applyNumberFormat="1" applyFont="1" applyFill="1" applyBorder="1" applyAlignment="1">
      <alignment horizontal="left" vertical="top"/>
    </xf>
    <xf numFmtId="0" fontId="22" fillId="0" borderId="8" xfId="0" applyFont="1" applyBorder="1"/>
    <xf numFmtId="0" fontId="22" fillId="0" borderId="2" xfId="0" applyFont="1" applyBorder="1"/>
    <xf numFmtId="0" fontId="31" fillId="9" borderId="0" xfId="0" applyFont="1" applyFill="1"/>
    <xf numFmtId="0" fontId="34" fillId="9" borderId="0" xfId="5" applyFont="1" applyFill="1" applyBorder="1"/>
    <xf numFmtId="0" fontId="13" fillId="9" borderId="0" xfId="0" applyFont="1" applyFill="1"/>
    <xf numFmtId="15" fontId="13" fillId="9" borderId="0" xfId="0" applyNumberFormat="1" applyFont="1" applyFill="1"/>
    <xf numFmtId="1" fontId="13" fillId="9" borderId="0" xfId="0" applyNumberFormat="1" applyFont="1" applyFill="1"/>
    <xf numFmtId="0" fontId="13" fillId="3" borderId="0" xfId="0" applyFont="1" applyFill="1"/>
    <xf numFmtId="1" fontId="21" fillId="0" borderId="8" xfId="6" applyNumberFormat="1" applyFont="1" applyBorder="1" applyAlignment="1">
      <alignment horizontal="left" vertical="top"/>
    </xf>
    <xf numFmtId="0" fontId="22" fillId="0" borderId="9" xfId="0" applyFont="1" applyBorder="1"/>
    <xf numFmtId="169" fontId="22" fillId="0" borderId="9" xfId="0" applyNumberFormat="1" applyFont="1" applyBorder="1"/>
    <xf numFmtId="0" fontId="14" fillId="0" borderId="2" xfId="0" applyFont="1" applyBorder="1" applyAlignment="1">
      <alignment horizontal="left"/>
    </xf>
    <xf numFmtId="169" fontId="17" fillId="0" borderId="0" xfId="4" applyNumberFormat="1" applyFont="1" applyAlignment="1">
      <alignment vertical="center"/>
    </xf>
    <xf numFmtId="169" fontId="33" fillId="0" borderId="0" xfId="4" applyNumberFormat="1" applyFont="1" applyFill="1" applyBorder="1" applyAlignment="1">
      <alignment horizontal="left" vertical="top"/>
    </xf>
    <xf numFmtId="166" fontId="14" fillId="0" borderId="0" xfId="4" applyFont="1" applyFill="1"/>
    <xf numFmtId="171" fontId="9" fillId="0" borderId="0" xfId="0" applyNumberFormat="1" applyFont="1"/>
    <xf numFmtId="0" fontId="14" fillId="0" borderId="0" xfId="0" applyFont="1" applyAlignment="1">
      <alignment horizontal="left" indent="1"/>
    </xf>
    <xf numFmtId="0" fontId="22" fillId="0" borderId="1" xfId="0" applyFont="1" applyBorder="1"/>
    <xf numFmtId="169" fontId="22" fillId="0" borderId="1" xfId="0" applyNumberFormat="1" applyFont="1" applyBorder="1"/>
    <xf numFmtId="2" fontId="21" fillId="0" borderId="2" xfId="6" applyNumberFormat="1" applyFont="1" applyBorder="1" applyAlignment="1">
      <alignment horizontal="left" vertical="top"/>
    </xf>
    <xf numFmtId="169" fontId="22" fillId="0" borderId="2" xfId="0" applyNumberFormat="1" applyFont="1" applyBorder="1"/>
    <xf numFmtId="169" fontId="23" fillId="0" borderId="8" xfId="4" applyNumberFormat="1" applyFont="1" applyBorder="1"/>
    <xf numFmtId="169" fontId="22" fillId="0" borderId="8" xfId="4" applyNumberFormat="1" applyFont="1" applyFill="1" applyBorder="1"/>
    <xf numFmtId="169" fontId="17" fillId="0" borderId="0" xfId="0" applyNumberFormat="1" applyFont="1"/>
    <xf numFmtId="169" fontId="14" fillId="0" borderId="0" xfId="4" applyNumberFormat="1" applyFont="1" applyFill="1" applyBorder="1"/>
    <xf numFmtId="169" fontId="17" fillId="0" borderId="0" xfId="4" applyNumberFormat="1" applyFont="1" applyFill="1"/>
    <xf numFmtId="169" fontId="23" fillId="0" borderId="8" xfId="4" applyNumberFormat="1" applyFont="1" applyFill="1" applyBorder="1"/>
    <xf numFmtId="169" fontId="16" fillId="0" borderId="0" xfId="4" applyNumberFormat="1" applyFont="1" applyFill="1"/>
    <xf numFmtId="169" fontId="41" fillId="0" borderId="0" xfId="4" applyNumberFormat="1" applyFont="1" applyFill="1"/>
    <xf numFmtId="0" fontId="42" fillId="0" borderId="0" xfId="0" applyFont="1"/>
    <xf numFmtId="2" fontId="43" fillId="0" borderId="0" xfId="6" applyNumberFormat="1" applyFont="1" applyBorder="1" applyAlignment="1">
      <alignment horizontal="left" vertical="top"/>
    </xf>
    <xf numFmtId="169" fontId="42" fillId="0" borderId="0" xfId="0" applyNumberFormat="1" applyFont="1"/>
    <xf numFmtId="3" fontId="42" fillId="0" borderId="0" xfId="0" applyNumberFormat="1" applyFont="1"/>
    <xf numFmtId="169" fontId="43" fillId="0" borderId="0" xfId="4" applyNumberFormat="1" applyFont="1" applyFill="1" applyBorder="1" applyAlignment="1">
      <alignment horizontal="left" vertical="top"/>
    </xf>
    <xf numFmtId="169" fontId="44" fillId="0" borderId="0" xfId="4" applyNumberFormat="1" applyFont="1"/>
    <xf numFmtId="166" fontId="42" fillId="0" borderId="0" xfId="0" applyNumberFormat="1" applyFont="1"/>
    <xf numFmtId="2" fontId="40" fillId="0" borderId="0" xfId="6" applyNumberFormat="1" applyFont="1" applyBorder="1" applyAlignment="1">
      <alignment horizontal="left" vertical="top"/>
    </xf>
    <xf numFmtId="3" fontId="17" fillId="0" borderId="0" xfId="0" applyNumberFormat="1" applyFont="1"/>
    <xf numFmtId="169" fontId="40" fillId="0" borderId="0" xfId="4" applyNumberFormat="1" applyFont="1" applyFill="1" applyBorder="1" applyAlignment="1">
      <alignment horizontal="left" vertical="top"/>
    </xf>
    <xf numFmtId="169" fontId="17" fillId="0" borderId="0" xfId="4" applyNumberFormat="1" applyFont="1" applyFill="1" applyBorder="1"/>
    <xf numFmtId="169" fontId="26" fillId="3" borderId="0" xfId="4" applyNumberFormat="1" applyFont="1" applyFill="1" applyBorder="1"/>
    <xf numFmtId="169" fontId="23" fillId="0" borderId="0" xfId="4" applyNumberFormat="1" applyFont="1" applyFill="1"/>
    <xf numFmtId="169" fontId="23" fillId="0" borderId="0" xfId="4" applyNumberFormat="1" applyFont="1"/>
    <xf numFmtId="169" fontId="23" fillId="0" borderId="8" xfId="0" applyNumberFormat="1" applyFont="1" applyBorder="1"/>
    <xf numFmtId="166" fontId="16" fillId="0" borderId="0" xfId="0" applyNumberFormat="1" applyFont="1"/>
    <xf numFmtId="169" fontId="14" fillId="3" borderId="0" xfId="0" applyNumberFormat="1" applyFont="1" applyFill="1"/>
    <xf numFmtId="0" fontId="14" fillId="3" borderId="0" xfId="0" applyFont="1" applyFill="1" applyAlignment="1">
      <alignment horizontal="left" indent="1"/>
    </xf>
    <xf numFmtId="0" fontId="22" fillId="3" borderId="2" xfId="0" applyFont="1" applyFill="1" applyBorder="1"/>
    <xf numFmtId="0" fontId="14" fillId="3" borderId="2" xfId="0" applyFont="1" applyFill="1" applyBorder="1"/>
    <xf numFmtId="3" fontId="14" fillId="0" borderId="2" xfId="0" applyNumberFormat="1" applyFont="1" applyBorder="1"/>
    <xf numFmtId="169" fontId="26" fillId="0" borderId="2" xfId="4" applyNumberFormat="1" applyFont="1" applyFill="1" applyBorder="1" applyAlignment="1" applyProtection="1">
      <alignment vertical="top"/>
    </xf>
    <xf numFmtId="0" fontId="45" fillId="0" borderId="0" xfId="0" applyFont="1"/>
    <xf numFmtId="0" fontId="14" fillId="0" borderId="1" xfId="0" applyFont="1" applyBorder="1"/>
    <xf numFmtId="0" fontId="22" fillId="3" borderId="8" xfId="0" applyFont="1" applyFill="1" applyBorder="1"/>
    <xf numFmtId="164" fontId="22" fillId="0" borderId="0" xfId="4" applyNumberFormat="1" applyFont="1" applyFill="1" applyBorder="1"/>
    <xf numFmtId="0" fontId="10" fillId="3" borderId="0" xfId="0" applyFont="1" applyFill="1"/>
    <xf numFmtId="0" fontId="0" fillId="3" borderId="0" xfId="0" applyFill="1"/>
    <xf numFmtId="171" fontId="36" fillId="9" borderId="0" xfId="0" applyNumberFormat="1" applyFont="1" applyFill="1"/>
    <xf numFmtId="169" fontId="36" fillId="9" borderId="0" xfId="4" applyNumberFormat="1" applyFont="1" applyFill="1" applyBorder="1"/>
    <xf numFmtId="9" fontId="36" fillId="9" borderId="0" xfId="1" applyFont="1" applyFill="1" applyBorder="1"/>
    <xf numFmtId="0" fontId="9" fillId="3" borderId="0" xfId="0" applyFont="1" applyFill="1"/>
    <xf numFmtId="166" fontId="36" fillId="9" borderId="0" xfId="0" applyNumberFormat="1" applyFont="1" applyFill="1"/>
    <xf numFmtId="166" fontId="36" fillId="9" borderId="0" xfId="4" applyFont="1" applyFill="1" applyBorder="1"/>
    <xf numFmtId="10" fontId="36" fillId="9" borderId="0" xfId="1" applyNumberFormat="1" applyFont="1" applyFill="1" applyBorder="1"/>
    <xf numFmtId="0" fontId="0" fillId="10" borderId="0" xfId="0" applyFill="1"/>
    <xf numFmtId="166" fontId="14" fillId="0" borderId="0" xfId="4" applyFont="1" applyBorder="1"/>
    <xf numFmtId="169" fontId="26" fillId="0" borderId="0" xfId="4" applyNumberFormat="1" applyFont="1" applyAlignment="1">
      <alignment horizontal="right"/>
    </xf>
    <xf numFmtId="9" fontId="21" fillId="0" borderId="0" xfId="1" applyFont="1" applyFill="1" applyBorder="1" applyAlignment="1">
      <alignment horizontal="left" vertical="top"/>
    </xf>
    <xf numFmtId="169" fontId="23" fillId="0" borderId="9" xfId="4" applyNumberFormat="1" applyFont="1" applyFill="1" applyBorder="1"/>
    <xf numFmtId="169" fontId="19" fillId="0" borderId="2" xfId="4" applyNumberFormat="1" applyFont="1" applyFill="1" applyBorder="1" applyAlignment="1" applyProtection="1">
      <alignment vertical="top"/>
    </xf>
    <xf numFmtId="175" fontId="17" fillId="0" borderId="0" xfId="10" applyNumberFormat="1" applyFont="1" applyFill="1"/>
    <xf numFmtId="166" fontId="14" fillId="0" borderId="1" xfId="0" applyNumberFormat="1" applyFont="1" applyBorder="1"/>
    <xf numFmtId="9" fontId="14" fillId="0" borderId="0" xfId="1" applyFont="1"/>
    <xf numFmtId="0" fontId="46" fillId="0" borderId="0" xfId="0" applyFont="1"/>
    <xf numFmtId="169" fontId="16" fillId="0" borderId="0" xfId="0" applyNumberFormat="1" applyFont="1"/>
    <xf numFmtId="169" fontId="14" fillId="3" borderId="0" xfId="4" applyNumberFormat="1" applyFont="1" applyFill="1"/>
    <xf numFmtId="166" fontId="41" fillId="0" borderId="0" xfId="4" applyFont="1" applyFill="1"/>
    <xf numFmtId="0" fontId="48" fillId="0" borderId="0" xfId="0" applyFont="1"/>
    <xf numFmtId="0" fontId="38" fillId="0" borderId="0" xfId="0" applyFont="1" applyAlignment="1">
      <alignment horizontal="left"/>
    </xf>
    <xf numFmtId="169" fontId="49" fillId="0" borderId="8" xfId="4" applyNumberFormat="1" applyFont="1" applyFill="1" applyBorder="1" applyAlignment="1">
      <alignment horizontal="left" vertical="top"/>
    </xf>
    <xf numFmtId="169" fontId="23" fillId="0" borderId="2" xfId="4" applyNumberFormat="1" applyFont="1" applyFill="1" applyBorder="1"/>
    <xf numFmtId="169" fontId="23" fillId="0" borderId="1" xfId="0" applyNumberFormat="1" applyFont="1" applyBorder="1"/>
    <xf numFmtId="169" fontId="14" fillId="0" borderId="0" xfId="4" applyNumberFormat="1" applyFont="1" applyBorder="1"/>
    <xf numFmtId="169" fontId="23" fillId="3" borderId="9" xfId="0" applyNumberFormat="1" applyFont="1" applyFill="1" applyBorder="1"/>
    <xf numFmtId="169" fontId="14" fillId="0" borderId="0" xfId="4" applyNumberFormat="1" applyFont="1" applyFill="1"/>
    <xf numFmtId="169" fontId="26" fillId="3" borderId="0" xfId="0" applyNumberFormat="1" applyFont="1" applyFill="1" applyAlignment="1">
      <alignment vertical="top"/>
    </xf>
    <xf numFmtId="167" fontId="26" fillId="3" borderId="0" xfId="6" applyNumberFormat="1" applyFont="1" applyFill="1" applyBorder="1" applyAlignment="1">
      <alignment horizontal="left" vertical="top"/>
    </xf>
    <xf numFmtId="1" fontId="21" fillId="3" borderId="8" xfId="6" applyNumberFormat="1" applyFont="1" applyFill="1" applyBorder="1" applyAlignment="1">
      <alignment horizontal="left" vertical="top"/>
    </xf>
    <xf numFmtId="2" fontId="28" fillId="3" borderId="8" xfId="6" applyNumberFormat="1" applyFont="1" applyFill="1" applyBorder="1" applyAlignment="1">
      <alignment horizontal="left" vertical="top"/>
    </xf>
    <xf numFmtId="2" fontId="21" fillId="3" borderId="8" xfId="6" applyNumberFormat="1" applyFont="1" applyFill="1" applyBorder="1" applyAlignment="1">
      <alignment horizontal="left" vertical="top"/>
    </xf>
    <xf numFmtId="173" fontId="19" fillId="3" borderId="0" xfId="0" applyNumberFormat="1" applyFont="1" applyFill="1"/>
    <xf numFmtId="169" fontId="9" fillId="0" borderId="0" xfId="0" applyNumberFormat="1" applyFont="1"/>
    <xf numFmtId="0" fontId="31" fillId="14" borderId="0" xfId="0" applyFont="1" applyFill="1"/>
    <xf numFmtId="0" fontId="13" fillId="14" borderId="0" xfId="0" applyFont="1" applyFill="1"/>
    <xf numFmtId="15" fontId="13" fillId="14" borderId="0" xfId="0" applyNumberFormat="1" applyFont="1" applyFill="1"/>
    <xf numFmtId="0" fontId="13" fillId="15" borderId="0" xfId="0" applyFont="1" applyFill="1"/>
    <xf numFmtId="0" fontId="34" fillId="14" borderId="0" xfId="5" applyFont="1" applyFill="1" applyBorder="1"/>
    <xf numFmtId="1" fontId="13" fillId="14" borderId="0" xfId="0" applyNumberFormat="1" applyFont="1" applyFill="1"/>
    <xf numFmtId="0" fontId="11" fillId="14" borderId="0" xfId="0" applyFont="1" applyFill="1"/>
    <xf numFmtId="0" fontId="5" fillId="14" borderId="0" xfId="0" applyFont="1" applyFill="1"/>
    <xf numFmtId="0" fontId="12" fillId="14" borderId="0" xfId="0" applyFont="1" applyFill="1"/>
    <xf numFmtId="170" fontId="6" fillId="15" borderId="0" xfId="4" applyNumberFormat="1" applyFont="1" applyFill="1" applyBorder="1"/>
    <xf numFmtId="0" fontId="5" fillId="15" borderId="0" xfId="0" applyFont="1" applyFill="1"/>
    <xf numFmtId="169" fontId="26" fillId="0" borderId="0" xfId="4" applyNumberFormat="1" applyFont="1" applyAlignment="1">
      <alignment horizontal="left"/>
    </xf>
    <xf numFmtId="166" fontId="17" fillId="5" borderId="4" xfId="4" applyFont="1" applyFill="1" applyBorder="1" applyAlignment="1">
      <alignment horizontal="left"/>
    </xf>
    <xf numFmtId="0" fontId="14" fillId="8" borderId="1" xfId="0" applyFont="1" applyFill="1" applyBorder="1" applyAlignment="1">
      <alignment horizontal="right" vertical="center"/>
    </xf>
    <xf numFmtId="0" fontId="14" fillId="8" borderId="1" xfId="0" applyFont="1" applyFill="1" applyBorder="1" applyAlignment="1">
      <alignment horizontal="right"/>
    </xf>
    <xf numFmtId="0" fontId="14" fillId="8" borderId="1" xfId="0" applyFont="1" applyFill="1" applyBorder="1"/>
    <xf numFmtId="169" fontId="19" fillId="0" borderId="0" xfId="4" applyNumberFormat="1" applyFont="1" applyFill="1" applyBorder="1" applyAlignment="1" applyProtection="1">
      <alignment vertical="top"/>
    </xf>
    <xf numFmtId="1" fontId="40" fillId="0" borderId="0" xfId="6" applyNumberFormat="1" applyFont="1" applyBorder="1" applyAlignment="1">
      <alignment horizontal="left" vertical="top"/>
    </xf>
    <xf numFmtId="3" fontId="16" fillId="0" borderId="4" xfId="0" applyNumberFormat="1" applyFont="1" applyBorder="1"/>
    <xf numFmtId="3" fontId="23" fillId="0" borderId="4" xfId="0" applyNumberFormat="1" applyFont="1" applyBorder="1"/>
    <xf numFmtId="3" fontId="14" fillId="0" borderId="4" xfId="0" applyNumberFormat="1" applyFont="1" applyBorder="1"/>
    <xf numFmtId="167" fontId="16" fillId="0" borderId="4" xfId="0" applyNumberFormat="1" applyFont="1" applyBorder="1"/>
    <xf numFmtId="1" fontId="16" fillId="0" borderId="4" xfId="0" applyNumberFormat="1" applyFont="1" applyBorder="1"/>
    <xf numFmtId="0" fontId="14" fillId="0" borderId="13" xfId="0" applyFont="1" applyBorder="1"/>
    <xf numFmtId="167" fontId="23" fillId="0" borderId="4" xfId="0" applyNumberFormat="1" applyFont="1" applyBorder="1"/>
    <xf numFmtId="1" fontId="22" fillId="0" borderId="4" xfId="0" applyNumberFormat="1" applyFont="1" applyBorder="1"/>
    <xf numFmtId="166" fontId="14" fillId="0" borderId="0" xfId="4" applyFont="1" applyFill="1" applyBorder="1"/>
    <xf numFmtId="175" fontId="17" fillId="0" borderId="0" xfId="10" applyNumberFormat="1" applyFont="1" applyFill="1" applyBorder="1"/>
    <xf numFmtId="166" fontId="41" fillId="0" borderId="0" xfId="4" applyFont="1" applyFill="1" applyBorder="1"/>
    <xf numFmtId="166" fontId="22" fillId="0" borderId="0" xfId="0" applyNumberFormat="1" applyFont="1"/>
    <xf numFmtId="0" fontId="17" fillId="0" borderId="0" xfId="0" applyFont="1" applyAlignment="1">
      <alignment horizontal="right"/>
    </xf>
    <xf numFmtId="0" fontId="38" fillId="0" borderId="2" xfId="0" applyFont="1" applyBorder="1" applyAlignment="1">
      <alignment horizontal="right"/>
    </xf>
    <xf numFmtId="169" fontId="14" fillId="0" borderId="1" xfId="0" applyNumberFormat="1" applyFont="1" applyBorder="1"/>
    <xf numFmtId="169" fontId="22" fillId="0" borderId="1" xfId="4" applyNumberFormat="1" applyFont="1" applyBorder="1"/>
    <xf numFmtId="169" fontId="44" fillId="0" borderId="1" xfId="4" applyNumberFormat="1" applyFont="1" applyBorder="1"/>
    <xf numFmtId="169" fontId="52" fillId="0" borderId="0" xfId="4" applyNumberFormat="1" applyFont="1"/>
    <xf numFmtId="169" fontId="51" fillId="0" borderId="2" xfId="0" applyNumberFormat="1" applyFont="1" applyBorder="1"/>
    <xf numFmtId="169" fontId="51" fillId="0" borderId="8" xfId="0" applyNumberFormat="1" applyFont="1" applyBorder="1"/>
    <xf numFmtId="0" fontId="52" fillId="0" borderId="0" xfId="0" applyFont="1"/>
    <xf numFmtId="169" fontId="52" fillId="0" borderId="0" xfId="0" applyNumberFormat="1" applyFont="1"/>
    <xf numFmtId="169" fontId="51" fillId="0" borderId="2" xfId="4" applyNumberFormat="1" applyFont="1" applyBorder="1"/>
    <xf numFmtId="0" fontId="53" fillId="0" borderId="0" xfId="0" applyFont="1"/>
    <xf numFmtId="169" fontId="52" fillId="0" borderId="0" xfId="4" applyNumberFormat="1" applyFont="1" applyFill="1"/>
    <xf numFmtId="1" fontId="26" fillId="0" borderId="8" xfId="6" applyNumberFormat="1" applyFont="1" applyBorder="1" applyAlignment="1">
      <alignment horizontal="left" vertical="top"/>
    </xf>
    <xf numFmtId="2" fontId="54" fillId="0" borderId="8" xfId="6" applyNumberFormat="1" applyFont="1" applyBorder="1" applyAlignment="1">
      <alignment horizontal="left" vertical="top"/>
    </xf>
    <xf numFmtId="9" fontId="32" fillId="0" borderId="0" xfId="4" applyNumberFormat="1" applyFont="1" applyFill="1" applyBorder="1"/>
    <xf numFmtId="0" fontId="22" fillId="3" borderId="1" xfId="0" applyFont="1" applyFill="1" applyBorder="1"/>
    <xf numFmtId="0" fontId="14" fillId="3" borderId="1" xfId="0" applyFont="1" applyFill="1" applyBorder="1"/>
    <xf numFmtId="0" fontId="14" fillId="3" borderId="8" xfId="0" applyFont="1" applyFill="1" applyBorder="1"/>
    <xf numFmtId="169" fontId="19" fillId="0" borderId="0" xfId="4" applyNumberFormat="1" applyFont="1" applyAlignment="1">
      <alignment horizontal="right"/>
    </xf>
    <xf numFmtId="1" fontId="55" fillId="0" borderId="8" xfId="6" applyNumberFormat="1" applyFont="1" applyBorder="1" applyAlignment="1">
      <alignment horizontal="left" vertical="top"/>
    </xf>
    <xf numFmtId="2" fontId="55" fillId="0" borderId="8" xfId="6" applyNumberFormat="1" applyFont="1" applyBorder="1" applyAlignment="1">
      <alignment horizontal="left" vertical="top"/>
    </xf>
    <xf numFmtId="0" fontId="56" fillId="0" borderId="8" xfId="0" applyFont="1" applyBorder="1"/>
    <xf numFmtId="0" fontId="56" fillId="0" borderId="0" xfId="0" applyFont="1"/>
    <xf numFmtId="0" fontId="56" fillId="0" borderId="9" xfId="0" applyFont="1" applyBorder="1"/>
    <xf numFmtId="0" fontId="14" fillId="2" borderId="11" xfId="0" applyFont="1" applyFill="1" applyBorder="1" applyAlignment="1">
      <alignment horizontal="center" vertical="center" wrapText="1"/>
    </xf>
    <xf numFmtId="4" fontId="14" fillId="0" borderId="0" xfId="0" applyNumberFormat="1" applyFont="1"/>
    <xf numFmtId="0" fontId="16" fillId="3" borderId="0" xfId="0" applyFont="1" applyFill="1"/>
    <xf numFmtId="0" fontId="56" fillId="3" borderId="0" xfId="0" applyFont="1" applyFill="1"/>
    <xf numFmtId="0" fontId="56" fillId="3" borderId="9" xfId="0" applyFont="1" applyFill="1" applyBorder="1"/>
    <xf numFmtId="169" fontId="52" fillId="3" borderId="2" xfId="4" applyNumberFormat="1" applyFont="1" applyFill="1" applyBorder="1"/>
    <xf numFmtId="169" fontId="52" fillId="0" borderId="2" xfId="4" applyNumberFormat="1" applyFont="1" applyBorder="1"/>
    <xf numFmtId="168" fontId="14" fillId="3" borderId="4" xfId="0" applyNumberFormat="1" applyFont="1" applyFill="1" applyBorder="1"/>
    <xf numFmtId="169" fontId="14" fillId="3" borderId="4" xfId="4" applyNumberFormat="1" applyFont="1" applyFill="1" applyBorder="1"/>
    <xf numFmtId="9" fontId="14" fillId="3" borderId="4" xfId="4" applyNumberFormat="1" applyFont="1" applyFill="1" applyBorder="1"/>
    <xf numFmtId="0" fontId="14" fillId="0" borderId="0" xfId="0" applyFont="1" applyAlignment="1">
      <alignment wrapText="1"/>
    </xf>
    <xf numFmtId="0" fontId="14" fillId="0" borderId="0" xfId="0" applyFont="1" applyAlignment="1">
      <alignment horizontal="center" wrapText="1"/>
    </xf>
    <xf numFmtId="0" fontId="22" fillId="13" borderId="11" xfId="0" applyFont="1" applyFill="1" applyBorder="1" applyAlignment="1">
      <alignment horizontal="center" wrapText="1"/>
    </xf>
    <xf numFmtId="0" fontId="22" fillId="12" borderId="11" xfId="0" applyFont="1" applyFill="1" applyBorder="1" applyAlignment="1">
      <alignment horizontal="center" wrapText="1"/>
    </xf>
    <xf numFmtId="0" fontId="22" fillId="4" borderId="11" xfId="0" applyFont="1" applyFill="1" applyBorder="1" applyAlignment="1">
      <alignment horizontal="center" wrapText="1"/>
    </xf>
    <xf numFmtId="0" fontId="22" fillId="11" borderId="11" xfId="0" applyFont="1" applyFill="1" applyBorder="1" applyAlignment="1">
      <alignment horizontal="center" wrapText="1"/>
    </xf>
    <xf numFmtId="0" fontId="22" fillId="16" borderId="11" xfId="0" applyFont="1" applyFill="1" applyBorder="1" applyAlignment="1">
      <alignment horizontal="center" wrapText="1"/>
    </xf>
    <xf numFmtId="0" fontId="58" fillId="0" borderId="0" xfId="0" applyFont="1"/>
    <xf numFmtId="9" fontId="56" fillId="0" borderId="0" xfId="0" applyNumberFormat="1" applyFont="1"/>
    <xf numFmtId="0" fontId="14" fillId="2" borderId="19" xfId="0" applyFont="1" applyFill="1" applyBorder="1" applyAlignment="1">
      <alignment horizontal="center" vertical="center" wrapText="1"/>
    </xf>
    <xf numFmtId="169" fontId="14" fillId="0" borderId="2" xfId="4" applyNumberFormat="1" applyFont="1" applyBorder="1"/>
    <xf numFmtId="9" fontId="17" fillId="0" borderId="0" xfId="1" applyFont="1" applyFill="1" applyBorder="1"/>
    <xf numFmtId="0" fontId="59" fillId="14" borderId="0" xfId="0" applyFont="1" applyFill="1"/>
    <xf numFmtId="169" fontId="60" fillId="9" borderId="0" xfId="0" applyNumberFormat="1" applyFont="1" applyFill="1"/>
    <xf numFmtId="0" fontId="50" fillId="0" borderId="0" xfId="0" applyFont="1"/>
    <xf numFmtId="169" fontId="22" fillId="0" borderId="2" xfId="4" applyNumberFormat="1" applyFont="1" applyBorder="1"/>
    <xf numFmtId="169" fontId="22" fillId="0" borderId="8" xfId="4" applyNumberFormat="1" applyFont="1" applyBorder="1"/>
    <xf numFmtId="9" fontId="14" fillId="0" borderId="1" xfId="1" applyFont="1" applyBorder="1"/>
    <xf numFmtId="176" fontId="14" fillId="0" borderId="0" xfId="4" applyNumberFormat="1" applyFont="1"/>
    <xf numFmtId="2" fontId="62" fillId="0" borderId="0" xfId="6" applyNumberFormat="1" applyFont="1" applyBorder="1" applyAlignment="1">
      <alignment horizontal="left" vertical="top"/>
    </xf>
    <xf numFmtId="169" fontId="32" fillId="0" borderId="0" xfId="4" applyNumberFormat="1" applyFont="1"/>
    <xf numFmtId="1" fontId="21" fillId="0" borderId="0" xfId="6" applyNumberFormat="1" applyFont="1" applyBorder="1" applyAlignment="1">
      <alignment horizontal="left" vertical="top"/>
    </xf>
    <xf numFmtId="0" fontId="32" fillId="0" borderId="0" xfId="0" applyFont="1" applyAlignment="1">
      <alignment horizontal="left"/>
    </xf>
    <xf numFmtId="173" fontId="19" fillId="0" borderId="8" xfId="0" applyNumberFormat="1" applyFont="1" applyBorder="1"/>
    <xf numFmtId="169" fontId="19" fillId="3" borderId="0" xfId="4" applyNumberFormat="1" applyFont="1" applyFill="1" applyBorder="1" applyAlignment="1">
      <alignment horizontal="left" vertical="top"/>
    </xf>
    <xf numFmtId="169" fontId="19" fillId="0" borderId="0" xfId="4" applyNumberFormat="1" applyFont="1" applyFill="1" applyBorder="1" applyAlignment="1">
      <alignment horizontal="left" vertical="top"/>
    </xf>
    <xf numFmtId="169" fontId="9" fillId="0" borderId="0" xfId="4" applyNumberFormat="1" applyFont="1" applyFill="1"/>
    <xf numFmtId="169" fontId="57" fillId="0" borderId="0" xfId="4" applyNumberFormat="1" applyFont="1"/>
    <xf numFmtId="169" fontId="14" fillId="0" borderId="4" xfId="4" applyNumberFormat="1" applyFont="1" applyFill="1" applyBorder="1"/>
    <xf numFmtId="166" fontId="9" fillId="0" borderId="0" xfId="0" applyNumberFormat="1" applyFont="1"/>
    <xf numFmtId="0" fontId="9" fillId="2" borderId="0" xfId="0" applyFont="1" applyFill="1"/>
    <xf numFmtId="169" fontId="9" fillId="2" borderId="0" xfId="0" applyNumberFormat="1" applyFont="1" applyFill="1"/>
    <xf numFmtId="169" fontId="61" fillId="5" borderId="4" xfId="4" applyNumberFormat="1" applyFont="1" applyFill="1" applyBorder="1"/>
    <xf numFmtId="9" fontId="61" fillId="5" borderId="4" xfId="4" applyNumberFormat="1" applyFont="1" applyFill="1" applyBorder="1"/>
    <xf numFmtId="2" fontId="21" fillId="0" borderId="0" xfId="6" quotePrefix="1" applyNumberFormat="1" applyFont="1" applyBorder="1" applyAlignment="1">
      <alignment horizontal="left" vertical="top"/>
    </xf>
    <xf numFmtId="0" fontId="32" fillId="3" borderId="0" xfId="0" applyFont="1" applyFill="1"/>
    <xf numFmtId="3" fontId="22" fillId="3" borderId="0" xfId="0" applyNumberFormat="1" applyFont="1" applyFill="1"/>
    <xf numFmtId="169" fontId="19" fillId="3" borderId="8" xfId="4" applyNumberFormat="1" applyFont="1" applyFill="1" applyBorder="1" applyAlignment="1">
      <alignment horizontal="left" vertical="top"/>
    </xf>
    <xf numFmtId="9" fontId="41" fillId="0" borderId="0" xfId="4" applyNumberFormat="1" applyFont="1" applyFill="1"/>
    <xf numFmtId="0" fontId="14" fillId="3" borderId="0" xfId="0" applyFont="1" applyFill="1" applyAlignment="1">
      <alignment horizontal="left"/>
    </xf>
    <xf numFmtId="169" fontId="32" fillId="3" borderId="0" xfId="0" applyNumberFormat="1" applyFont="1" applyFill="1"/>
    <xf numFmtId="0" fontId="19" fillId="0" borderId="0" xfId="0" applyFont="1"/>
    <xf numFmtId="0" fontId="63" fillId="14" borderId="0" xfId="5" applyFont="1" applyFill="1" applyBorder="1"/>
    <xf numFmtId="0" fontId="63" fillId="9" borderId="0" xfId="5" applyFont="1" applyFill="1" applyBorder="1"/>
    <xf numFmtId="0" fontId="60" fillId="0" borderId="0" xfId="0" applyFont="1"/>
    <xf numFmtId="0" fontId="65" fillId="0" borderId="0" xfId="0" applyFont="1"/>
    <xf numFmtId="166" fontId="19" fillId="0" borderId="0" xfId="0" applyNumberFormat="1" applyFont="1"/>
    <xf numFmtId="169" fontId="65" fillId="0" borderId="0" xfId="0" applyNumberFormat="1" applyFont="1"/>
    <xf numFmtId="9" fontId="61" fillId="5" borderId="4" xfId="0" applyNumberFormat="1" applyFont="1" applyFill="1" applyBorder="1"/>
    <xf numFmtId="2" fontId="62" fillId="0" borderId="0" xfId="6" quotePrefix="1" applyNumberFormat="1" applyFont="1" applyBorder="1" applyAlignment="1">
      <alignment horizontal="left" vertical="top"/>
    </xf>
    <xf numFmtId="169" fontId="64" fillId="0" borderId="0" xfId="4" applyNumberFormat="1" applyFont="1" applyFill="1" applyBorder="1" applyAlignment="1">
      <alignment horizontal="left" vertical="top"/>
    </xf>
    <xf numFmtId="0" fontId="66" fillId="14" borderId="0" xfId="0" applyFont="1" applyFill="1"/>
    <xf numFmtId="0" fontId="37" fillId="14" borderId="0" xfId="0" applyFont="1" applyFill="1"/>
    <xf numFmtId="170" fontId="67" fillId="14" borderId="0" xfId="4" applyNumberFormat="1" applyFont="1" applyFill="1" applyBorder="1"/>
    <xf numFmtId="0" fontId="68" fillId="0" borderId="1" xfId="0" applyFont="1" applyBorder="1"/>
    <xf numFmtId="0" fontId="22" fillId="17" borderId="0" xfId="0" applyFont="1" applyFill="1"/>
    <xf numFmtId="0" fontId="14" fillId="17" borderId="0" xfId="0" applyFont="1" applyFill="1"/>
    <xf numFmtId="9" fontId="14" fillId="0" borderId="0" xfId="1" applyFont="1" applyBorder="1"/>
    <xf numFmtId="0" fontId="69" fillId="0" borderId="1" xfId="0" applyFont="1" applyBorder="1"/>
    <xf numFmtId="9" fontId="61" fillId="5" borderId="4" xfId="1" applyFont="1" applyFill="1" applyBorder="1"/>
    <xf numFmtId="2" fontId="70" fillId="0" borderId="0" xfId="6" applyNumberFormat="1" applyFont="1" applyBorder="1" applyAlignment="1">
      <alignment horizontal="left" vertical="top"/>
    </xf>
    <xf numFmtId="2" fontId="64" fillId="0" borderId="0" xfId="6" applyNumberFormat="1" applyFont="1" applyBorder="1" applyAlignment="1">
      <alignment horizontal="left" vertical="top"/>
    </xf>
    <xf numFmtId="2" fontId="64" fillId="0" borderId="0" xfId="6" quotePrefix="1" applyNumberFormat="1" applyFont="1" applyBorder="1" applyAlignment="1">
      <alignment horizontal="left" vertical="top"/>
    </xf>
    <xf numFmtId="169" fontId="71" fillId="0" borderId="0" xfId="4" applyNumberFormat="1" applyFont="1" applyAlignment="1">
      <alignment horizontal="right"/>
    </xf>
    <xf numFmtId="169" fontId="16" fillId="0" borderId="8" xfId="4" applyNumberFormat="1" applyFont="1" applyFill="1" applyBorder="1"/>
    <xf numFmtId="170" fontId="67" fillId="15" borderId="0" xfId="4" applyNumberFormat="1" applyFont="1" applyFill="1" applyBorder="1"/>
    <xf numFmtId="0" fontId="37" fillId="15" borderId="0" xfId="0" applyFont="1" applyFill="1"/>
    <xf numFmtId="0" fontId="37" fillId="0" borderId="0" xfId="0" applyFont="1"/>
    <xf numFmtId="173" fontId="14" fillId="0" borderId="0" xfId="0" applyNumberFormat="1" applyFont="1"/>
    <xf numFmtId="173" fontId="22" fillId="0" borderId="1" xfId="0" applyNumberFormat="1" applyFont="1" applyBorder="1"/>
    <xf numFmtId="173" fontId="14" fillId="0" borderId="1" xfId="0" applyNumberFormat="1" applyFont="1" applyBorder="1"/>
    <xf numFmtId="173" fontId="38" fillId="0" borderId="1" xfId="0" applyNumberFormat="1" applyFont="1" applyBorder="1"/>
    <xf numFmtId="2" fontId="23" fillId="0" borderId="0" xfId="6" applyNumberFormat="1" applyFont="1" applyBorder="1" applyAlignment="1">
      <alignment horizontal="left" vertical="top"/>
    </xf>
    <xf numFmtId="169" fontId="16" fillId="0" borderId="0" xfId="0" applyNumberFormat="1" applyFont="1" applyAlignment="1">
      <alignment vertical="top"/>
    </xf>
    <xf numFmtId="173" fontId="38" fillId="0" borderId="0" xfId="0" applyNumberFormat="1" applyFont="1"/>
    <xf numFmtId="173" fontId="14" fillId="0" borderId="0" xfId="0" applyNumberFormat="1" applyFont="1" applyAlignment="1">
      <alignment horizontal="center" vertical="top"/>
    </xf>
    <xf numFmtId="169" fontId="23" fillId="0" borderId="1" xfId="0" applyNumberFormat="1" applyFont="1" applyBorder="1" applyAlignment="1">
      <alignment vertical="top"/>
    </xf>
    <xf numFmtId="169" fontId="72" fillId="0" borderId="1" xfId="0" applyNumberFormat="1" applyFont="1" applyBorder="1" applyAlignment="1">
      <alignment horizontal="left" vertical="top"/>
    </xf>
    <xf numFmtId="169" fontId="16" fillId="0" borderId="1" xfId="0" applyNumberFormat="1" applyFont="1" applyBorder="1" applyAlignment="1">
      <alignment vertical="top"/>
    </xf>
    <xf numFmtId="169" fontId="16" fillId="0" borderId="0" xfId="8" applyFont="1">
      <alignment vertical="top"/>
    </xf>
    <xf numFmtId="169" fontId="72" fillId="0" borderId="0" xfId="8" applyFont="1" applyAlignment="1">
      <alignment horizontal="left" vertical="top"/>
    </xf>
    <xf numFmtId="174" fontId="16" fillId="0" borderId="0" xfId="9" applyFont="1"/>
    <xf numFmtId="15" fontId="14" fillId="0" borderId="0" xfId="0" applyNumberFormat="1" applyFont="1"/>
    <xf numFmtId="166" fontId="14" fillId="0" borderId="1" xfId="4" applyFont="1" applyFill="1" applyBorder="1"/>
    <xf numFmtId="176" fontId="14" fillId="0" borderId="0" xfId="4" applyNumberFormat="1" applyFont="1" applyFill="1" applyBorder="1"/>
    <xf numFmtId="166" fontId="16" fillId="0" borderId="1" xfId="0" applyNumberFormat="1" applyFont="1" applyBorder="1" applyAlignment="1">
      <alignment vertical="top"/>
    </xf>
    <xf numFmtId="2" fontId="73" fillId="0" borderId="0" xfId="6" applyNumberFormat="1" applyFont="1" applyBorder="1" applyAlignment="1">
      <alignment horizontal="left" vertical="top"/>
    </xf>
    <xf numFmtId="169" fontId="72" fillId="0" borderId="0" xfId="0" applyNumberFormat="1" applyFont="1" applyAlignment="1">
      <alignment horizontal="left" vertical="top"/>
    </xf>
    <xf numFmtId="9" fontId="16" fillId="0" borderId="0" xfId="1" applyFont="1" applyFill="1" applyBorder="1" applyAlignment="1" applyProtection="1">
      <alignment vertical="top"/>
    </xf>
    <xf numFmtId="166" fontId="16" fillId="0" borderId="0" xfId="0" applyNumberFormat="1" applyFont="1" applyAlignment="1">
      <alignment vertical="top"/>
    </xf>
    <xf numFmtId="169" fontId="23" fillId="0" borderId="0" xfId="0" applyNumberFormat="1" applyFont="1" applyAlignment="1">
      <alignment vertical="top"/>
    </xf>
    <xf numFmtId="0" fontId="74" fillId="14" borderId="0" xfId="0" applyFont="1" applyFill="1"/>
    <xf numFmtId="0" fontId="66" fillId="0" borderId="0" xfId="0" applyFont="1"/>
    <xf numFmtId="0" fontId="75" fillId="15" borderId="0" xfId="5" applyFont="1" applyFill="1" applyBorder="1"/>
    <xf numFmtId="0" fontId="75" fillId="18" borderId="0" xfId="5" applyFont="1" applyFill="1" applyBorder="1"/>
    <xf numFmtId="0" fontId="76" fillId="19" borderId="0" xfId="5" applyFont="1" applyFill="1" applyBorder="1"/>
    <xf numFmtId="0" fontId="76" fillId="19" borderId="0" xfId="5" quotePrefix="1" applyFont="1" applyFill="1" applyBorder="1"/>
    <xf numFmtId="0" fontId="76" fillId="20" borderId="0" xfId="5" applyFont="1" applyFill="1" applyBorder="1"/>
    <xf numFmtId="0" fontId="76" fillId="13" borderId="0" xfId="5" applyFont="1" applyFill="1" applyBorder="1"/>
    <xf numFmtId="169" fontId="19" fillId="9" borderId="0" xfId="0" applyNumberFormat="1" applyFont="1" applyFill="1"/>
    <xf numFmtId="169" fontId="27" fillId="0" borderId="1" xfId="0" applyNumberFormat="1" applyFont="1" applyBorder="1" applyAlignment="1">
      <alignment horizontal="left" vertical="top"/>
    </xf>
    <xf numFmtId="169" fontId="26" fillId="0" borderId="1" xfId="0" applyNumberFormat="1" applyFont="1" applyBorder="1" applyAlignment="1">
      <alignment vertical="top"/>
    </xf>
    <xf numFmtId="166" fontId="19" fillId="0" borderId="1" xfId="4" applyFont="1" applyFill="1" applyBorder="1"/>
    <xf numFmtId="173" fontId="19" fillId="0" borderId="1" xfId="0" applyNumberFormat="1" applyFont="1" applyBorder="1"/>
    <xf numFmtId="169" fontId="33" fillId="0" borderId="1" xfId="0" applyNumberFormat="1" applyFont="1" applyBorder="1" applyAlignment="1">
      <alignment vertical="top"/>
    </xf>
    <xf numFmtId="173" fontId="78" fillId="0" borderId="1" xfId="0" applyNumberFormat="1" applyFont="1" applyBorder="1"/>
    <xf numFmtId="0" fontId="14" fillId="0" borderId="9" xfId="0" applyFont="1" applyBorder="1"/>
    <xf numFmtId="2" fontId="19" fillId="0" borderId="0" xfId="6" applyNumberFormat="1" applyFont="1" applyBorder="1" applyAlignment="1">
      <alignment horizontal="left" vertical="top"/>
    </xf>
    <xf numFmtId="2" fontId="54" fillId="0" borderId="0" xfId="6" applyNumberFormat="1" applyFont="1" applyBorder="1" applyAlignment="1">
      <alignment horizontal="left" vertical="top"/>
    </xf>
    <xf numFmtId="0" fontId="14" fillId="0" borderId="0" xfId="0" quotePrefix="1" applyFont="1"/>
    <xf numFmtId="0" fontId="32" fillId="0" borderId="0" xfId="0" quotePrefix="1" applyFont="1"/>
    <xf numFmtId="0" fontId="22" fillId="3" borderId="9" xfId="0" applyFont="1" applyFill="1" applyBorder="1"/>
    <xf numFmtId="169" fontId="19" fillId="0" borderId="1" xfId="4" applyNumberFormat="1" applyFont="1" applyFill="1" applyBorder="1"/>
    <xf numFmtId="0" fontId="79" fillId="14" borderId="0" xfId="0" applyFont="1" applyFill="1"/>
    <xf numFmtId="170" fontId="18" fillId="15" borderId="0" xfId="4" applyNumberFormat="1" applyFont="1" applyFill="1" applyBorder="1"/>
    <xf numFmtId="0" fontId="75" fillId="14" borderId="0" xfId="5" applyFont="1" applyFill="1" applyBorder="1"/>
    <xf numFmtId="3" fontId="52" fillId="0" borderId="0" xfId="0" applyNumberFormat="1" applyFont="1"/>
    <xf numFmtId="169" fontId="52" fillId="0" borderId="0" xfId="4" applyNumberFormat="1" applyFont="1" applyBorder="1"/>
    <xf numFmtId="3" fontId="56" fillId="0" borderId="2" xfId="0" applyNumberFormat="1" applyFont="1" applyBorder="1"/>
    <xf numFmtId="3" fontId="56" fillId="0" borderId="8" xfId="0" applyNumberFormat="1" applyFont="1" applyBorder="1"/>
    <xf numFmtId="169" fontId="56" fillId="0" borderId="8" xfId="4" applyNumberFormat="1" applyFont="1" applyFill="1" applyBorder="1"/>
    <xf numFmtId="3" fontId="52" fillId="3" borderId="0" xfId="0" applyNumberFormat="1" applyFont="1" applyFill="1"/>
    <xf numFmtId="169" fontId="16" fillId="3" borderId="2" xfId="4" applyNumberFormat="1" applyFont="1" applyFill="1" applyBorder="1"/>
    <xf numFmtId="169" fontId="23" fillId="3" borderId="2" xfId="4" applyNumberFormat="1" applyFont="1" applyFill="1" applyBorder="1"/>
    <xf numFmtId="169" fontId="52" fillId="0" borderId="0" xfId="4" applyNumberFormat="1" applyFont="1" applyFill="1" applyBorder="1"/>
    <xf numFmtId="9" fontId="80" fillId="0" borderId="0" xfId="4" applyNumberFormat="1" applyFont="1" applyFill="1" applyBorder="1"/>
    <xf numFmtId="9" fontId="80" fillId="0" borderId="0" xfId="1" applyFont="1" applyFill="1" applyBorder="1"/>
    <xf numFmtId="169" fontId="56" fillId="0" borderId="0" xfId="4" applyNumberFormat="1" applyFont="1" applyBorder="1"/>
    <xf numFmtId="9" fontId="14" fillId="0" borderId="0" xfId="4" applyNumberFormat="1" applyFont="1" applyBorder="1"/>
    <xf numFmtId="169" fontId="56" fillId="0" borderId="9" xfId="4" applyNumberFormat="1" applyFont="1" applyBorder="1"/>
    <xf numFmtId="169" fontId="22" fillId="0" borderId="0" xfId="4" applyNumberFormat="1" applyFont="1" applyBorder="1"/>
    <xf numFmtId="169" fontId="14" fillId="0" borderId="8" xfId="4" applyNumberFormat="1" applyFont="1" applyFill="1" applyBorder="1"/>
    <xf numFmtId="169" fontId="14" fillId="0" borderId="8" xfId="4" applyNumberFormat="1" applyFont="1" applyBorder="1"/>
    <xf numFmtId="169" fontId="14" fillId="0" borderId="1" xfId="4" applyNumberFormat="1" applyFont="1" applyBorder="1"/>
    <xf numFmtId="169" fontId="14" fillId="3" borderId="1" xfId="4" applyNumberFormat="1" applyFont="1" applyFill="1" applyBorder="1"/>
    <xf numFmtId="169" fontId="14" fillId="3" borderId="8" xfId="4" applyNumberFormat="1" applyFont="1" applyFill="1" applyBorder="1"/>
    <xf numFmtId="169" fontId="22" fillId="0" borderId="9" xfId="4" applyNumberFormat="1" applyFont="1" applyBorder="1"/>
    <xf numFmtId="3" fontId="23" fillId="0" borderId="8" xfId="0" applyNumberFormat="1" applyFont="1" applyBorder="1"/>
    <xf numFmtId="0" fontId="14" fillId="0" borderId="0" xfId="0" applyFont="1" applyAlignment="1">
      <alignment horizontal="center" vertical="center" wrapText="1"/>
    </xf>
    <xf numFmtId="1" fontId="14" fillId="0" borderId="8" xfId="0" applyNumberFormat="1" applyFont="1" applyBorder="1"/>
    <xf numFmtId="169" fontId="14" fillId="0" borderId="8" xfId="0" applyNumberFormat="1" applyFont="1" applyBorder="1"/>
    <xf numFmtId="1" fontId="14" fillId="0" borderId="0" xfId="0" applyNumberFormat="1" applyFont="1"/>
    <xf numFmtId="0" fontId="81" fillId="0" borderId="0" xfId="0" applyFont="1" applyAlignment="1">
      <alignment horizontal="right"/>
    </xf>
    <xf numFmtId="9" fontId="22" fillId="0" borderId="0" xfId="0" applyNumberFormat="1" applyFont="1"/>
    <xf numFmtId="15" fontId="13" fillId="15" borderId="0" xfId="0" applyNumberFormat="1" applyFont="1" applyFill="1"/>
    <xf numFmtId="0" fontId="34" fillId="14" borderId="0" xfId="5" applyFont="1" applyFill="1" applyBorder="1" applyProtection="1"/>
    <xf numFmtId="1" fontId="13" fillId="15" borderId="0" xfId="0" applyNumberFormat="1" applyFont="1" applyFill="1"/>
    <xf numFmtId="0" fontId="22" fillId="0" borderId="1" xfId="0" applyFont="1" applyBorder="1" applyAlignment="1">
      <alignment horizontal="centerContinuous"/>
    </xf>
    <xf numFmtId="169" fontId="22" fillId="0" borderId="3" xfId="4" applyNumberFormat="1" applyFont="1" applyBorder="1" applyProtection="1"/>
    <xf numFmtId="9" fontId="14" fillId="0" borderId="8" xfId="4" applyNumberFormat="1" applyFont="1" applyBorder="1" applyProtection="1"/>
    <xf numFmtId="9" fontId="14" fillId="0" borderId="16" xfId="4" applyNumberFormat="1" applyFont="1" applyBorder="1" applyProtection="1"/>
    <xf numFmtId="169" fontId="14" fillId="0" borderId="0" xfId="4" applyNumberFormat="1" applyFont="1" applyBorder="1" applyProtection="1"/>
    <xf numFmtId="169" fontId="14" fillId="0" borderId="17" xfId="4" applyNumberFormat="1" applyFont="1" applyBorder="1" applyProtection="1"/>
    <xf numFmtId="169" fontId="14" fillId="0" borderId="1" xfId="4" applyNumberFormat="1" applyFont="1" applyBorder="1" applyProtection="1"/>
    <xf numFmtId="169" fontId="14" fillId="0" borderId="18" xfId="4" applyNumberFormat="1" applyFont="1" applyBorder="1" applyProtection="1"/>
    <xf numFmtId="0" fontId="14" fillId="0" borderId="3" xfId="0" applyFont="1" applyBorder="1"/>
    <xf numFmtId="0" fontId="81" fillId="0" borderId="0" xfId="0" applyFont="1"/>
    <xf numFmtId="0" fontId="82" fillId="0" borderId="0" xfId="0" applyFont="1"/>
    <xf numFmtId="168" fontId="22" fillId="0" borderId="0" xfId="0" applyNumberFormat="1" applyFont="1"/>
    <xf numFmtId="168" fontId="14" fillId="0" borderId="0" xfId="1" applyNumberFormat="1" applyFont="1"/>
    <xf numFmtId="0" fontId="83" fillId="0" borderId="0" xfId="0" applyFont="1"/>
    <xf numFmtId="0" fontId="66" fillId="21" borderId="1" xfId="0" applyFont="1" applyFill="1" applyBorder="1"/>
    <xf numFmtId="0" fontId="84" fillId="21" borderId="1" xfId="0" applyFont="1" applyFill="1" applyBorder="1"/>
    <xf numFmtId="169" fontId="83" fillId="0" borderId="0" xfId="4" applyNumberFormat="1" applyFont="1" applyBorder="1"/>
    <xf numFmtId="166" fontId="81" fillId="0" borderId="0" xfId="0" applyNumberFormat="1" applyFont="1"/>
    <xf numFmtId="0" fontId="14" fillId="5" borderId="4" xfId="0" applyFont="1" applyFill="1" applyBorder="1"/>
    <xf numFmtId="169" fontId="29" fillId="0" borderId="1" xfId="0" applyNumberFormat="1" applyFont="1" applyBorder="1" applyAlignment="1">
      <alignment vertical="top"/>
    </xf>
    <xf numFmtId="0" fontId="15" fillId="0" borderId="0" xfId="0" applyFont="1" applyAlignment="1">
      <alignment vertical="center"/>
    </xf>
    <xf numFmtId="0" fontId="22" fillId="0" borderId="13" xfId="0" applyFont="1" applyBorder="1"/>
    <xf numFmtId="0" fontId="22" fillId="8" borderId="1" xfId="0" applyFont="1" applyFill="1" applyBorder="1"/>
    <xf numFmtId="169" fontId="86" fillId="0" borderId="1" xfId="0" applyNumberFormat="1" applyFont="1" applyBorder="1" applyAlignment="1">
      <alignment horizontal="left" vertical="top"/>
    </xf>
    <xf numFmtId="169" fontId="65" fillId="0" borderId="1" xfId="0" applyNumberFormat="1" applyFont="1" applyBorder="1" applyAlignment="1">
      <alignment vertical="top"/>
    </xf>
    <xf numFmtId="169" fontId="65" fillId="0" borderId="1" xfId="4" applyNumberFormat="1" applyFont="1" applyFill="1" applyBorder="1"/>
    <xf numFmtId="173" fontId="65" fillId="0" borderId="1" xfId="0" applyNumberFormat="1" applyFont="1" applyBorder="1"/>
    <xf numFmtId="2" fontId="85" fillId="0" borderId="0" xfId="6" applyNumberFormat="1" applyFont="1" applyBorder="1" applyAlignment="1">
      <alignment horizontal="left" vertical="top"/>
    </xf>
    <xf numFmtId="169" fontId="85" fillId="0" borderId="0" xfId="4" applyNumberFormat="1" applyFont="1" applyFill="1" applyBorder="1" applyAlignment="1">
      <alignment horizontal="left" vertical="top"/>
    </xf>
    <xf numFmtId="169" fontId="65" fillId="0" borderId="0" xfId="4" applyNumberFormat="1" applyFont="1" applyFill="1" applyBorder="1" applyAlignment="1">
      <alignment horizontal="left" vertical="top"/>
    </xf>
    <xf numFmtId="169" fontId="91" fillId="0" borderId="1" xfId="0" applyNumberFormat="1" applyFont="1" applyBorder="1" applyAlignment="1">
      <alignment vertical="top"/>
    </xf>
    <xf numFmtId="2" fontId="91" fillId="0" borderId="0" xfId="6" applyNumberFormat="1" applyFont="1" applyBorder="1" applyAlignment="1">
      <alignment horizontal="left" vertical="top"/>
    </xf>
    <xf numFmtId="0" fontId="92" fillId="0" borderId="0" xfId="0" applyFont="1"/>
    <xf numFmtId="173" fontId="93" fillId="0" borderId="0" xfId="0" applyNumberFormat="1" applyFont="1"/>
    <xf numFmtId="169" fontId="92" fillId="0" borderId="0" xfId="4" applyNumberFormat="1" applyFont="1" applyFill="1"/>
    <xf numFmtId="2" fontId="91" fillId="0" borderId="2" xfId="6" applyNumberFormat="1" applyFont="1" applyBorder="1" applyAlignment="1">
      <alignment horizontal="left" vertical="top"/>
    </xf>
    <xf numFmtId="0" fontId="92" fillId="0" borderId="2" xfId="0" applyFont="1" applyBorder="1"/>
    <xf numFmtId="169" fontId="94" fillId="0" borderId="2" xfId="0" applyNumberFormat="1" applyFont="1" applyBorder="1"/>
    <xf numFmtId="0" fontId="94" fillId="0" borderId="0" xfId="0" applyFont="1"/>
    <xf numFmtId="169" fontId="92" fillId="0" borderId="0" xfId="4" applyNumberFormat="1" applyFont="1"/>
    <xf numFmtId="169" fontId="92" fillId="0" borderId="0" xfId="0" applyNumberFormat="1" applyFont="1"/>
    <xf numFmtId="0" fontId="94" fillId="0" borderId="8" xfId="0" applyFont="1" applyBorder="1"/>
    <xf numFmtId="0" fontId="92" fillId="0" borderId="8" xfId="0" applyFont="1" applyBorder="1"/>
    <xf numFmtId="169" fontId="94" fillId="0" borderId="8" xfId="0" applyNumberFormat="1" applyFont="1" applyBorder="1"/>
    <xf numFmtId="166" fontId="92" fillId="0" borderId="0" xfId="0" applyNumberFormat="1" applyFont="1"/>
    <xf numFmtId="0" fontId="92" fillId="0" borderId="0" xfId="0" applyFont="1" applyAlignment="1">
      <alignment horizontal="left"/>
    </xf>
    <xf numFmtId="0" fontId="92" fillId="3" borderId="0" xfId="0" applyFont="1" applyFill="1" applyAlignment="1">
      <alignment horizontal="left" indent="1"/>
    </xf>
    <xf numFmtId="0" fontId="92" fillId="3" borderId="0" xfId="0" applyFont="1" applyFill="1"/>
    <xf numFmtId="0" fontId="94" fillId="3" borderId="2" xfId="0" applyFont="1" applyFill="1" applyBorder="1"/>
    <xf numFmtId="0" fontId="92" fillId="3" borderId="2" xfId="0" applyFont="1" applyFill="1" applyBorder="1"/>
    <xf numFmtId="169" fontId="94" fillId="0" borderId="2" xfId="4" applyNumberFormat="1" applyFont="1" applyBorder="1"/>
    <xf numFmtId="169" fontId="94" fillId="0" borderId="2" xfId="4" applyNumberFormat="1" applyFont="1" applyFill="1" applyBorder="1"/>
    <xf numFmtId="0" fontId="94" fillId="3" borderId="0" xfId="0" applyFont="1" applyFill="1"/>
    <xf numFmtId="169" fontId="92" fillId="3" borderId="0" xfId="0" applyNumberFormat="1" applyFont="1" applyFill="1"/>
    <xf numFmtId="169" fontId="94" fillId="0" borderId="8" xfId="4" applyNumberFormat="1" applyFont="1" applyBorder="1"/>
    <xf numFmtId="169" fontId="94" fillId="0" borderId="8" xfId="4" applyNumberFormat="1" applyFont="1" applyFill="1" applyBorder="1"/>
    <xf numFmtId="177" fontId="14" fillId="0" borderId="0" xfId="4" applyNumberFormat="1" applyFont="1" applyFill="1" applyBorder="1"/>
    <xf numFmtId="169" fontId="92" fillId="0" borderId="0" xfId="4" applyNumberFormat="1" applyFont="1" applyAlignment="1">
      <alignment vertical="center"/>
    </xf>
    <xf numFmtId="0" fontId="95" fillId="0" borderId="0" xfId="0" applyFont="1"/>
    <xf numFmtId="169" fontId="95" fillId="0" borderId="0" xfId="4" applyNumberFormat="1" applyFont="1"/>
    <xf numFmtId="173" fontId="64" fillId="0" borderId="0" xfId="0" applyNumberFormat="1" applyFont="1"/>
    <xf numFmtId="169" fontId="96" fillId="0" borderId="0" xfId="4" applyNumberFormat="1" applyFont="1" applyFill="1" applyBorder="1" applyAlignment="1" applyProtection="1">
      <alignment vertical="top"/>
    </xf>
    <xf numFmtId="169" fontId="97" fillId="0" borderId="0" xfId="4" applyNumberFormat="1" applyFont="1" applyFill="1" applyBorder="1" applyAlignment="1" applyProtection="1">
      <alignment vertical="top"/>
    </xf>
    <xf numFmtId="2" fontId="98" fillId="0" borderId="4" xfId="6" applyNumberFormat="1" applyFont="1" applyBorder="1" applyAlignment="1">
      <alignment horizontal="left" vertical="top"/>
    </xf>
    <xf numFmtId="169" fontId="98" fillId="0" borderId="8" xfId="4" applyNumberFormat="1" applyFont="1" applyFill="1" applyBorder="1" applyAlignment="1">
      <alignment horizontal="left" vertical="top"/>
    </xf>
    <xf numFmtId="169" fontId="99" fillId="0" borderId="1" xfId="0" applyNumberFormat="1" applyFont="1" applyBorder="1"/>
    <xf numFmtId="169" fontId="95" fillId="0" borderId="0" xfId="4" applyNumberFormat="1" applyFont="1" applyFill="1"/>
    <xf numFmtId="169" fontId="95" fillId="0" borderId="0" xfId="0" applyNumberFormat="1" applyFont="1"/>
    <xf numFmtId="169" fontId="100" fillId="0" borderId="0" xfId="4" applyNumberFormat="1" applyFont="1"/>
    <xf numFmtId="169" fontId="101" fillId="0" borderId="2" xfId="0" applyNumberFormat="1" applyFont="1" applyBorder="1"/>
    <xf numFmtId="169" fontId="101" fillId="0" borderId="8" xfId="0" applyNumberFormat="1" applyFont="1" applyBorder="1"/>
    <xf numFmtId="0" fontId="100" fillId="0" borderId="0" xfId="0" applyFont="1"/>
    <xf numFmtId="169" fontId="100" fillId="0" borderId="0" xfId="0" applyNumberFormat="1" applyFont="1"/>
    <xf numFmtId="169" fontId="101" fillId="0" borderId="2" xfId="4" applyNumberFormat="1" applyFont="1" applyBorder="1"/>
    <xf numFmtId="169" fontId="101" fillId="0" borderId="8" xfId="4" applyNumberFormat="1" applyFont="1" applyBorder="1"/>
    <xf numFmtId="169" fontId="102" fillId="0" borderId="1" xfId="0" applyNumberFormat="1" applyFont="1" applyBorder="1" applyAlignment="1">
      <alignment vertical="top"/>
    </xf>
    <xf numFmtId="2" fontId="103" fillId="0" borderId="0" xfId="6" applyNumberFormat="1" applyFont="1" applyBorder="1" applyAlignment="1">
      <alignment horizontal="left" vertical="top"/>
    </xf>
    <xf numFmtId="169" fontId="100" fillId="0" borderId="0" xfId="4" applyNumberFormat="1" applyFont="1" applyAlignment="1">
      <alignment vertical="center"/>
    </xf>
    <xf numFmtId="169" fontId="100" fillId="0" borderId="0" xfId="4" applyNumberFormat="1" applyFont="1" applyFill="1"/>
    <xf numFmtId="0" fontId="100" fillId="0" borderId="1" xfId="0" applyFont="1" applyBorder="1"/>
    <xf numFmtId="3" fontId="95" fillId="0" borderId="0" xfId="0" applyNumberFormat="1" applyFont="1"/>
    <xf numFmtId="3" fontId="99" fillId="0" borderId="1" xfId="0" applyNumberFormat="1" applyFont="1" applyBorder="1"/>
    <xf numFmtId="169" fontId="95" fillId="0" borderId="0" xfId="4" applyNumberFormat="1" applyFont="1" applyBorder="1"/>
    <xf numFmtId="3" fontId="99" fillId="0" borderId="9" xfId="0" applyNumberFormat="1" applyFont="1" applyBorder="1"/>
    <xf numFmtId="9" fontId="95" fillId="0" borderId="0" xfId="1" applyFont="1" applyBorder="1"/>
    <xf numFmtId="9" fontId="95" fillId="0" borderId="0" xfId="0" applyNumberFormat="1" applyFont="1"/>
    <xf numFmtId="3" fontId="95" fillId="0" borderId="1" xfId="0" applyNumberFormat="1" applyFont="1" applyBorder="1"/>
    <xf numFmtId="0" fontId="95" fillId="0" borderId="8" xfId="0" applyFont="1" applyBorder="1"/>
    <xf numFmtId="3" fontId="95" fillId="0" borderId="8" xfId="0" applyNumberFormat="1" applyFont="1" applyBorder="1"/>
    <xf numFmtId="169" fontId="99" fillId="0" borderId="1" xfId="4" applyNumberFormat="1" applyFont="1" applyBorder="1"/>
    <xf numFmtId="169" fontId="95" fillId="0" borderId="1" xfId="4" applyNumberFormat="1" applyFont="1" applyBorder="1"/>
    <xf numFmtId="169" fontId="95" fillId="0" borderId="8" xfId="4" applyNumberFormat="1" applyFont="1" applyBorder="1"/>
    <xf numFmtId="169" fontId="99" fillId="0" borderId="0" xfId="0" applyNumberFormat="1" applyFont="1"/>
    <xf numFmtId="0" fontId="95" fillId="0" borderId="1" xfId="0" applyFont="1" applyBorder="1"/>
    <xf numFmtId="9" fontId="95" fillId="0" borderId="0" xfId="1" applyFont="1"/>
    <xf numFmtId="9" fontId="95" fillId="0" borderId="0" xfId="4" applyNumberFormat="1" applyFont="1"/>
    <xf numFmtId="2" fontId="99" fillId="0" borderId="0" xfId="6" applyNumberFormat="1" applyFont="1" applyBorder="1" applyAlignment="1">
      <alignment horizontal="left" vertical="top"/>
    </xf>
    <xf numFmtId="173" fontId="95" fillId="0" borderId="4" xfId="4" applyNumberFormat="1" applyFont="1" applyFill="1" applyBorder="1"/>
    <xf numFmtId="169" fontId="95" fillId="0" borderId="0" xfId="0" applyNumberFormat="1" applyFont="1" applyAlignment="1">
      <alignment vertical="top"/>
    </xf>
    <xf numFmtId="169" fontId="95" fillId="0" borderId="4" xfId="4" applyNumberFormat="1" applyFont="1" applyFill="1" applyBorder="1" applyAlignment="1">
      <alignment horizontal="right"/>
    </xf>
    <xf numFmtId="166" fontId="95" fillId="0" borderId="4" xfId="4" applyFont="1" applyFill="1" applyBorder="1" applyAlignment="1">
      <alignment horizontal="right"/>
    </xf>
    <xf numFmtId="9" fontId="95" fillId="0" borderId="4" xfId="1" applyFont="1" applyFill="1" applyBorder="1"/>
    <xf numFmtId="173" fontId="95" fillId="0" borderId="0" xfId="0" applyNumberFormat="1" applyFont="1"/>
    <xf numFmtId="169" fontId="95" fillId="0" borderId="1" xfId="0" applyNumberFormat="1" applyFont="1" applyBorder="1" applyAlignment="1">
      <alignment vertical="top"/>
    </xf>
    <xf numFmtId="9" fontId="95" fillId="0" borderId="4" xfId="1" applyFont="1" applyFill="1" applyBorder="1" applyAlignment="1">
      <alignment horizontal="right"/>
    </xf>
    <xf numFmtId="0" fontId="97" fillId="14" borderId="0" xfId="0" applyFont="1" applyFill="1"/>
    <xf numFmtId="0" fontId="104" fillId="0" borderId="0" xfId="0" applyFont="1"/>
    <xf numFmtId="0" fontId="105" fillId="2" borderId="0" xfId="0" applyFont="1" applyFill="1"/>
    <xf numFmtId="0" fontId="104" fillId="2" borderId="0" xfId="0" applyFont="1" applyFill="1"/>
    <xf numFmtId="171" fontId="104" fillId="0" borderId="4" xfId="0" applyNumberFormat="1" applyFont="1" applyBorder="1"/>
    <xf numFmtId="169" fontId="104" fillId="0" borderId="4" xfId="4" applyNumberFormat="1" applyFont="1" applyFill="1" applyBorder="1"/>
    <xf numFmtId="166" fontId="104" fillId="0" borderId="4" xfId="0" applyNumberFormat="1" applyFont="1" applyBorder="1"/>
    <xf numFmtId="166" fontId="104" fillId="0" borderId="4" xfId="4" applyFont="1" applyFill="1" applyBorder="1"/>
    <xf numFmtId="10" fontId="104" fillId="0" borderId="4" xfId="1" applyNumberFormat="1" applyFont="1" applyFill="1" applyBorder="1"/>
    <xf numFmtId="9" fontId="104" fillId="0" borderId="0" xfId="1" applyFont="1" applyFill="1" applyBorder="1"/>
    <xf numFmtId="0" fontId="105" fillId="0" borderId="0" xfId="0" applyFont="1"/>
    <xf numFmtId="10" fontId="104" fillId="0" borderId="0" xfId="1" applyNumberFormat="1" applyFont="1" applyFill="1" applyBorder="1"/>
    <xf numFmtId="0" fontId="104" fillId="14" borderId="0" xfId="0" applyFont="1" applyFill="1"/>
    <xf numFmtId="169" fontId="104" fillId="0" borderId="0" xfId="4" applyNumberFormat="1" applyFont="1"/>
    <xf numFmtId="169" fontId="9" fillId="17" borderId="0" xfId="4" applyNumberFormat="1" applyFont="1" applyFill="1"/>
    <xf numFmtId="0" fontId="99" fillId="0" borderId="4" xfId="0" applyFont="1" applyBorder="1"/>
    <xf numFmtId="15" fontId="19" fillId="0" borderId="0" xfId="0" applyNumberFormat="1" applyFont="1"/>
    <xf numFmtId="0" fontId="58" fillId="0" borderId="0" xfId="0" applyFont="1" applyAlignment="1">
      <alignment horizontal="left" indent="1"/>
    </xf>
    <xf numFmtId="9" fontId="58" fillId="0" borderId="0" xfId="0" applyNumberFormat="1" applyFont="1"/>
    <xf numFmtId="9" fontId="58" fillId="0" borderId="0" xfId="4" applyNumberFormat="1" applyFont="1"/>
    <xf numFmtId="0" fontId="58" fillId="3" borderId="0" xfId="0" applyFont="1" applyFill="1" applyAlignment="1">
      <alignment horizontal="left" indent="1"/>
    </xf>
    <xf numFmtId="0" fontId="14" fillId="0" borderId="14" xfId="0" applyFont="1" applyBorder="1"/>
    <xf numFmtId="9" fontId="14" fillId="0" borderId="14" xfId="0" applyNumberFormat="1" applyFont="1" applyBorder="1"/>
    <xf numFmtId="0" fontId="22" fillId="0" borderId="14" xfId="0" applyFont="1" applyBorder="1"/>
    <xf numFmtId="1" fontId="22" fillId="0" borderId="3" xfId="0" applyNumberFormat="1" applyFont="1" applyBorder="1"/>
    <xf numFmtId="9" fontId="22" fillId="0" borderId="22" xfId="0" applyNumberFormat="1" applyFont="1" applyBorder="1"/>
    <xf numFmtId="9" fontId="22" fillId="0" borderId="15" xfId="0" applyNumberFormat="1" applyFont="1" applyBorder="1"/>
    <xf numFmtId="169" fontId="22" fillId="0" borderId="3" xfId="4" applyNumberFormat="1" applyFont="1" applyBorder="1"/>
    <xf numFmtId="9" fontId="32" fillId="0" borderId="14" xfId="4" applyNumberFormat="1" applyFont="1" applyBorder="1"/>
    <xf numFmtId="3" fontId="14" fillId="0" borderId="14" xfId="0" applyNumberFormat="1" applyFont="1" applyBorder="1"/>
    <xf numFmtId="169" fontId="14" fillId="0" borderId="14" xfId="4" applyNumberFormat="1" applyFont="1" applyBorder="1"/>
    <xf numFmtId="0" fontId="22" fillId="2" borderId="3" xfId="0" applyFont="1" applyFill="1" applyBorder="1" applyAlignment="1">
      <alignment horizontal="centerContinuous" vertical="center" wrapText="1"/>
    </xf>
    <xf numFmtId="0" fontId="66" fillId="22" borderId="0" xfId="0" applyFont="1" applyFill="1"/>
    <xf numFmtId="0" fontId="84" fillId="22" borderId="0" xfId="0" applyFont="1" applyFill="1"/>
    <xf numFmtId="169" fontId="14" fillId="0" borderId="4" xfId="4" applyNumberFormat="1" applyFont="1" applyBorder="1"/>
    <xf numFmtId="9" fontId="14" fillId="0" borderId="15" xfId="0" applyNumberFormat="1" applyFont="1" applyBorder="1"/>
    <xf numFmtId="0" fontId="50" fillId="0" borderId="0" xfId="0" quotePrefix="1" applyFont="1"/>
    <xf numFmtId="9" fontId="99" fillId="0" borderId="0" xfId="0" applyNumberFormat="1" applyFont="1"/>
    <xf numFmtId="9" fontId="107" fillId="0" borderId="0" xfId="1" applyFont="1"/>
    <xf numFmtId="9" fontId="108" fillId="0" borderId="0" xfId="1" applyFont="1" applyFill="1" applyBorder="1" applyAlignment="1">
      <alignment horizontal="center" vertical="top"/>
    </xf>
    <xf numFmtId="0" fontId="22" fillId="0" borderId="0" xfId="0" applyFont="1" applyAlignment="1">
      <alignment wrapText="1"/>
    </xf>
    <xf numFmtId="0" fontId="110" fillId="0" borderId="0" xfId="0" applyFont="1"/>
    <xf numFmtId="10" fontId="109" fillId="0" borderId="0" xfId="1" applyNumberFormat="1" applyFont="1" applyBorder="1"/>
    <xf numFmtId="173" fontId="32" fillId="0" borderId="0" xfId="0" applyNumberFormat="1" applyFont="1"/>
    <xf numFmtId="3" fontId="109" fillId="0" borderId="0" xfId="0" applyNumberFormat="1" applyFont="1"/>
    <xf numFmtId="2" fontId="98" fillId="0" borderId="23" xfId="6" applyNumberFormat="1" applyFont="1" applyBorder="1" applyAlignment="1">
      <alignment horizontal="left" vertical="top"/>
    </xf>
    <xf numFmtId="9" fontId="32" fillId="0" borderId="17" xfId="4" applyNumberFormat="1" applyFont="1" applyBorder="1"/>
    <xf numFmtId="168" fontId="14" fillId="0" borderId="1" xfId="0" applyNumberFormat="1" applyFont="1" applyBorder="1"/>
    <xf numFmtId="168" fontId="14" fillId="0" borderId="18" xfId="0" applyNumberFormat="1" applyFont="1" applyBorder="1"/>
    <xf numFmtId="10" fontId="104" fillId="0" borderId="24" xfId="1" applyNumberFormat="1" applyFont="1" applyFill="1" applyBorder="1"/>
    <xf numFmtId="166" fontId="104" fillId="0" borderId="23" xfId="4" applyFont="1" applyFill="1" applyBorder="1"/>
    <xf numFmtId="180" fontId="53" fillId="0" borderId="0" xfId="0" applyNumberFormat="1" applyFont="1"/>
    <xf numFmtId="180" fontId="14" fillId="0" borderId="0" xfId="0" applyNumberFormat="1" applyFont="1"/>
    <xf numFmtId="180" fontId="56" fillId="0" borderId="0" xfId="0" applyNumberFormat="1" applyFont="1"/>
    <xf numFmtId="0" fontId="111" fillId="0" borderId="0" xfId="0" applyFont="1"/>
    <xf numFmtId="0" fontId="80" fillId="0" borderId="0" xfId="0" applyFont="1"/>
    <xf numFmtId="0" fontId="71" fillId="0" borderId="0" xfId="0" applyFont="1"/>
    <xf numFmtId="0" fontId="112" fillId="0" borderId="0" xfId="0" applyFont="1"/>
    <xf numFmtId="0" fontId="112" fillId="0" borderId="1" xfId="0" applyFont="1" applyBorder="1"/>
    <xf numFmtId="180" fontId="0" fillId="0" borderId="3" xfId="0" applyNumberFormat="1" applyBorder="1"/>
    <xf numFmtId="0" fontId="34" fillId="0" borderId="0" xfId="5" applyFont="1" applyFill="1" applyBorder="1"/>
    <xf numFmtId="170" fontId="67" fillId="0" borderId="0" xfId="4" applyNumberFormat="1" applyFont="1" applyFill="1" applyBorder="1"/>
    <xf numFmtId="0" fontId="14" fillId="23" borderId="0" xfId="0" applyFont="1" applyFill="1"/>
    <xf numFmtId="0" fontId="81" fillId="23" borderId="0" xfId="0" applyFont="1" applyFill="1"/>
    <xf numFmtId="0" fontId="37" fillId="24" borderId="0" xfId="0" applyFont="1" applyFill="1"/>
    <xf numFmtId="0" fontId="37" fillId="24" borderId="7" xfId="0" applyFont="1" applyFill="1" applyBorder="1"/>
    <xf numFmtId="0" fontId="37" fillId="23" borderId="0" xfId="0" applyFont="1" applyFill="1"/>
    <xf numFmtId="0" fontId="66" fillId="14" borderId="0" xfId="5" applyFont="1" applyFill="1" applyBorder="1"/>
    <xf numFmtId="168" fontId="21" fillId="0" borderId="0" xfId="6" applyNumberFormat="1" applyFont="1" applyBorder="1" applyAlignment="1">
      <alignment horizontal="left" vertical="top"/>
    </xf>
    <xf numFmtId="177" fontId="14" fillId="0" borderId="0" xfId="0" applyNumberFormat="1" applyFont="1"/>
    <xf numFmtId="177" fontId="16" fillId="0" borderId="0" xfId="0" applyNumberFormat="1" applyFont="1"/>
    <xf numFmtId="0" fontId="69" fillId="0" borderId="0" xfId="0" applyFont="1" applyAlignment="1">
      <alignment horizontal="left"/>
    </xf>
    <xf numFmtId="0" fontId="84" fillId="0" borderId="0" xfId="0" applyFont="1"/>
    <xf numFmtId="9" fontId="113" fillId="3" borderId="0" xfId="2" applyNumberFormat="1" applyFont="1" applyFill="1"/>
    <xf numFmtId="0" fontId="82" fillId="0" borderId="21" xfId="0" applyFont="1" applyBorder="1"/>
    <xf numFmtId="168" fontId="22" fillId="0" borderId="16" xfId="0" applyNumberFormat="1" applyFont="1" applyBorder="1"/>
    <xf numFmtId="0" fontId="56" fillId="0" borderId="2" xfId="0" applyFont="1" applyBorder="1"/>
    <xf numFmtId="2" fontId="98" fillId="0" borderId="0" xfId="6" applyNumberFormat="1" applyFont="1" applyBorder="1" applyAlignment="1">
      <alignment horizontal="left" vertical="top"/>
    </xf>
    <xf numFmtId="0" fontId="58" fillId="0" borderId="8" xfId="0" applyFont="1" applyBorder="1"/>
    <xf numFmtId="0" fontId="114" fillId="0" borderId="0" xfId="0" applyFont="1"/>
    <xf numFmtId="0" fontId="115" fillId="0" borderId="0" xfId="0" applyFont="1"/>
    <xf numFmtId="0" fontId="116" fillId="0" borderId="0" xfId="0" applyFont="1"/>
    <xf numFmtId="9" fontId="9" fillId="0" borderId="0" xfId="0" applyNumberFormat="1" applyFont="1"/>
    <xf numFmtId="9" fontId="115" fillId="0" borderId="0" xfId="0" applyNumberFormat="1" applyFont="1"/>
    <xf numFmtId="0" fontId="117" fillId="0" borderId="0" xfId="0" applyFont="1"/>
    <xf numFmtId="9" fontId="95" fillId="0" borderId="0" xfId="1" applyFont="1" applyFill="1" applyBorder="1"/>
    <xf numFmtId="169" fontId="14" fillId="8" borderId="1" xfId="0" applyNumberFormat="1" applyFont="1" applyFill="1" applyBorder="1" applyAlignment="1">
      <alignment horizontal="right"/>
    </xf>
    <xf numFmtId="181" fontId="14" fillId="8" borderId="1" xfId="0" applyNumberFormat="1" applyFont="1" applyFill="1" applyBorder="1" applyAlignment="1">
      <alignment horizontal="right"/>
    </xf>
    <xf numFmtId="0" fontId="14" fillId="0" borderId="0" xfId="0" applyFont="1" applyAlignment="1">
      <alignment horizontal="left" vertical="center"/>
    </xf>
    <xf numFmtId="0" fontId="32" fillId="0" borderId="0" xfId="0" applyFont="1" applyAlignment="1">
      <alignment horizontal="left" vertical="center"/>
    </xf>
    <xf numFmtId="0" fontId="14" fillId="3" borderId="0" xfId="0" applyFont="1" applyFill="1" applyAlignment="1">
      <alignment horizontal="left" vertical="center"/>
    </xf>
    <xf numFmtId="0" fontId="14" fillId="3" borderId="0" xfId="0" applyFont="1" applyFill="1" applyAlignment="1">
      <alignment vertical="top"/>
    </xf>
    <xf numFmtId="0" fontId="82" fillId="0" borderId="1" xfId="0" applyFont="1" applyBorder="1" applyAlignment="1">
      <alignment horizontal="left" vertical="center"/>
    </xf>
    <xf numFmtId="2" fontId="118" fillId="0" borderId="0" xfId="6" applyNumberFormat="1" applyFont="1" applyBorder="1" applyAlignment="1">
      <alignment horizontal="left" vertical="top"/>
    </xf>
    <xf numFmtId="9" fontId="9" fillId="0" borderId="0" xfId="1" applyFont="1"/>
    <xf numFmtId="0" fontId="94" fillId="0" borderId="1" xfId="0" applyFont="1" applyBorder="1"/>
    <xf numFmtId="0" fontId="92" fillId="0" borderId="1" xfId="0" applyFont="1" applyBorder="1"/>
    <xf numFmtId="0" fontId="53" fillId="0" borderId="1" xfId="0" applyFont="1" applyBorder="1"/>
    <xf numFmtId="180" fontId="53" fillId="0" borderId="1" xfId="0" applyNumberFormat="1" applyFont="1" applyBorder="1"/>
    <xf numFmtId="180" fontId="14" fillId="0" borderId="1" xfId="0" applyNumberFormat="1" applyFont="1" applyBorder="1"/>
    <xf numFmtId="180" fontId="56" fillId="0" borderId="1" xfId="0" applyNumberFormat="1" applyFont="1" applyBorder="1"/>
    <xf numFmtId="10" fontId="105" fillId="0" borderId="4" xfId="0" applyNumberFormat="1" applyFont="1" applyBorder="1"/>
    <xf numFmtId="169" fontId="9" fillId="17" borderId="0" xfId="0" applyNumberFormat="1" applyFont="1" applyFill="1"/>
    <xf numFmtId="169" fontId="101" fillId="0" borderId="9" xfId="4" applyNumberFormat="1" applyFont="1" applyBorder="1"/>
    <xf numFmtId="169" fontId="103" fillId="0" borderId="8" xfId="4" applyNumberFormat="1" applyFont="1" applyFill="1" applyBorder="1" applyAlignment="1">
      <alignment horizontal="left" vertical="top"/>
    </xf>
    <xf numFmtId="169" fontId="100" fillId="0" borderId="2" xfId="4" applyNumberFormat="1" applyFont="1" applyBorder="1"/>
    <xf numFmtId="169" fontId="100" fillId="3" borderId="2" xfId="4" applyNumberFormat="1" applyFont="1" applyFill="1" applyBorder="1"/>
    <xf numFmtId="169" fontId="119" fillId="0" borderId="0" xfId="4" applyNumberFormat="1" applyFont="1" applyAlignment="1">
      <alignment horizontal="right"/>
    </xf>
    <xf numFmtId="169" fontId="102" fillId="0" borderId="0" xfId="4" applyNumberFormat="1" applyFont="1" applyAlignment="1">
      <alignment horizontal="right"/>
    </xf>
    <xf numFmtId="1" fontId="62" fillId="0" borderId="0" xfId="6" applyNumberFormat="1" applyFont="1" applyBorder="1" applyAlignment="1">
      <alignment horizontal="left" vertical="top" indent="1"/>
    </xf>
    <xf numFmtId="9" fontId="32" fillId="3" borderId="0" xfId="0" applyNumberFormat="1" applyFont="1" applyFill="1"/>
    <xf numFmtId="168" fontId="14" fillId="0" borderId="0" xfId="0" applyNumberFormat="1" applyFont="1"/>
    <xf numFmtId="182" fontId="14" fillId="0" borderId="0" xfId="0" applyNumberFormat="1" applyFont="1"/>
    <xf numFmtId="183" fontId="14" fillId="0" borderId="0" xfId="0" applyNumberFormat="1" applyFont="1"/>
    <xf numFmtId="184" fontId="14" fillId="0" borderId="0" xfId="0" applyNumberFormat="1" applyFont="1"/>
    <xf numFmtId="169" fontId="100" fillId="0" borderId="0" xfId="4" applyNumberFormat="1" applyFont="1" applyBorder="1"/>
    <xf numFmtId="0" fontId="109" fillId="0" borderId="0" xfId="0" applyFont="1"/>
    <xf numFmtId="9" fontId="109" fillId="0" borderId="0" xfId="0" applyNumberFormat="1" applyFont="1"/>
    <xf numFmtId="178" fontId="17" fillId="0" borderId="0" xfId="0" applyNumberFormat="1" applyFont="1"/>
    <xf numFmtId="2" fontId="28" fillId="0" borderId="1" xfId="6" applyNumberFormat="1" applyFont="1" applyBorder="1" applyAlignment="1">
      <alignment horizontal="left" vertical="top"/>
    </xf>
    <xf numFmtId="2" fontId="21" fillId="0" borderId="1" xfId="6" applyNumberFormat="1" applyFont="1" applyBorder="1" applyAlignment="1">
      <alignment horizontal="left" vertical="top"/>
    </xf>
    <xf numFmtId="169" fontId="29" fillId="0" borderId="8" xfId="4" applyNumberFormat="1" applyFont="1" applyFill="1" applyBorder="1" applyAlignment="1">
      <alignment horizontal="left" vertical="top"/>
    </xf>
    <xf numFmtId="169" fontId="29" fillId="0" borderId="1" xfId="4" applyNumberFormat="1" applyFont="1" applyFill="1" applyBorder="1" applyAlignment="1">
      <alignment horizontal="left" vertical="top"/>
    </xf>
    <xf numFmtId="2" fontId="19" fillId="0" borderId="8" xfId="6" applyNumberFormat="1" applyFont="1" applyBorder="1" applyAlignment="1">
      <alignment horizontal="left" vertical="top"/>
    </xf>
    <xf numFmtId="2" fontId="19" fillId="0" borderId="1" xfId="6" applyNumberFormat="1" applyFont="1" applyBorder="1" applyAlignment="1">
      <alignment horizontal="left" vertical="top"/>
    </xf>
    <xf numFmtId="3" fontId="95" fillId="0" borderId="2" xfId="0" applyNumberFormat="1" applyFont="1" applyBorder="1"/>
    <xf numFmtId="2" fontId="120" fillId="0" borderId="8" xfId="6" applyNumberFormat="1" applyFont="1" applyBorder="1" applyAlignment="1">
      <alignment horizontal="left" vertical="top"/>
    </xf>
    <xf numFmtId="180" fontId="58" fillId="0" borderId="0" xfId="0" applyNumberFormat="1" applyFont="1"/>
    <xf numFmtId="0" fontId="76" fillId="25" borderId="0" xfId="5" applyFont="1" applyFill="1" applyBorder="1"/>
    <xf numFmtId="9" fontId="14" fillId="0" borderId="4" xfId="0" applyNumberFormat="1" applyFont="1" applyBorder="1"/>
    <xf numFmtId="9" fontId="61" fillId="0" borderId="0" xfId="1" applyFont="1" applyFill="1" applyBorder="1"/>
    <xf numFmtId="9" fontId="14" fillId="0" borderId="4" xfId="1" applyFont="1" applyFill="1" applyBorder="1"/>
    <xf numFmtId="0" fontId="14" fillId="0" borderId="0" xfId="0" applyFont="1" applyAlignment="1">
      <alignment horizontal="left" wrapText="1" indent="1"/>
    </xf>
    <xf numFmtId="9" fontId="56" fillId="0" borderId="0" xfId="1" applyFont="1" applyFill="1" applyBorder="1"/>
    <xf numFmtId="3" fontId="32" fillId="0" borderId="0" xfId="0" applyNumberFormat="1" applyFont="1"/>
    <xf numFmtId="168" fontId="61" fillId="5" borderId="4" xfId="1" applyNumberFormat="1" applyFont="1" applyFill="1" applyBorder="1"/>
    <xf numFmtId="169" fontId="22" fillId="0" borderId="14" xfId="4" applyNumberFormat="1" applyFont="1" applyBorder="1"/>
    <xf numFmtId="0" fontId="22" fillId="0" borderId="0" xfId="0" applyFont="1" applyAlignment="1">
      <alignment horizontal="right"/>
    </xf>
    <xf numFmtId="0" fontId="14" fillId="0" borderId="1" xfId="0" applyFont="1" applyBorder="1" applyAlignment="1">
      <alignment wrapText="1"/>
    </xf>
    <xf numFmtId="0" fontId="14" fillId="0" borderId="2" xfId="0" applyFont="1" applyBorder="1" applyAlignment="1">
      <alignment wrapText="1"/>
    </xf>
    <xf numFmtId="176" fontId="95" fillId="0" borderId="0" xfId="4" applyNumberFormat="1" applyFont="1"/>
    <xf numFmtId="170" fontId="67" fillId="14" borderId="0" xfId="4" applyNumberFormat="1" applyFont="1" applyFill="1" applyBorder="1" applyProtection="1"/>
    <xf numFmtId="0" fontId="81" fillId="14" borderId="0" xfId="0" applyFont="1" applyFill="1"/>
    <xf numFmtId="0" fontId="66" fillId="14" borderId="0" xfId="5" applyFont="1" applyFill="1" applyBorder="1" applyProtection="1"/>
    <xf numFmtId="0" fontId="88" fillId="2" borderId="0" xfId="0" applyFont="1" applyFill="1"/>
    <xf numFmtId="0" fontId="88" fillId="0" borderId="0" xfId="0" applyFont="1"/>
    <xf numFmtId="0" fontId="14" fillId="2" borderId="0" xfId="0" applyFont="1" applyFill="1"/>
    <xf numFmtId="179" fontId="87" fillId="2" borderId="0" xfId="4" applyNumberFormat="1" applyFont="1" applyFill="1" applyBorder="1" applyAlignment="1" applyProtection="1">
      <alignment vertical="center"/>
    </xf>
    <xf numFmtId="0" fontId="14" fillId="2" borderId="0" xfId="0" applyFont="1" applyFill="1" applyAlignment="1">
      <alignment horizontal="left"/>
    </xf>
    <xf numFmtId="37" fontId="77" fillId="2" borderId="0" xfId="4" applyNumberFormat="1" applyFont="1" applyFill="1" applyBorder="1" applyAlignment="1" applyProtection="1">
      <alignment horizontal="center" vertical="center"/>
    </xf>
    <xf numFmtId="37" fontId="90" fillId="2" borderId="0" xfId="4" applyNumberFormat="1" applyFont="1" applyFill="1" applyBorder="1" applyAlignment="1" applyProtection="1">
      <alignment vertical="center"/>
    </xf>
    <xf numFmtId="37" fontId="106" fillId="2" borderId="0" xfId="4" applyNumberFormat="1" applyFont="1" applyFill="1" applyBorder="1" applyAlignment="1" applyProtection="1">
      <alignment horizontal="right" vertical="center"/>
    </xf>
    <xf numFmtId="37" fontId="77" fillId="2" borderId="0" xfId="4" applyNumberFormat="1" applyFont="1" applyFill="1" applyBorder="1" applyAlignment="1" applyProtection="1">
      <alignment vertical="center"/>
    </xf>
    <xf numFmtId="0" fontId="24" fillId="6" borderId="6" xfId="0" applyFont="1" applyFill="1" applyBorder="1" applyProtection="1">
      <protection locked="0"/>
    </xf>
    <xf numFmtId="15" fontId="24" fillId="6" borderId="4" xfId="0" applyNumberFormat="1" applyFont="1" applyFill="1" applyBorder="1" applyProtection="1">
      <protection locked="0"/>
    </xf>
    <xf numFmtId="3" fontId="17" fillId="5" borderId="4" xfId="0" applyNumberFormat="1" applyFont="1" applyFill="1" applyBorder="1" applyProtection="1">
      <protection locked="0"/>
    </xf>
    <xf numFmtId="9" fontId="17" fillId="5" borderId="4" xfId="0" applyNumberFormat="1" applyFont="1" applyFill="1" applyBorder="1" applyProtection="1">
      <protection locked="0"/>
    </xf>
    <xf numFmtId="9" fontId="14" fillId="5" borderId="4" xfId="0" applyNumberFormat="1" applyFont="1" applyFill="1" applyBorder="1" applyProtection="1">
      <protection locked="0"/>
    </xf>
    <xf numFmtId="169" fontId="17" fillId="5" borderId="4" xfId="4" applyNumberFormat="1" applyFont="1" applyFill="1" applyBorder="1" applyProtection="1">
      <protection locked="0"/>
    </xf>
    <xf numFmtId="168" fontId="17" fillId="5" borderId="4" xfId="1" applyNumberFormat="1" applyFont="1" applyFill="1" applyBorder="1" applyProtection="1">
      <protection locked="0"/>
    </xf>
    <xf numFmtId="167" fontId="17" fillId="5" borderId="4" xfId="0" applyNumberFormat="1" applyFont="1" applyFill="1" applyBorder="1" applyProtection="1">
      <protection locked="0"/>
    </xf>
    <xf numFmtId="168" fontId="17" fillId="5" borderId="4" xfId="0" applyNumberFormat="1" applyFont="1" applyFill="1" applyBorder="1" applyProtection="1">
      <protection locked="0"/>
    </xf>
    <xf numFmtId="9" fontId="61" fillId="5" borderId="4" xfId="0" applyNumberFormat="1" applyFont="1" applyFill="1" applyBorder="1" applyProtection="1">
      <protection locked="0"/>
    </xf>
    <xf numFmtId="169" fontId="17" fillId="6" borderId="4" xfId="4" applyNumberFormat="1" applyFont="1" applyFill="1" applyBorder="1" applyProtection="1">
      <protection locked="0"/>
    </xf>
    <xf numFmtId="171" fontId="17" fillId="6" borderId="4" xfId="0" applyNumberFormat="1" applyFont="1" applyFill="1" applyBorder="1" applyProtection="1">
      <protection locked="0"/>
    </xf>
    <xf numFmtId="169" fontId="14" fillId="0" borderId="4" xfId="4" applyNumberFormat="1" applyFont="1" applyFill="1" applyBorder="1" applyProtection="1">
      <protection locked="0"/>
    </xf>
    <xf numFmtId="169" fontId="16" fillId="0" borderId="4" xfId="4" applyNumberFormat="1" applyFont="1" applyFill="1" applyBorder="1" applyProtection="1">
      <protection locked="0"/>
    </xf>
    <xf numFmtId="2" fontId="17" fillId="6" borderId="4" xfId="0" applyNumberFormat="1" applyFont="1" applyFill="1" applyBorder="1" applyProtection="1">
      <protection locked="0"/>
    </xf>
    <xf numFmtId="10" fontId="17" fillId="6" borderId="4" xfId="0" applyNumberFormat="1" applyFont="1" applyFill="1" applyBorder="1" applyProtection="1">
      <protection locked="0"/>
    </xf>
    <xf numFmtId="9" fontId="17" fillId="5" borderId="4" xfId="1" applyFont="1" applyFill="1" applyBorder="1" applyAlignment="1" applyProtection="1">
      <alignment horizontal="right"/>
      <protection locked="0"/>
    </xf>
    <xf numFmtId="169" fontId="17" fillId="5" borderId="12" xfId="4" applyNumberFormat="1" applyFont="1" applyFill="1" applyBorder="1" applyProtection="1">
      <protection locked="0"/>
    </xf>
    <xf numFmtId="178" fontId="17" fillId="5" borderId="4" xfId="0" applyNumberFormat="1" applyFont="1" applyFill="1" applyBorder="1" applyProtection="1">
      <protection locked="0"/>
    </xf>
    <xf numFmtId="176" fontId="17" fillId="5" borderId="4" xfId="4" applyNumberFormat="1" applyFont="1" applyFill="1" applyBorder="1" applyProtection="1">
      <protection locked="0"/>
    </xf>
    <xf numFmtId="9" fontId="17" fillId="5" borderId="4" xfId="1" applyFont="1" applyFill="1" applyBorder="1" applyProtection="1">
      <protection locked="0"/>
    </xf>
    <xf numFmtId="169" fontId="17" fillId="0" borderId="4" xfId="4" applyNumberFormat="1" applyFont="1" applyFill="1" applyBorder="1" applyProtection="1">
      <protection locked="0"/>
    </xf>
    <xf numFmtId="169" fontId="14" fillId="5" borderId="4" xfId="4" applyNumberFormat="1" applyFont="1" applyFill="1" applyBorder="1" applyProtection="1">
      <protection locked="0"/>
    </xf>
    <xf numFmtId="166" fontId="17" fillId="5" borderId="4" xfId="4" applyFont="1" applyFill="1" applyBorder="1" applyProtection="1">
      <protection locked="0"/>
    </xf>
    <xf numFmtId="169" fontId="17" fillId="5" borderId="20" xfId="4" applyNumberFormat="1" applyFont="1" applyFill="1" applyBorder="1" applyProtection="1">
      <protection locked="0"/>
    </xf>
    <xf numFmtId="9" fontId="61" fillId="5" borderId="4" xfId="1" applyFont="1" applyFill="1" applyBorder="1" applyProtection="1">
      <protection locked="0"/>
    </xf>
    <xf numFmtId="169" fontId="61" fillId="5" borderId="4" xfId="4" applyNumberFormat="1" applyFont="1" applyFill="1" applyBorder="1" applyProtection="1">
      <protection locked="0"/>
    </xf>
    <xf numFmtId="9" fontId="61" fillId="5" borderId="4" xfId="4" applyNumberFormat="1" applyFont="1" applyFill="1" applyBorder="1" applyProtection="1">
      <protection locked="0"/>
    </xf>
    <xf numFmtId="0" fontId="14" fillId="5" borderId="4" xfId="0" applyFont="1" applyFill="1" applyBorder="1" applyProtection="1">
      <protection locked="0"/>
    </xf>
    <xf numFmtId="168" fontId="61" fillId="5" borderId="4" xfId="1" applyNumberFormat="1" applyFont="1" applyFill="1" applyBorder="1" applyProtection="1">
      <protection locked="0"/>
    </xf>
    <xf numFmtId="9" fontId="14" fillId="6" borderId="4" xfId="1" applyFont="1" applyFill="1" applyBorder="1" applyProtection="1">
      <protection locked="0"/>
    </xf>
    <xf numFmtId="9" fontId="17" fillId="5" borderId="4" xfId="4" applyNumberFormat="1" applyFont="1" applyFill="1" applyBorder="1" applyProtection="1">
      <protection locked="0"/>
    </xf>
    <xf numFmtId="9" fontId="17" fillId="5" borderId="20" xfId="1" applyFont="1" applyFill="1" applyBorder="1" applyProtection="1">
      <protection locked="0"/>
    </xf>
    <xf numFmtId="0" fontId="14" fillId="0" borderId="0" xfId="0" applyFont="1" applyAlignment="1">
      <alignment horizontal="left" vertical="top" wrapText="1"/>
    </xf>
    <xf numFmtId="0" fontId="0" fillId="0" borderId="0" xfId="0"/>
    <xf numFmtId="0" fontId="0" fillId="0" borderId="0" xfId="0" applyAlignment="1">
      <alignment vertical="top" wrapText="1"/>
    </xf>
    <xf numFmtId="0" fontId="4" fillId="0" borderId="0" xfId="5" applyAlignment="1">
      <alignment vertical="top" wrapText="1"/>
    </xf>
    <xf numFmtId="0" fontId="30" fillId="0" borderId="0" xfId="0" applyFont="1" applyAlignment="1">
      <alignment vertical="top" wrapText="1"/>
    </xf>
    <xf numFmtId="0" fontId="14" fillId="0" borderId="0" xfId="0" applyFont="1" applyAlignment="1">
      <alignment vertical="top" wrapText="1"/>
    </xf>
    <xf numFmtId="0" fontId="121" fillId="0" borderId="0" xfId="0" applyFont="1" applyAlignment="1">
      <alignment vertical="top" wrapText="1"/>
    </xf>
    <xf numFmtId="0" fontId="89" fillId="2" borderId="10" xfId="0" applyFont="1" applyFill="1" applyBorder="1" applyAlignment="1">
      <alignment horizontal="center"/>
    </xf>
    <xf numFmtId="0" fontId="0" fillId="2" borderId="0" xfId="0" applyFill="1" applyAlignment="1">
      <alignment vertical="top" wrapText="1"/>
    </xf>
    <xf numFmtId="0" fontId="0" fillId="0" borderId="0" xfId="0" applyAlignment="1">
      <alignment wrapText="1"/>
    </xf>
  </cellXfs>
  <cellStyles count="11">
    <cellStyle name="- Calc date" xfId="9" xr:uid="{00000000-0005-0000-0000-000000000000}"/>
    <cellStyle name="- Calcs general 2" xfId="8" xr:uid="{00000000-0005-0000-0000-000001000000}"/>
    <cellStyle name="- Heading 1 [Bold]" xfId="6" xr:uid="{00000000-0005-0000-0000-000002000000}"/>
    <cellStyle name="Comma" xfId="4" builtinId="3"/>
    <cellStyle name="Currency" xfId="10" builtinId="4"/>
    <cellStyle name="Hyperlink" xfId="5" builtinId="8"/>
    <cellStyle name="Milliers 2" xfId="3" xr:uid="{00000000-0005-0000-0000-000006000000}"/>
    <cellStyle name="Normal" xfId="0" builtinId="0"/>
    <cellStyle name="Normal 12" xfId="2" xr:uid="{00000000-0005-0000-0000-000008000000}"/>
    <cellStyle name="Percent" xfId="1" builtinId="5"/>
    <cellStyle name="Title 1" xfId="7" xr:uid="{00000000-0005-0000-0000-00000A000000}"/>
  </cellStyles>
  <dxfs count="24">
    <dxf>
      <font>
        <color rgb="FF3F601A"/>
      </font>
      <fill>
        <patternFill>
          <bgColor rgb="FFDAEFC3"/>
        </patternFill>
      </fill>
    </dxf>
    <dxf>
      <font>
        <color rgb="FFC00000"/>
      </font>
      <fill>
        <patternFill>
          <bgColor rgb="FFFFCCCC"/>
        </patternFill>
      </fill>
    </dxf>
    <dxf>
      <font>
        <color rgb="FF3F601A"/>
      </font>
      <fill>
        <patternFill>
          <bgColor rgb="FFDAEFC3"/>
        </patternFill>
      </fill>
    </dxf>
    <dxf>
      <font>
        <color rgb="FFC00000"/>
      </font>
      <fill>
        <patternFill>
          <bgColor rgb="FFFFCCCC"/>
        </patternFill>
      </fill>
    </dxf>
    <dxf>
      <font>
        <color rgb="FF3F601A"/>
      </font>
      <fill>
        <patternFill>
          <bgColor rgb="FFDAEFC3"/>
        </patternFill>
      </fill>
    </dxf>
    <dxf>
      <font>
        <color rgb="FFC00000"/>
      </font>
      <fill>
        <patternFill>
          <bgColor rgb="FFFFCCCC"/>
        </patternFill>
      </fill>
    </dxf>
    <dxf>
      <font>
        <color theme="9" tint="-0.24994659260841701"/>
      </font>
    </dxf>
    <dxf>
      <font>
        <color theme="5"/>
      </font>
    </dxf>
    <dxf>
      <font>
        <color rgb="FF00B050"/>
      </font>
    </dxf>
    <dxf>
      <font>
        <color theme="9" tint="-0.24994659260841701"/>
      </font>
    </dxf>
    <dxf>
      <font>
        <color theme="5"/>
      </font>
    </dxf>
    <dxf>
      <font>
        <color rgb="FF00B050"/>
      </font>
    </dxf>
    <dxf>
      <font>
        <color rgb="FF3F601A"/>
      </font>
      <fill>
        <patternFill>
          <bgColor rgb="FFDAEFC3"/>
        </patternFill>
      </fill>
    </dxf>
    <dxf>
      <font>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C00000"/>
      </font>
      <fill>
        <patternFill>
          <bgColor rgb="FFFFCCCC"/>
        </patternFill>
      </fill>
    </dxf>
    <dxf>
      <font>
        <color rgb="FFC00000"/>
      </font>
      <fill>
        <patternFill>
          <bgColor rgb="FFFFD1D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D0A800"/>
      <color rgb="FF171F33"/>
      <color rgb="FFFFFFFF"/>
      <color rgb="FF3F601A"/>
      <color rgb="FFDAEFC3"/>
      <color rgb="FFC7FDCB"/>
      <color rgb="FF000000"/>
      <color rgb="FF85BD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1.8213885929395147E-2"/>
          <c:y val="2.0080314935232289E-2"/>
          <c:w val="0.96647708116708297"/>
          <c:h val="0.78629006765365472"/>
        </c:manualLayout>
      </c:layout>
      <c:lineChart>
        <c:grouping val="stacked"/>
        <c:varyColors val="0"/>
        <c:ser>
          <c:idx val="0"/>
          <c:order val="0"/>
          <c:tx>
            <c:strRef>
              <c:f>'Macro Model (USD)'!$C$33</c:f>
              <c:strCache>
                <c:ptCount val="1"/>
                <c:pt idx="0">
                  <c:v>Total Revenue (cash)</c:v>
                </c:pt>
              </c:strCache>
            </c:strRef>
          </c:tx>
          <c:spPr>
            <a:ln w="22225" cap="rnd" cmpd="sng" algn="ctr">
              <a:solidFill>
                <a:schemeClr val="tx2"/>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(USD)'!$H$33:$Q$33</c:f>
              <c:numCache>
                <c:formatCode>#,##0</c:formatCode>
                <c:ptCount val="10"/>
                <c:pt idx="0">
                  <c:v>2174838.2260751501</c:v>
                </c:pt>
                <c:pt idx="1">
                  <c:v>3091709.3074549544</c:v>
                </c:pt>
                <c:pt idx="2">
                  <c:v>4101076.5384141658</c:v>
                </c:pt>
                <c:pt idx="3">
                  <c:v>5204646.6471985914</c:v>
                </c:pt>
                <c:pt idx="4">
                  <c:v>6585764.2292571636</c:v>
                </c:pt>
                <c:pt idx="5">
                  <c:v>7974028.2080133855</c:v>
                </c:pt>
                <c:pt idx="6">
                  <c:v>8611817.2637339961</c:v>
                </c:pt>
                <c:pt idx="7">
                  <c:v>8792820.7779228669</c:v>
                </c:pt>
                <c:pt idx="8">
                  <c:v>8832988.271826366</c:v>
                </c:pt>
                <c:pt idx="9">
                  <c:v>8846022.1828347538</c:v>
                </c:pt>
              </c:numCache>
            </c:numRef>
          </c:val>
          <c:smooth val="0"/>
          <c:extLst>
            <c:ext xmlns:c16="http://schemas.microsoft.com/office/drawing/2014/chart" uri="{C3380CC4-5D6E-409C-BE32-E72D297353CC}">
              <c16:uniqueId val="{00000000-9DA0-4872-A08C-222BB874E7ED}"/>
            </c:ext>
          </c:extLst>
        </c:ser>
        <c:dLbls>
          <c:showLegendKey val="0"/>
          <c:showVal val="0"/>
          <c:showCatName val="0"/>
          <c:showSerName val="0"/>
          <c:showPercent val="0"/>
          <c:showBubbleSize val="0"/>
        </c:dLbls>
        <c:smooth val="0"/>
        <c:axId val="261349800"/>
        <c:axId val="261351760"/>
      </c:lineChart>
      <c:catAx>
        <c:axId val="261349800"/>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1"/>
        <c:axPos val="l"/>
        <c:numFmt formatCode="#,##0.00" sourceLinked="0"/>
        <c:majorTickMark val="none"/>
        <c:minorTickMark val="none"/>
        <c:tickLblPos val="nextTo"/>
        <c:crossAx val="261349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dispUnitsLbl>
        </c:dispUnits>
      </c:valAx>
      <c:spPr>
        <a:solidFill>
          <a:schemeClr val="bg1"/>
        </a:solid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5.8382687718430373E-2"/>
          <c:y val="4.2693119898294413E-2"/>
          <c:w val="0.94161731228156964"/>
          <c:h val="0.64964114172405729"/>
        </c:manualLayout>
      </c:layout>
      <c:lineChart>
        <c:grouping val="standard"/>
        <c:varyColors val="0"/>
        <c:ser>
          <c:idx val="0"/>
          <c:order val="0"/>
          <c:tx>
            <c:strRef>
              <c:f>'Macro Model (USD)'!$C$213</c:f>
              <c:strCache>
                <c:ptCount val="1"/>
                <c:pt idx="0">
                  <c:v>Opex breakeven </c:v>
                </c:pt>
              </c:strCache>
            </c:strRef>
          </c:tx>
          <c:spPr>
            <a:ln w="22225" cap="rnd" cmpd="sng" algn="ctr">
              <a:solidFill>
                <a:schemeClr val="tx2"/>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(USD)'!$H$213:$Q$213</c:f>
              <c:numCache>
                <c:formatCode>0%</c:formatCode>
                <c:ptCount val="10"/>
                <c:pt idx="0">
                  <c:v>0.46824726524903409</c:v>
                </c:pt>
                <c:pt idx="1">
                  <c:v>0.52548066404958582</c:v>
                </c:pt>
                <c:pt idx="2">
                  <c:v>0.55622998292308845</c:v>
                </c:pt>
                <c:pt idx="3">
                  <c:v>0.60050247004903345</c:v>
                </c:pt>
                <c:pt idx="4">
                  <c:v>0.6179210817702353</c:v>
                </c:pt>
                <c:pt idx="5">
                  <c:v>0.62389848825433813</c:v>
                </c:pt>
                <c:pt idx="6">
                  <c:v>0.62806408365400612</c:v>
                </c:pt>
                <c:pt idx="7">
                  <c:v>0.6289100083333613</c:v>
                </c:pt>
                <c:pt idx="8">
                  <c:v>0.62917740840785019</c:v>
                </c:pt>
                <c:pt idx="9">
                  <c:v>0.62923448319958675</c:v>
                </c:pt>
              </c:numCache>
            </c:numRef>
          </c:val>
          <c:smooth val="0"/>
          <c:extLst>
            <c:ext xmlns:c16="http://schemas.microsoft.com/office/drawing/2014/chart" uri="{C3380CC4-5D6E-409C-BE32-E72D297353CC}">
              <c16:uniqueId val="{00000000-4BDC-489D-A746-644D9579562F}"/>
            </c:ext>
          </c:extLst>
        </c:ser>
        <c:ser>
          <c:idx val="1"/>
          <c:order val="1"/>
          <c:tx>
            <c:strRef>
              <c:f>'Macro Model (USD)'!$C$214</c:f>
              <c:strCache>
                <c:ptCount val="1"/>
                <c:pt idx="0">
                  <c:v>Cash breakeven (opex + debt service)</c:v>
                </c:pt>
              </c:strCache>
            </c:strRef>
          </c:tx>
          <c:spPr>
            <a:ln w="22225" cap="rnd" cmpd="sng" algn="ctr">
              <a:solidFill>
                <a:schemeClr val="accent6"/>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6">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(USD)'!$H$214:$Q$214</c:f>
              <c:numCache>
                <c:formatCode>0%</c:formatCode>
                <c:ptCount val="10"/>
                <c:pt idx="0">
                  <c:v>0.36177086666691005</c:v>
                </c:pt>
                <c:pt idx="1">
                  <c:v>0.30367993242449359</c:v>
                </c:pt>
                <c:pt idx="2">
                  <c:v>0.20436394579946832</c:v>
                </c:pt>
                <c:pt idx="3">
                  <c:v>0.4232349312552442</c:v>
                </c:pt>
                <c:pt idx="4">
                  <c:v>0.42338642915392299</c:v>
                </c:pt>
                <c:pt idx="5">
                  <c:v>0.41982386898514906</c:v>
                </c:pt>
                <c:pt idx="6">
                  <c:v>0.40523765013304047</c:v>
                </c:pt>
                <c:pt idx="7">
                  <c:v>0.44708863879843119</c:v>
                </c:pt>
                <c:pt idx="8">
                  <c:v>0.42069501697063483</c:v>
                </c:pt>
                <c:pt idx="9">
                  <c:v>0.41478357028377305</c:v>
                </c:pt>
              </c:numCache>
            </c:numRef>
          </c:val>
          <c:smooth val="0"/>
          <c:extLst>
            <c:ext xmlns:c16="http://schemas.microsoft.com/office/drawing/2014/chart" uri="{C3380CC4-5D6E-409C-BE32-E72D297353CC}">
              <c16:uniqueId val="{00000000-7539-4547-A829-5EA401A70B24}"/>
            </c:ext>
          </c:extLst>
        </c:ser>
        <c:ser>
          <c:idx val="2"/>
          <c:order val="2"/>
          <c:tx>
            <c:strRef>
              <c:f>'Macro Model (USD)'!$C$215</c:f>
              <c:strCache>
                <c:ptCount val="1"/>
                <c:pt idx="0">
                  <c:v>Cash breakeven (all costs)</c:v>
                </c:pt>
              </c:strCache>
            </c:strRef>
          </c:tx>
          <c:spPr>
            <a:ln w="22225" cap="rnd" cmpd="sng" algn="ctr">
              <a:solidFill>
                <a:schemeClr val="accent6">
                  <a:shade val="65000"/>
                </a:schemeClr>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6">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(USD)'!$H$215:$Q$215</c:f>
              <c:numCache>
                <c:formatCode>0%</c:formatCode>
                <c:ptCount val="10"/>
                <c:pt idx="0">
                  <c:v>-7.8309557378398745E-2</c:v>
                </c:pt>
                <c:pt idx="1">
                  <c:v>-0.14667825107275367</c:v>
                </c:pt>
                <c:pt idx="2">
                  <c:v>-0.24100301855720413</c:v>
                </c:pt>
                <c:pt idx="3">
                  <c:v>-4.7662810217918829E-2</c:v>
                </c:pt>
                <c:pt idx="4">
                  <c:v>-5.4695671834830185E-2</c:v>
                </c:pt>
                <c:pt idx="5">
                  <c:v>-6.2547350945474742E-2</c:v>
                </c:pt>
                <c:pt idx="6">
                  <c:v>-7.9033217963573002E-2</c:v>
                </c:pt>
                <c:pt idx="7">
                  <c:v>-3.6212472261913986E-2</c:v>
                </c:pt>
                <c:pt idx="8">
                  <c:v>-6.2673546186256077E-2</c:v>
                </c:pt>
                <c:pt idx="9">
                  <c:v>-6.7061578043062453E-2</c:v>
                </c:pt>
              </c:numCache>
            </c:numRef>
          </c:val>
          <c:smooth val="0"/>
          <c:extLst>
            <c:ext xmlns:c16="http://schemas.microsoft.com/office/drawing/2014/chart" uri="{C3380CC4-5D6E-409C-BE32-E72D297353CC}">
              <c16:uniqueId val="{00000001-7539-4547-A829-5EA401A70B24}"/>
            </c:ext>
          </c:extLst>
        </c:ser>
        <c:dLbls>
          <c:showLegendKey val="0"/>
          <c:showVal val="0"/>
          <c:showCatName val="0"/>
          <c:showSerName val="0"/>
          <c:showPercent val="0"/>
          <c:showBubbleSize val="0"/>
        </c:dLbls>
        <c:smooth val="0"/>
        <c:axId val="263205576"/>
        <c:axId val="263204400"/>
      </c:lineChart>
      <c:catAx>
        <c:axId val="263205576"/>
        <c:scaling>
          <c:orientation val="minMax"/>
        </c:scaling>
        <c:delete val="0"/>
        <c:axPos val="b"/>
        <c:numFmt formatCode="0"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3204400"/>
        <c:crosses val="autoZero"/>
        <c:auto val="1"/>
        <c:lblAlgn val="ctr"/>
        <c:lblOffset val="100"/>
        <c:noMultiLvlLbl val="0"/>
      </c:catAx>
      <c:valAx>
        <c:axId val="26320440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spc="20" baseline="0">
                <a:noFill/>
                <a:latin typeface="+mn-lt"/>
                <a:ea typeface="+mn-ea"/>
                <a:cs typeface="+mn-cs"/>
              </a:defRPr>
            </a:pPr>
            <a:endParaRPr lang="en-US"/>
          </a:p>
        </c:txPr>
        <c:crossAx val="263205576"/>
        <c:crosses val="autoZero"/>
        <c:crossBetween val="between"/>
      </c:valAx>
      <c:spPr>
        <a:solidFill>
          <a:schemeClr val="bg1"/>
        </a:solidFill>
        <a:ln>
          <a:noFill/>
        </a:ln>
        <a:effectLst/>
      </c:spPr>
    </c:plotArea>
    <c:legend>
      <c:legendPos val="b"/>
      <c:layout>
        <c:manualLayout>
          <c:xMode val="edge"/>
          <c:yMode val="edge"/>
          <c:x val="0"/>
          <c:y val="0.79381026162906188"/>
          <c:w val="1"/>
          <c:h val="0.190664967498831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2.734550129614462E-2"/>
          <c:y val="2.1440689578770138E-2"/>
          <c:w val="0.94946177354951888"/>
          <c:h val="0.78524038596963441"/>
        </c:manualLayout>
      </c:layout>
      <c:barChart>
        <c:barDir val="col"/>
        <c:grouping val="clustered"/>
        <c:varyColors val="0"/>
        <c:ser>
          <c:idx val="0"/>
          <c:order val="0"/>
          <c:tx>
            <c:strRef>
              <c:f>'Macro Model (USD)'!$C$206</c:f>
              <c:strCache>
                <c:ptCount val="1"/>
                <c:pt idx="0">
                  <c:v>Units sold</c:v>
                </c:pt>
              </c:strCache>
            </c:strRef>
          </c:tx>
          <c:spPr>
            <a:solidFill>
              <a:schemeClr val="accent6">
                <a:tint val="77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(USD)'!$H$206:$Q$206</c:f>
              <c:numCache>
                <c:formatCode>_(* #,##0_);_(* \(#,##0\);_(* "-"??_);_(@_)</c:formatCode>
                <c:ptCount val="10"/>
                <c:pt idx="0">
                  <c:v>6527.0415113824702</c:v>
                </c:pt>
                <c:pt idx="1">
                  <c:v>8255.5530664508296</c:v>
                </c:pt>
                <c:pt idx="2">
                  <c:v>10655.577440893583</c:v>
                </c:pt>
                <c:pt idx="3">
                  <c:v>13523.843581929719</c:v>
                </c:pt>
                <c:pt idx="4">
                  <c:v>17164.997024448832</c:v>
                </c:pt>
                <c:pt idx="5">
                  <c:v>19234.736652106323</c:v>
                </c:pt>
                <c:pt idx="6">
                  <c:v>19488.285149429357</c:v>
                </c:pt>
                <c:pt idx="7">
                  <c:v>19624.508497303366</c:v>
                </c:pt>
                <c:pt idx="8">
                  <c:v>19644.690428367074</c:v>
                </c:pt>
                <c:pt idx="9">
                  <c:v>19655.122837461662</c:v>
                </c:pt>
              </c:numCache>
            </c:numRef>
          </c:val>
          <c:extLst>
            <c:ext xmlns:c16="http://schemas.microsoft.com/office/drawing/2014/chart" uri="{C3380CC4-5D6E-409C-BE32-E72D297353CC}">
              <c16:uniqueId val="{00000000-3C2D-4CB6-8433-4042FBC82BDD}"/>
            </c:ext>
          </c:extLst>
        </c:ser>
        <c:dLbls>
          <c:dLblPos val="outEnd"/>
          <c:showLegendKey val="0"/>
          <c:showVal val="1"/>
          <c:showCatName val="0"/>
          <c:showSerName val="0"/>
          <c:showPercent val="0"/>
          <c:showBubbleSize val="0"/>
        </c:dLbls>
        <c:gapWidth val="97"/>
        <c:axId val="263204792"/>
        <c:axId val="263202048"/>
      </c:barChart>
      <c:lineChart>
        <c:grouping val="standard"/>
        <c:varyColors val="0"/>
        <c:ser>
          <c:idx val="1"/>
          <c:order val="1"/>
          <c:tx>
            <c:strRef>
              <c:f>'Macro Model (USD)'!$C$207</c:f>
              <c:strCache>
                <c:ptCount val="1"/>
                <c:pt idx="0">
                  <c:v>Total units sold</c:v>
                </c:pt>
              </c:strCache>
            </c:strRef>
          </c:tx>
          <c:spPr>
            <a:ln w="28575" cap="rnd">
              <a:solidFill>
                <a:schemeClr val="accent6">
                  <a:shade val="76000"/>
                </a:schemeClr>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(USD)'!$H$207:$Q$207</c:f>
              <c:numCache>
                <c:formatCode>_(* #,##0_);_(* \(#,##0\);_(* "-"??_);_(@_)</c:formatCode>
                <c:ptCount val="10"/>
                <c:pt idx="0">
                  <c:v>15527.041511382471</c:v>
                </c:pt>
                <c:pt idx="1">
                  <c:v>23782.594577833301</c:v>
                </c:pt>
                <c:pt idx="2">
                  <c:v>34438.17201872688</c:v>
                </c:pt>
                <c:pt idx="3">
                  <c:v>47962.015600656596</c:v>
                </c:pt>
                <c:pt idx="4">
                  <c:v>65127.012625105432</c:v>
                </c:pt>
                <c:pt idx="5">
                  <c:v>84361.74927721174</c:v>
                </c:pt>
                <c:pt idx="6">
                  <c:v>103850.0344266411</c:v>
                </c:pt>
                <c:pt idx="7">
                  <c:v>123474.54292394448</c:v>
                </c:pt>
                <c:pt idx="8">
                  <c:v>143119.23335231157</c:v>
                </c:pt>
                <c:pt idx="9">
                  <c:v>162774.35618977324</c:v>
                </c:pt>
              </c:numCache>
            </c:numRef>
          </c:val>
          <c:smooth val="0"/>
          <c:extLst>
            <c:ext xmlns:c16="http://schemas.microsoft.com/office/drawing/2014/chart" uri="{C3380CC4-5D6E-409C-BE32-E72D297353CC}">
              <c16:uniqueId val="{00000003-07F1-4961-8B77-249CC1BE28C3}"/>
            </c:ext>
          </c:extLst>
        </c:ser>
        <c:dLbls>
          <c:showLegendKey val="0"/>
          <c:showVal val="0"/>
          <c:showCatName val="0"/>
          <c:showSerName val="0"/>
          <c:showPercent val="0"/>
          <c:showBubbleSize val="0"/>
        </c:dLbls>
        <c:marker val="1"/>
        <c:smooth val="0"/>
        <c:axId val="263204792"/>
        <c:axId val="263202048"/>
      </c:lineChart>
      <c:catAx>
        <c:axId val="2632047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202048"/>
        <c:crosses val="autoZero"/>
        <c:auto val="1"/>
        <c:lblAlgn val="ctr"/>
        <c:lblOffset val="100"/>
        <c:noMultiLvlLbl val="0"/>
      </c:catAx>
      <c:valAx>
        <c:axId val="263202048"/>
        <c:scaling>
          <c:orientation val="minMax"/>
        </c:scaling>
        <c:delete val="1"/>
        <c:axPos val="l"/>
        <c:numFmt formatCode="#,##0" sourceLinked="0"/>
        <c:majorTickMark val="none"/>
        <c:minorTickMark val="none"/>
        <c:tickLblPos val="nextTo"/>
        <c:crossAx val="26320479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9760104376717882"/>
          <c:y val="0.88198756218441232"/>
          <c:w val="0.70812528515157247"/>
          <c:h val="7.544583096784203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1.8213885929395147E-2"/>
          <c:y val="2.0080314935232289E-2"/>
          <c:w val="0.96357222814120969"/>
          <c:h val="0.7901433050309824"/>
        </c:manualLayout>
      </c:layout>
      <c:lineChart>
        <c:grouping val="standard"/>
        <c:varyColors val="0"/>
        <c:ser>
          <c:idx val="0"/>
          <c:order val="0"/>
          <c:tx>
            <c:strRef>
              <c:f>'Macro Model (USD)'!$C$101</c:f>
              <c:strCache>
                <c:ptCount val="1"/>
                <c:pt idx="0">
                  <c:v>EBITDA (cash)</c:v>
                </c:pt>
              </c:strCache>
            </c:strRef>
          </c:tx>
          <c:spPr>
            <a:ln w="22225" cap="rnd" cmpd="sng" algn="ctr">
              <a:solidFill>
                <a:schemeClr val="tx2"/>
              </a:solidFill>
              <a:round/>
            </a:ln>
            <a:effectLst/>
          </c:spPr>
          <c:marker>
            <c:symbol val="none"/>
          </c:marker>
          <c:dLbls>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(USD)'!$H$101:$Q$101</c:f>
              <c:numCache>
                <c:formatCode>_(* #,##0_);_(* \(#,##0\);_(* "-"??_);_(@_)</c:formatCode>
                <c:ptCount val="10"/>
                <c:pt idx="0">
                  <c:v>372907.13496235857</c:v>
                </c:pt>
                <c:pt idx="1">
                  <c:v>351075.19453804893</c:v>
                </c:pt>
                <c:pt idx="2">
                  <c:v>255557.87995454267</c:v>
                </c:pt>
                <c:pt idx="3">
                  <c:v>587597.86227911245</c:v>
                </c:pt>
                <c:pt idx="4">
                  <c:v>872966.56832595542</c:v>
                </c:pt>
                <c:pt idx="5">
                  <c:v>1111090.8329367551</c:v>
                </c:pt>
                <c:pt idx="6">
                  <c:v>1282225.5724243573</c:v>
                </c:pt>
                <c:pt idx="7">
                  <c:v>1336121.0275258126</c:v>
                </c:pt>
                <c:pt idx="8">
                  <c:v>1347961.6669592564</c:v>
                </c:pt>
                <c:pt idx="9">
                  <c:v>1352173.7743704102</c:v>
                </c:pt>
              </c:numCache>
            </c:numRef>
          </c:val>
          <c:smooth val="0"/>
          <c:extLst>
            <c:ext xmlns:c16="http://schemas.microsoft.com/office/drawing/2014/chart" uri="{C3380CC4-5D6E-409C-BE32-E72D297353CC}">
              <c16:uniqueId val="{00000000-9DA0-4872-A08C-222BB874E7ED}"/>
            </c:ext>
          </c:extLst>
        </c:ser>
        <c:ser>
          <c:idx val="1"/>
          <c:order val="1"/>
          <c:tx>
            <c:strRef>
              <c:f>'Macro Model (USD)'!$C$115</c:f>
              <c:strCache>
                <c:ptCount val="1"/>
                <c:pt idx="0">
                  <c:v>Net income (cash)</c:v>
                </c:pt>
              </c:strCache>
            </c:strRef>
          </c:tx>
          <c:spPr>
            <a:ln w="22225" cap="rnd" cmpd="sng" algn="ctr">
              <a:solidFill>
                <a:schemeClr val="accent6">
                  <a:tint val="77000"/>
                </a:schemeClr>
              </a:solidFill>
              <a:round/>
            </a:ln>
            <a:effectLst/>
          </c:spPr>
          <c:marker>
            <c:symbol val="none"/>
          </c:marker>
          <c:dLbls>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171F33"/>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(USD)'!$H$115:$Q$115</c:f>
              <c:numCache>
                <c:formatCode>_(* #,##0_);_(* \(#,##0\);_(* "-"??_);_(@_)</c:formatCode>
                <c:ptCount val="10"/>
                <c:pt idx="0">
                  <c:v>38282.993847706617</c:v>
                </c:pt>
                <c:pt idx="1">
                  <c:v>95043.268812221504</c:v>
                </c:pt>
                <c:pt idx="2">
                  <c:v>-134064.48451252052</c:v>
                </c:pt>
                <c:pt idx="3">
                  <c:v>158028.53279958156</c:v>
                </c:pt>
                <c:pt idx="4">
                  <c:v>263335.26725703932</c:v>
                </c:pt>
                <c:pt idx="5">
                  <c:v>383372.58637138852</c:v>
                </c:pt>
                <c:pt idx="6">
                  <c:v>481529.93000524829</c:v>
                </c:pt>
                <c:pt idx="7">
                  <c:v>507843.94632237387</c:v>
                </c:pt>
                <c:pt idx="8">
                  <c:v>508407.81234062288</c:v>
                </c:pt>
                <c:pt idx="9">
                  <c:v>488715.91752538452</c:v>
                </c:pt>
              </c:numCache>
            </c:numRef>
          </c:val>
          <c:smooth val="0"/>
          <c:extLst>
            <c:ext xmlns:c16="http://schemas.microsoft.com/office/drawing/2014/chart" uri="{C3380CC4-5D6E-409C-BE32-E72D297353CC}">
              <c16:uniqueId val="{00000000-3C07-41DA-80FF-218B42C511FF}"/>
            </c:ext>
          </c:extLst>
        </c:ser>
        <c:dLbls>
          <c:showLegendKey val="0"/>
          <c:showVal val="0"/>
          <c:showCatName val="0"/>
          <c:showSerName val="0"/>
          <c:showPercent val="0"/>
          <c:showBubbleSize val="0"/>
        </c:dLbls>
        <c:smooth val="0"/>
        <c:axId val="261349800"/>
        <c:axId val="261351760"/>
      </c:lineChart>
      <c:catAx>
        <c:axId val="261349800"/>
        <c:scaling>
          <c:orientation val="minMax"/>
        </c:scaling>
        <c:delete val="0"/>
        <c:axPos val="b"/>
        <c:numFmt formatCode="0"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1"/>
        <c:axPos val="l"/>
        <c:numFmt formatCode="#,##0.00" sourceLinked="0"/>
        <c:majorTickMark val="none"/>
        <c:minorTickMark val="none"/>
        <c:tickLblPos val="nextTo"/>
        <c:crossAx val="261349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dispUnitsLbl>
        </c:dispUnits>
      </c:valAx>
      <c:spPr>
        <a:solidFill>
          <a:schemeClr val="bg1"/>
        </a:solidFill>
        <a:ln>
          <a:noFill/>
        </a:ln>
        <a:effectLst/>
      </c:spPr>
    </c:plotArea>
    <c:legend>
      <c:legendPos val="b"/>
      <c:layout>
        <c:manualLayout>
          <c:xMode val="edge"/>
          <c:yMode val="edge"/>
          <c:x val="0.16981923096412502"/>
          <c:y val="0.91103868560007428"/>
          <c:w val="0.66450676883079463"/>
          <c:h val="7.537289676076935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3633885014475E-2"/>
          <c:y val="3.777337251581412E-2"/>
          <c:w val="0.93115798361901547"/>
          <c:h val="0.8342951185940275"/>
        </c:manualLayout>
      </c:layout>
      <c:lineChart>
        <c:grouping val="standard"/>
        <c:varyColors val="0"/>
        <c:ser>
          <c:idx val="0"/>
          <c:order val="0"/>
          <c:tx>
            <c:strRef>
              <c:f>'Macro Model (USD)'!$C$147</c:f>
              <c:strCache>
                <c:ptCount val="1"/>
                <c:pt idx="0">
                  <c:v>Net cumulative cash position</c:v>
                </c:pt>
              </c:strCache>
            </c:strRef>
          </c:tx>
          <c:spPr>
            <a:ln w="22225" cap="rnd" cmpd="sng" algn="ctr">
              <a:solidFill>
                <a:schemeClr val="accent1"/>
              </a:solidFill>
              <a:round/>
            </a:ln>
            <a:effectLst/>
          </c:spPr>
          <c:marker>
            <c:symbol val="none"/>
          </c:marker>
          <c:dLbls>
            <c:numFmt formatCode="#,##0.00_ ;\(#,##0.00\);\-\ "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171F33"/>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(USD)'!$H$147:$Q$147</c:f>
              <c:numCache>
                <c:formatCode>_(* #,##0_);_(* \(#,##0\);_(* "-"??_);_(@_)</c:formatCode>
                <c:ptCount val="10"/>
                <c:pt idx="0">
                  <c:v>-478117.42502022407</c:v>
                </c:pt>
                <c:pt idx="1">
                  <c:v>-862137.68463488657</c:v>
                </c:pt>
                <c:pt idx="2">
                  <c:v>-1529670.7475768737</c:v>
                </c:pt>
                <c:pt idx="3">
                  <c:v>-2034268.1971879555</c:v>
                </c:pt>
                <c:pt idx="4">
                  <c:v>-2559553.0270516756</c:v>
                </c:pt>
                <c:pt idx="5">
                  <c:v>-2645180.6155362977</c:v>
                </c:pt>
                <c:pt idx="6">
                  <c:v>-2424451.2752995826</c:v>
                </c:pt>
                <c:pt idx="7">
                  <c:v>-2125868.3215190652</c:v>
                </c:pt>
                <c:pt idx="8">
                  <c:v>-1810387.2394778263</c:v>
                </c:pt>
                <c:pt idx="9">
                  <c:v>-1507887.78213247</c:v>
                </c:pt>
              </c:numCache>
            </c:numRef>
          </c:val>
          <c:smooth val="0"/>
          <c:extLst>
            <c:ext xmlns:c16="http://schemas.microsoft.com/office/drawing/2014/chart" uri="{C3380CC4-5D6E-409C-BE32-E72D297353CC}">
              <c16:uniqueId val="{00000000-8166-455C-B6D4-4743B37BCDD0}"/>
            </c:ext>
          </c:extLst>
        </c:ser>
        <c:dLbls>
          <c:showLegendKey val="0"/>
          <c:showVal val="0"/>
          <c:showCatName val="0"/>
          <c:showSerName val="0"/>
          <c:showPercent val="0"/>
          <c:showBubbleSize val="0"/>
        </c:dLbls>
        <c:smooth val="0"/>
        <c:axId val="193082304"/>
        <c:axId val="193082864"/>
      </c:lineChart>
      <c:catAx>
        <c:axId val="193082304"/>
        <c:scaling>
          <c:orientation val="minMax"/>
        </c:scaling>
        <c:delete val="0"/>
        <c:axPos val="t"/>
        <c:numFmt formatCode="0" sourceLinked="1"/>
        <c:majorTickMark val="none"/>
        <c:minorTickMark val="none"/>
        <c:tickLblPos val="high"/>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3082864"/>
        <c:crosses val="autoZero"/>
        <c:auto val="1"/>
        <c:lblAlgn val="ctr"/>
        <c:lblOffset val="100"/>
        <c:tickLblSkip val="1"/>
        <c:noMultiLvlLbl val="0"/>
      </c:catAx>
      <c:valAx>
        <c:axId val="193082864"/>
        <c:scaling>
          <c:orientation val="maxMin"/>
        </c:scaling>
        <c:delete val="1"/>
        <c:axPos val="l"/>
        <c:numFmt formatCode="_(* #,##0_);_(* \(#,##0\);_(* &quot;-&quot;??_);_(@_)" sourceLinked="1"/>
        <c:majorTickMark val="none"/>
        <c:minorTickMark val="none"/>
        <c:tickLblPos val="nextTo"/>
        <c:crossAx val="193082304"/>
        <c:crosses val="autoZero"/>
        <c:crossBetween val="between"/>
        <c:dispUnits>
          <c:builtInUnit val="millions"/>
        </c:dispUnits>
      </c:valAx>
      <c:spPr>
        <a:solidFill>
          <a:schemeClr val="bg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3.9266983444479438E-2"/>
          <c:y val="3.2961105559273757E-2"/>
          <c:w val="0.87650262664511369"/>
          <c:h val="0.69874576873517136"/>
        </c:manualLayout>
      </c:layout>
      <c:barChart>
        <c:barDir val="col"/>
        <c:grouping val="clustered"/>
        <c:varyColors val="0"/>
        <c:ser>
          <c:idx val="0"/>
          <c:order val="0"/>
          <c:tx>
            <c:strRef>
              <c:f>'Macro Model (USD)'!$C$190</c:f>
              <c:strCache>
                <c:ptCount val="1"/>
                <c:pt idx="0">
                  <c:v>Debt</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no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D0A8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(USD)'!$H$190:$Q$190</c:f>
              <c:numCache>
                <c:formatCode>_(* #,##0_);_(* \(#,##0\);_(* "-"??_);_(@_)</c:formatCode>
                <c:ptCount val="10"/>
                <c:pt idx="0">
                  <c:v>1050000</c:v>
                </c:pt>
                <c:pt idx="1">
                  <c:v>550000.00000000012</c:v>
                </c:pt>
                <c:pt idx="2">
                  <c:v>2272222.2222222211</c:v>
                </c:pt>
                <c:pt idx="3">
                  <c:v>1716666.6666666656</c:v>
                </c:pt>
                <c:pt idx="4">
                  <c:v>2227777.7777777761</c:v>
                </c:pt>
                <c:pt idx="5">
                  <c:v>2294444.4444444426</c:v>
                </c:pt>
                <c:pt idx="6">
                  <c:v>2138888.8888888871</c:v>
                </c:pt>
                <c:pt idx="7">
                  <c:v>2316666.6666666656</c:v>
                </c:pt>
                <c:pt idx="8">
                  <c:v>2272222.2222222225</c:v>
                </c:pt>
                <c:pt idx="9">
                  <c:v>2538888.8888888904</c:v>
                </c:pt>
              </c:numCache>
            </c:numRef>
          </c:val>
          <c:extLst>
            <c:ext xmlns:c16="http://schemas.microsoft.com/office/drawing/2014/chart" uri="{C3380CC4-5D6E-409C-BE32-E72D297353CC}">
              <c16:uniqueId val="{00000000-9DA0-4872-A08C-222BB874E7ED}"/>
            </c:ext>
          </c:extLst>
        </c:ser>
        <c:ser>
          <c:idx val="1"/>
          <c:order val="1"/>
          <c:tx>
            <c:strRef>
              <c:f>'Macro Model (USD)'!$C$219</c:f>
              <c:strCache>
                <c:ptCount val="1"/>
                <c:pt idx="0">
                  <c:v>Face value of receivables</c:v>
                </c:pt>
              </c:strCache>
            </c:strRef>
          </c:tx>
          <c:spPr>
            <a:solidFill>
              <a:schemeClr val="bg2">
                <a:lumMod val="60000"/>
                <a:lumOff val="40000"/>
              </a:schemeClr>
            </a:solidFill>
            <a:ln w="9525" cap="flat" cmpd="sng" algn="ctr">
              <a:solidFill>
                <a:schemeClr val="bg2">
                  <a:lumMod val="60000"/>
                  <a:lumOff val="4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(USD)'!$H$219:$Q$219</c:f>
              <c:numCache>
                <c:formatCode>_(* #,##0_);_(* \(#,##0\);_(* "-"??_);_(@_)</c:formatCode>
                <c:ptCount val="10"/>
                <c:pt idx="0">
                  <c:v>1216898.0334703813</c:v>
                </c:pt>
                <c:pt idx="1">
                  <c:v>2317127.7235064106</c:v>
                </c:pt>
                <c:pt idx="2">
                  <c:v>3630651.6285373964</c:v>
                </c:pt>
                <c:pt idx="3">
                  <c:v>5408105.7158026733</c:v>
                </c:pt>
                <c:pt idx="4">
                  <c:v>7681838.0264810342</c:v>
                </c:pt>
                <c:pt idx="5">
                  <c:v>9572815.8717983831</c:v>
                </c:pt>
                <c:pt idx="6">
                  <c:v>10870859.331813177</c:v>
                </c:pt>
                <c:pt idx="7">
                  <c:v>12029004.66431186</c:v>
                </c:pt>
                <c:pt idx="8">
                  <c:v>13151911.169428546</c:v>
                </c:pt>
                <c:pt idx="9">
                  <c:v>14264643.276764041</c:v>
                </c:pt>
              </c:numCache>
            </c:numRef>
          </c:val>
          <c:extLst>
            <c:ext xmlns:c16="http://schemas.microsoft.com/office/drawing/2014/chart" uri="{C3380CC4-5D6E-409C-BE32-E72D297353CC}">
              <c16:uniqueId val="{00000000-E844-47D5-A577-ADD9CF184867}"/>
            </c:ext>
          </c:extLst>
        </c:ser>
        <c:dLbls>
          <c:showLegendKey val="0"/>
          <c:showVal val="0"/>
          <c:showCatName val="0"/>
          <c:showSerName val="0"/>
          <c:showPercent val="0"/>
          <c:showBubbleSize val="0"/>
        </c:dLbls>
        <c:gapWidth val="70"/>
        <c:axId val="261349800"/>
        <c:axId val="261351760"/>
      </c:barChart>
      <c:lineChart>
        <c:grouping val="standard"/>
        <c:varyColors val="0"/>
        <c:ser>
          <c:idx val="2"/>
          <c:order val="2"/>
          <c:tx>
            <c:strRef>
              <c:f>'Macro Model (USD)'!$C$229</c:f>
              <c:strCache>
                <c:ptCount val="1"/>
                <c:pt idx="0">
                  <c:v>Receivables coverage ratio</c:v>
                </c:pt>
              </c:strCache>
            </c:strRef>
          </c:tx>
          <c:spPr>
            <a:ln w="22225" cap="rnd" cmpd="sng" algn="ctr">
              <a:solidFill>
                <a:schemeClr val="accent1"/>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'Macro Model (USD)'!$H$229:$Q$229</c:f>
              <c:numCache>
                <c:formatCode>_(* #,##0.0_);_(* \(#,##0.0\);_(* "-"??_);_(@_)</c:formatCode>
                <c:ptCount val="10"/>
                <c:pt idx="0">
                  <c:v>4.4579946688379399</c:v>
                </c:pt>
                <c:pt idx="1">
                  <c:v>3.7158168304991417</c:v>
                </c:pt>
                <c:pt idx="2">
                  <c:v>6.1864131687452479</c:v>
                </c:pt>
                <c:pt idx="3">
                  <c:v>6.47807191286216</c:v>
                </c:pt>
                <c:pt idx="4">
                  <c:v>6.2662976204110477</c:v>
                </c:pt>
                <c:pt idx="5">
                  <c:v>5.9175782303160931</c:v>
                </c:pt>
                <c:pt idx="6">
                  <c:v>8.0548717980325559</c:v>
                </c:pt>
                <c:pt idx="7">
                  <c:v>6.6618947592206696</c:v>
                </c:pt>
                <c:pt idx="8">
                  <c:v>6.6480150950668753</c:v>
                </c:pt>
                <c:pt idx="9">
                  <c:v>6.1591657108539914</c:v>
                </c:pt>
              </c:numCache>
            </c:numRef>
          </c:val>
          <c:smooth val="0"/>
          <c:extLst>
            <c:ext xmlns:c16="http://schemas.microsoft.com/office/drawing/2014/chart" uri="{C3380CC4-5D6E-409C-BE32-E72D297353CC}">
              <c16:uniqueId val="{00000003-E844-47D5-A577-ADD9CF184867}"/>
            </c:ext>
          </c:extLst>
        </c:ser>
        <c:dLbls>
          <c:showLegendKey val="0"/>
          <c:showVal val="0"/>
          <c:showCatName val="0"/>
          <c:showSerName val="0"/>
          <c:showPercent val="0"/>
          <c:showBubbleSize val="0"/>
        </c:dLbls>
        <c:marker val="1"/>
        <c:smooth val="0"/>
        <c:axId val="1868698511"/>
        <c:axId val="1878956863"/>
      </c:lineChart>
      <c:catAx>
        <c:axId val="261349800"/>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spc="20" baseline="0">
                <a:noFill/>
                <a:latin typeface="+mn-lt"/>
                <a:ea typeface="+mn-ea"/>
                <a:cs typeface="+mn-cs"/>
              </a:defRPr>
            </a:pPr>
            <a:endParaRPr lang="en-US"/>
          </a:p>
        </c:txPr>
        <c:crossAx val="261349800"/>
        <c:crosses val="autoZero"/>
        <c:crossBetween val="between"/>
        <c:dispUnits>
          <c:builtInUnit val="millions"/>
        </c:dispUnits>
      </c:valAx>
      <c:valAx>
        <c:axId val="1878956863"/>
        <c:scaling>
          <c:orientation val="minMax"/>
        </c:scaling>
        <c:delete val="0"/>
        <c:axPos val="r"/>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spc="20" baseline="0">
                <a:noFill/>
                <a:latin typeface="+mn-lt"/>
                <a:ea typeface="+mn-ea"/>
                <a:cs typeface="+mn-cs"/>
              </a:defRPr>
            </a:pPr>
            <a:endParaRPr lang="en-US"/>
          </a:p>
        </c:txPr>
        <c:crossAx val="1868698511"/>
        <c:crosses val="max"/>
        <c:crossBetween val="between"/>
      </c:valAx>
      <c:catAx>
        <c:axId val="1868698511"/>
        <c:scaling>
          <c:orientation val="minMax"/>
        </c:scaling>
        <c:delete val="1"/>
        <c:axPos val="b"/>
        <c:numFmt formatCode="0" sourceLinked="1"/>
        <c:majorTickMark val="out"/>
        <c:minorTickMark val="none"/>
        <c:tickLblPos val="nextTo"/>
        <c:crossAx val="1878956863"/>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5552</xdr:colOff>
      <xdr:row>0</xdr:row>
      <xdr:rowOff>125412</xdr:rowOff>
    </xdr:from>
    <xdr:to>
      <xdr:col>2</xdr:col>
      <xdr:colOff>1993102</xdr:colOff>
      <xdr:row>3</xdr:row>
      <xdr:rowOff>53976</xdr:rowOff>
    </xdr:to>
    <xdr:sp macro="" textlink="">
      <xdr:nvSpPr>
        <xdr:cNvPr id="2" name="Rectangle 1">
          <a:extLst>
            <a:ext uri="{FF2B5EF4-FFF2-40B4-BE49-F238E27FC236}">
              <a16:creationId xmlns:a16="http://schemas.microsoft.com/office/drawing/2014/main" id="{91AE7AC7-4FF4-40AA-9BCB-E3AAC1E1D343}"/>
            </a:ext>
          </a:extLst>
        </xdr:cNvPr>
        <xdr:cNvSpPr/>
      </xdr:nvSpPr>
      <xdr:spPr>
        <a:xfrm>
          <a:off x="422271" y="125412"/>
          <a:ext cx="3916362" cy="58340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H" sz="1800">
              <a:solidFill>
                <a:schemeClr val="tx1"/>
              </a:solidFill>
            </a:rPr>
            <a:t>[company</a:t>
          </a:r>
          <a:r>
            <a:rPr lang="en-CH" sz="1800" baseline="0">
              <a:solidFill>
                <a:schemeClr val="tx1"/>
              </a:solidFill>
            </a:rPr>
            <a:t> logo]</a:t>
          </a:r>
          <a:endParaRPr lang="en-CH" sz="1800">
            <a:solidFill>
              <a:schemeClr val="tx1"/>
            </a:solidFill>
          </a:endParaRPr>
        </a:p>
      </xdr:txBody>
    </xdr:sp>
    <xdr:clientData/>
  </xdr:twoCellAnchor>
  <xdr:twoCellAnchor>
    <xdr:from>
      <xdr:col>2</xdr:col>
      <xdr:colOff>3284867</xdr:colOff>
      <xdr:row>53</xdr:row>
      <xdr:rowOff>19685</xdr:rowOff>
    </xdr:from>
    <xdr:to>
      <xdr:col>2</xdr:col>
      <xdr:colOff>4467872</xdr:colOff>
      <xdr:row>54</xdr:row>
      <xdr:rowOff>22505</xdr:rowOff>
    </xdr:to>
    <xdr:sp macro="" textlink="">
      <xdr:nvSpPr>
        <xdr:cNvPr id="4" name="Rectangle 3">
          <a:extLst>
            <a:ext uri="{FF2B5EF4-FFF2-40B4-BE49-F238E27FC236}">
              <a16:creationId xmlns:a16="http://schemas.microsoft.com/office/drawing/2014/main" id="{55B93D4F-4BF7-BE5F-487A-3FA54E7EA12F}"/>
            </a:ext>
          </a:extLst>
        </xdr:cNvPr>
        <xdr:cNvSpPr/>
      </xdr:nvSpPr>
      <xdr:spPr>
        <a:xfrm>
          <a:off x="6082496" y="6899456"/>
          <a:ext cx="1183005" cy="166106"/>
        </a:xfrm>
        <a:prstGeom prst="rect">
          <a:avLst/>
        </a:prstGeom>
        <a:solidFill>
          <a:schemeClr val="accent4">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GB" sz="1050"/>
            <a:t>Model</a:t>
          </a:r>
          <a:r>
            <a:rPr lang="en-GB" sz="1050" baseline="0"/>
            <a:t> assumptions</a:t>
          </a:r>
          <a:endParaRPr lang="en-GB" sz="1050"/>
        </a:p>
      </xdr:txBody>
    </xdr:sp>
    <xdr:clientData/>
  </xdr:twoCellAnchor>
  <xdr:twoCellAnchor>
    <xdr:from>
      <xdr:col>2</xdr:col>
      <xdr:colOff>4534264</xdr:colOff>
      <xdr:row>53</xdr:row>
      <xdr:rowOff>21590</xdr:rowOff>
    </xdr:from>
    <xdr:to>
      <xdr:col>2</xdr:col>
      <xdr:colOff>6369414</xdr:colOff>
      <xdr:row>54</xdr:row>
      <xdr:rowOff>22225</xdr:rowOff>
    </xdr:to>
    <xdr:sp macro="" textlink="">
      <xdr:nvSpPr>
        <xdr:cNvPr id="5" name="Rectangle 4">
          <a:extLst>
            <a:ext uri="{FF2B5EF4-FFF2-40B4-BE49-F238E27FC236}">
              <a16:creationId xmlns:a16="http://schemas.microsoft.com/office/drawing/2014/main" id="{C798AC86-E9F7-450F-8DC1-982DB6571CB7}"/>
            </a:ext>
          </a:extLst>
        </xdr:cNvPr>
        <xdr:cNvSpPr/>
      </xdr:nvSpPr>
      <xdr:spPr>
        <a:xfrm>
          <a:off x="7331893" y="6901361"/>
          <a:ext cx="1835150" cy="163921"/>
        </a:xfrm>
        <a:prstGeom prst="rect">
          <a:avLst/>
        </a:prstGeom>
        <a:solidFill>
          <a:schemeClr val="accent4">
            <a:lumMod val="50000"/>
            <a:lumOff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GB" sz="1050"/>
            <a:t>Model</a:t>
          </a:r>
          <a:r>
            <a:rPr lang="en-GB" sz="1050" baseline="0"/>
            <a:t> assumptions - scenarios</a:t>
          </a:r>
          <a:endParaRPr lang="en-GB" sz="1050"/>
        </a:p>
      </xdr:txBody>
    </xdr:sp>
    <xdr:clientData/>
  </xdr:twoCellAnchor>
  <xdr:twoCellAnchor>
    <xdr:from>
      <xdr:col>2</xdr:col>
      <xdr:colOff>410021</xdr:colOff>
      <xdr:row>53</xdr:row>
      <xdr:rowOff>23495</xdr:rowOff>
    </xdr:from>
    <xdr:to>
      <xdr:col>2</xdr:col>
      <xdr:colOff>1579056</xdr:colOff>
      <xdr:row>54</xdr:row>
      <xdr:rowOff>1459</xdr:rowOff>
    </xdr:to>
    <xdr:sp macro="" textlink="">
      <xdr:nvSpPr>
        <xdr:cNvPr id="6" name="Rectangle 5">
          <a:extLst>
            <a:ext uri="{FF2B5EF4-FFF2-40B4-BE49-F238E27FC236}">
              <a16:creationId xmlns:a16="http://schemas.microsoft.com/office/drawing/2014/main" id="{2F54DAEC-415F-43EA-B5D3-E121D5ADCAE0}"/>
            </a:ext>
          </a:extLst>
        </xdr:cNvPr>
        <xdr:cNvSpPr/>
      </xdr:nvSpPr>
      <xdr:spPr>
        <a:xfrm>
          <a:off x="3207650" y="6903266"/>
          <a:ext cx="1169035" cy="141250"/>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GB" sz="1050">
              <a:solidFill>
                <a:schemeClr val="tx2"/>
              </a:solidFill>
            </a:rPr>
            <a:t>xy</a:t>
          </a:r>
        </a:p>
      </xdr:txBody>
    </xdr:sp>
    <xdr:clientData/>
  </xdr:twoCellAnchor>
  <xdr:twoCellAnchor>
    <xdr:from>
      <xdr:col>2</xdr:col>
      <xdr:colOff>1469389</xdr:colOff>
      <xdr:row>62</xdr:row>
      <xdr:rowOff>30480</xdr:rowOff>
    </xdr:from>
    <xdr:to>
      <xdr:col>2</xdr:col>
      <xdr:colOff>2881009</xdr:colOff>
      <xdr:row>63</xdr:row>
      <xdr:rowOff>15060</xdr:rowOff>
    </xdr:to>
    <xdr:sp macro="" textlink="">
      <xdr:nvSpPr>
        <xdr:cNvPr id="7" name="Rectangle 6">
          <a:extLst>
            <a:ext uri="{FF2B5EF4-FFF2-40B4-BE49-F238E27FC236}">
              <a16:creationId xmlns:a16="http://schemas.microsoft.com/office/drawing/2014/main" id="{6B449D9F-AFAA-4297-ABE3-50E3DDB21799}"/>
            </a:ext>
          </a:extLst>
        </xdr:cNvPr>
        <xdr:cNvSpPr/>
      </xdr:nvSpPr>
      <xdr:spPr>
        <a:xfrm>
          <a:off x="4269739" y="8783955"/>
          <a:ext cx="1411620" cy="156030"/>
        </a:xfrm>
        <a:prstGeom prst="rect">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GB" sz="1050">
              <a:solidFill>
                <a:sysClr val="windowText" lastClr="000000"/>
              </a:solidFill>
            </a:rPr>
            <a:t>Detailed model (LCY)</a:t>
          </a:r>
        </a:p>
      </xdr:txBody>
    </xdr:sp>
    <xdr:clientData/>
  </xdr:twoCellAnchor>
  <xdr:twoCellAnchor>
    <xdr:from>
      <xdr:col>2</xdr:col>
      <xdr:colOff>8254</xdr:colOff>
      <xdr:row>62</xdr:row>
      <xdr:rowOff>31750</xdr:rowOff>
    </xdr:from>
    <xdr:to>
      <xdr:col>2</xdr:col>
      <xdr:colOff>1409714</xdr:colOff>
      <xdr:row>63</xdr:row>
      <xdr:rowOff>10795</xdr:rowOff>
    </xdr:to>
    <xdr:sp macro="" textlink="">
      <xdr:nvSpPr>
        <xdr:cNvPr id="8" name="Rectangle 7">
          <a:extLst>
            <a:ext uri="{FF2B5EF4-FFF2-40B4-BE49-F238E27FC236}">
              <a16:creationId xmlns:a16="http://schemas.microsoft.com/office/drawing/2014/main" id="{23A1AE5C-3581-40BA-9E8E-1FCACC9F16D8}"/>
            </a:ext>
          </a:extLst>
        </xdr:cNvPr>
        <xdr:cNvSpPr/>
      </xdr:nvSpPr>
      <xdr:spPr>
        <a:xfrm>
          <a:off x="2808604" y="8785225"/>
          <a:ext cx="1401460" cy="150495"/>
        </a:xfrm>
        <a:prstGeom prst="rect">
          <a:avLst/>
        </a:prstGeom>
        <a:solidFill>
          <a:schemeClr val="accent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ctr"/>
          <a:r>
            <a:rPr lang="en-GB" sz="1050">
              <a:solidFill>
                <a:sysClr val="windowText" lastClr="000000"/>
              </a:solidFill>
            </a:rPr>
            <a:t>Cost of capital</a:t>
          </a:r>
        </a:p>
      </xdr:txBody>
    </xdr:sp>
    <xdr:clientData/>
  </xdr:twoCellAnchor>
  <xdr:twoCellAnchor>
    <xdr:from>
      <xdr:col>2</xdr:col>
      <xdr:colOff>6690632</xdr:colOff>
      <xdr:row>52</xdr:row>
      <xdr:rowOff>138974</xdr:rowOff>
    </xdr:from>
    <xdr:to>
      <xdr:col>2</xdr:col>
      <xdr:colOff>9355727</xdr:colOff>
      <xdr:row>55</xdr:row>
      <xdr:rowOff>98334</xdr:rowOff>
    </xdr:to>
    <xdr:sp macro="" textlink="">
      <xdr:nvSpPr>
        <xdr:cNvPr id="9" name="Speech Bubble: Rectangle 8">
          <a:extLst>
            <a:ext uri="{FF2B5EF4-FFF2-40B4-BE49-F238E27FC236}">
              <a16:creationId xmlns:a16="http://schemas.microsoft.com/office/drawing/2014/main" id="{08FF9D03-2902-41B9-8106-F323A6F12415}"/>
            </a:ext>
          </a:extLst>
        </xdr:cNvPr>
        <xdr:cNvSpPr/>
      </xdr:nvSpPr>
      <xdr:spPr>
        <a:xfrm>
          <a:off x="9488261" y="6855460"/>
          <a:ext cx="2665095" cy="449217"/>
        </a:xfrm>
        <a:prstGeom prst="wedgeRectCallout">
          <a:avLst>
            <a:gd name="adj1" fmla="val -105981"/>
            <a:gd name="adj2" fmla="val 46359"/>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chemeClr val="lt1"/>
              </a:solidFill>
              <a:effectLst/>
              <a:latin typeface="+mn-lt"/>
              <a:ea typeface="+mn-ea"/>
              <a:cs typeface="+mn-cs"/>
            </a:rPr>
            <a:t>Additional guidance is provided in</a:t>
          </a:r>
          <a:r>
            <a:rPr lang="fr-FR" sz="1100" baseline="0">
              <a:solidFill>
                <a:schemeClr val="lt1"/>
              </a:solidFill>
              <a:effectLst/>
              <a:latin typeface="+mn-lt"/>
              <a:ea typeface="+mn-ea"/>
              <a:cs typeface="+mn-cs"/>
            </a:rPr>
            <a:t> the form of callouts in each sheet requiring inputs</a:t>
          </a:r>
          <a:endParaRPr lang="en-ZA">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552449</xdr:colOff>
      <xdr:row>7</xdr:row>
      <xdr:rowOff>141875</xdr:rowOff>
    </xdr:from>
    <xdr:to>
      <xdr:col>18</xdr:col>
      <xdr:colOff>60116</xdr:colOff>
      <xdr:row>21</xdr:row>
      <xdr:rowOff>86665</xdr:rowOff>
    </xdr:to>
    <xdr:graphicFrame macro="">
      <xdr:nvGraphicFramePr>
        <xdr:cNvPr id="5" name="Chart 4">
          <a:extLst>
            <a:ext uri="{FF2B5EF4-FFF2-40B4-BE49-F238E27FC236}">
              <a16:creationId xmlns:a16="http://schemas.microsoft.com/office/drawing/2014/main" id="{7A47D775-41E1-4476-80BC-521D9F89DE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17780</xdr:colOff>
      <xdr:row>29</xdr:row>
      <xdr:rowOff>130628</xdr:rowOff>
    </xdr:from>
    <xdr:to>
      <xdr:col>26</xdr:col>
      <xdr:colOff>554566</xdr:colOff>
      <xdr:row>46</xdr:row>
      <xdr:rowOff>142819</xdr:rowOff>
    </xdr:to>
    <xdr:graphicFrame macro="">
      <xdr:nvGraphicFramePr>
        <xdr:cNvPr id="18" name="Chart 17">
          <a:extLst>
            <a:ext uri="{FF2B5EF4-FFF2-40B4-BE49-F238E27FC236}">
              <a16:creationId xmlns:a16="http://schemas.microsoft.com/office/drawing/2014/main" id="{97D9084C-00DD-4D72-9E32-51486383B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28211</xdr:colOff>
      <xdr:row>7</xdr:row>
      <xdr:rowOff>142510</xdr:rowOff>
    </xdr:from>
    <xdr:to>
      <xdr:col>8</xdr:col>
      <xdr:colOff>654844</xdr:colOff>
      <xdr:row>21</xdr:row>
      <xdr:rowOff>78442</xdr:rowOff>
    </xdr:to>
    <xdr:graphicFrame macro="">
      <xdr:nvGraphicFramePr>
        <xdr:cNvPr id="7" name="Chart 6">
          <a:extLst>
            <a:ext uri="{FF2B5EF4-FFF2-40B4-BE49-F238E27FC236}">
              <a16:creationId xmlns:a16="http://schemas.microsoft.com/office/drawing/2014/main" id="{B0CC6F79-5883-4FB7-9259-495949B0BB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130969</xdr:colOff>
      <xdr:row>31</xdr:row>
      <xdr:rowOff>51594</xdr:rowOff>
    </xdr:from>
    <xdr:to>
      <xdr:col>7</xdr:col>
      <xdr:colOff>250032</xdr:colOff>
      <xdr:row>35</xdr:row>
      <xdr:rowOff>91282</xdr:rowOff>
    </xdr:to>
    <xdr:sp macro="" textlink="">
      <xdr:nvSpPr>
        <xdr:cNvPr id="3" name="Rectangle: Rounded Corners 2">
          <a:extLst>
            <a:ext uri="{FF2B5EF4-FFF2-40B4-BE49-F238E27FC236}">
              <a16:creationId xmlns:a16="http://schemas.microsoft.com/office/drawing/2014/main" id="{4DD8E567-E44E-4F36-B2D0-97E117612A04}"/>
            </a:ext>
          </a:extLst>
        </xdr:cNvPr>
        <xdr:cNvSpPr/>
      </xdr:nvSpPr>
      <xdr:spPr>
        <a:xfrm>
          <a:off x="1789907" y="6266657"/>
          <a:ext cx="2659063"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Cumulative cash need to finance growth</a:t>
          </a:r>
        </a:p>
      </xdr:txBody>
    </xdr:sp>
    <xdr:clientData/>
  </xdr:twoCellAnchor>
  <xdr:twoCellAnchor>
    <xdr:from>
      <xdr:col>20</xdr:col>
      <xdr:colOff>47307</xdr:colOff>
      <xdr:row>7</xdr:row>
      <xdr:rowOff>141240</xdr:rowOff>
    </xdr:from>
    <xdr:to>
      <xdr:col>26</xdr:col>
      <xdr:colOff>582087</xdr:colOff>
      <xdr:row>21</xdr:row>
      <xdr:rowOff>83490</xdr:rowOff>
    </xdr:to>
    <xdr:graphicFrame macro="">
      <xdr:nvGraphicFramePr>
        <xdr:cNvPr id="23" name="Chart 22">
          <a:extLst>
            <a:ext uri="{FF2B5EF4-FFF2-40B4-BE49-F238E27FC236}">
              <a16:creationId xmlns:a16="http://schemas.microsoft.com/office/drawing/2014/main" id="{55CFB69C-C19A-4F0F-8F74-0E2E8C5701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56799</xdr:colOff>
      <xdr:row>29</xdr:row>
      <xdr:rowOff>167976</xdr:rowOff>
    </xdr:from>
    <xdr:to>
      <xdr:col>9</xdr:col>
      <xdr:colOff>49509</xdr:colOff>
      <xdr:row>47</xdr:row>
      <xdr:rowOff>1369</xdr:rowOff>
    </xdr:to>
    <xdr:graphicFrame macro="">
      <xdr:nvGraphicFramePr>
        <xdr:cNvPr id="24" name="Chart 23">
          <a:extLst>
            <a:ext uri="{FF2B5EF4-FFF2-40B4-BE49-F238E27FC236}">
              <a16:creationId xmlns:a16="http://schemas.microsoft.com/office/drawing/2014/main" id="{D3F201F0-7DC2-4FB3-832C-F493E008A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548049</xdr:colOff>
      <xdr:row>29</xdr:row>
      <xdr:rowOff>135251</xdr:rowOff>
    </xdr:from>
    <xdr:to>
      <xdr:col>18</xdr:col>
      <xdr:colOff>139955</xdr:colOff>
      <xdr:row>46</xdr:row>
      <xdr:rowOff>141727</xdr:rowOff>
    </xdr:to>
    <xdr:graphicFrame macro="">
      <xdr:nvGraphicFramePr>
        <xdr:cNvPr id="25" name="Chart 24">
          <a:extLst>
            <a:ext uri="{FF2B5EF4-FFF2-40B4-BE49-F238E27FC236}">
              <a16:creationId xmlns:a16="http://schemas.microsoft.com/office/drawing/2014/main" id="{D6AA2954-549B-4D9B-BEA4-A67A755E13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987454</xdr:colOff>
      <xdr:row>119</xdr:row>
      <xdr:rowOff>139700</xdr:rowOff>
    </xdr:from>
    <xdr:to>
      <xdr:col>3</xdr:col>
      <xdr:colOff>2716241</xdr:colOff>
      <xdr:row>123</xdr:row>
      <xdr:rowOff>83344</xdr:rowOff>
    </xdr:to>
    <xdr:sp macro="" textlink="">
      <xdr:nvSpPr>
        <xdr:cNvPr id="5" name="Speech Bubble: Rectangle 4">
          <a:extLst>
            <a:ext uri="{FF2B5EF4-FFF2-40B4-BE49-F238E27FC236}">
              <a16:creationId xmlns:a16="http://schemas.microsoft.com/office/drawing/2014/main" id="{E6B6A396-07F8-4955-8CF9-C12B8FFEDDBD}"/>
            </a:ext>
          </a:extLst>
        </xdr:cNvPr>
        <xdr:cNvSpPr/>
      </xdr:nvSpPr>
      <xdr:spPr>
        <a:xfrm>
          <a:off x="7250142" y="20582731"/>
          <a:ext cx="1728787" cy="658019"/>
        </a:xfrm>
        <a:prstGeom prst="wedgeRectCallout">
          <a:avLst>
            <a:gd name="adj1" fmla="val -55080"/>
            <a:gd name="adj2" fmla="val 91346"/>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H" sz="1100"/>
        </a:p>
      </xdr:txBody>
    </xdr:sp>
    <xdr:clientData/>
  </xdr:twoCellAnchor>
  <xdr:twoCellAnchor>
    <xdr:from>
      <xdr:col>16</xdr:col>
      <xdr:colOff>329747</xdr:colOff>
      <xdr:row>72</xdr:row>
      <xdr:rowOff>59531</xdr:rowOff>
    </xdr:from>
    <xdr:to>
      <xdr:col>18</xdr:col>
      <xdr:colOff>569007</xdr:colOff>
      <xdr:row>76</xdr:row>
      <xdr:rowOff>83344</xdr:rowOff>
    </xdr:to>
    <xdr:sp macro="" textlink="">
      <xdr:nvSpPr>
        <xdr:cNvPr id="4" name="Speech Bubble: Rectangle 3">
          <a:extLst>
            <a:ext uri="{FF2B5EF4-FFF2-40B4-BE49-F238E27FC236}">
              <a16:creationId xmlns:a16="http://schemas.microsoft.com/office/drawing/2014/main" id="{E6D64CE5-BD29-4120-9ADB-5085104F09AD}"/>
            </a:ext>
          </a:extLst>
        </xdr:cNvPr>
        <xdr:cNvSpPr/>
      </xdr:nvSpPr>
      <xdr:spPr>
        <a:xfrm>
          <a:off x="24060604" y="13013531"/>
          <a:ext cx="1736046" cy="731384"/>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16</xdr:col>
      <xdr:colOff>350611</xdr:colOff>
      <xdr:row>78</xdr:row>
      <xdr:rowOff>8050</xdr:rowOff>
    </xdr:from>
    <xdr:to>
      <xdr:col>18</xdr:col>
      <xdr:colOff>593046</xdr:colOff>
      <xdr:row>81</xdr:row>
      <xdr:rowOff>125411</xdr:rowOff>
    </xdr:to>
    <xdr:sp macro="" textlink="">
      <xdr:nvSpPr>
        <xdr:cNvPr id="7" name="Speech Bubble: Rectangle 6">
          <a:extLst>
            <a:ext uri="{FF2B5EF4-FFF2-40B4-BE49-F238E27FC236}">
              <a16:creationId xmlns:a16="http://schemas.microsoft.com/office/drawing/2014/main" id="{378DF308-530F-4AA7-A94C-F7F933172C7E}"/>
            </a:ext>
          </a:extLst>
        </xdr:cNvPr>
        <xdr:cNvSpPr/>
      </xdr:nvSpPr>
      <xdr:spPr>
        <a:xfrm>
          <a:off x="24081468" y="14023407"/>
          <a:ext cx="1739221" cy="648040"/>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7</xdr:col>
      <xdr:colOff>598488</xdr:colOff>
      <xdr:row>81</xdr:row>
      <xdr:rowOff>84927</xdr:rowOff>
    </xdr:from>
    <xdr:to>
      <xdr:col>9</xdr:col>
      <xdr:colOff>619125</xdr:colOff>
      <xdr:row>85</xdr:row>
      <xdr:rowOff>0</xdr:rowOff>
    </xdr:to>
    <xdr:sp macro="" textlink="">
      <xdr:nvSpPr>
        <xdr:cNvPr id="8" name="Speech Bubble: Rectangle 7">
          <a:extLst>
            <a:ext uri="{FF2B5EF4-FFF2-40B4-BE49-F238E27FC236}">
              <a16:creationId xmlns:a16="http://schemas.microsoft.com/office/drawing/2014/main" id="{AE42037F-8879-474D-BD98-0C6D2C431A40}"/>
            </a:ext>
          </a:extLst>
        </xdr:cNvPr>
        <xdr:cNvSpPr/>
      </xdr:nvSpPr>
      <xdr:spPr>
        <a:xfrm>
          <a:off x="16171863" y="15146333"/>
          <a:ext cx="1770856" cy="62944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16</xdr:col>
      <xdr:colOff>309788</xdr:colOff>
      <xdr:row>95</xdr:row>
      <xdr:rowOff>0</xdr:rowOff>
    </xdr:from>
    <xdr:to>
      <xdr:col>18</xdr:col>
      <xdr:colOff>272824</xdr:colOff>
      <xdr:row>100</xdr:row>
      <xdr:rowOff>19044</xdr:rowOff>
    </xdr:to>
    <xdr:sp macro="" textlink="">
      <xdr:nvSpPr>
        <xdr:cNvPr id="9" name="Speech Bubble: Rectangle 8">
          <a:extLst>
            <a:ext uri="{FF2B5EF4-FFF2-40B4-BE49-F238E27FC236}">
              <a16:creationId xmlns:a16="http://schemas.microsoft.com/office/drawing/2014/main" id="{5F9DBC10-996D-4E6C-A6F6-AD393C5D5D4C}"/>
            </a:ext>
          </a:extLst>
        </xdr:cNvPr>
        <xdr:cNvSpPr/>
      </xdr:nvSpPr>
      <xdr:spPr>
        <a:xfrm>
          <a:off x="23237824" y="16342179"/>
          <a:ext cx="1459821" cy="90350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11</xdr:col>
      <xdr:colOff>440218</xdr:colOff>
      <xdr:row>23</xdr:row>
      <xdr:rowOff>36968</xdr:rowOff>
    </xdr:from>
    <xdr:to>
      <xdr:col>16</xdr:col>
      <xdr:colOff>38100</xdr:colOff>
      <xdr:row>28</xdr:row>
      <xdr:rowOff>133350</xdr:rowOff>
    </xdr:to>
    <xdr:sp macro="" textlink="">
      <xdr:nvSpPr>
        <xdr:cNvPr id="10" name="Speech Bubble: Rectangle 9">
          <a:extLst>
            <a:ext uri="{FF2B5EF4-FFF2-40B4-BE49-F238E27FC236}">
              <a16:creationId xmlns:a16="http://schemas.microsoft.com/office/drawing/2014/main" id="{145CE5C5-76DA-44CE-B39D-CD7C6988BA66}"/>
            </a:ext>
          </a:extLst>
        </xdr:cNvPr>
        <xdr:cNvSpPr/>
      </xdr:nvSpPr>
      <xdr:spPr>
        <a:xfrm>
          <a:off x="19356868" y="4104143"/>
          <a:ext cx="3598382" cy="1001257"/>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a:t>
          </a:r>
          <a:r>
            <a:rPr lang="en-GB" sz="1100" baseline="0"/>
            <a:t> model does not allow to include more than 5 products; if you need to include more than 5 products, please calculate weighted averages across certain products of the same category. If you have fewer than 5 products, leave cells that are not relevant blank.</a:t>
          </a:r>
          <a:endParaRPr lang="en-CH" sz="1100"/>
        </a:p>
      </xdr:txBody>
    </xdr:sp>
    <xdr:clientData/>
  </xdr:twoCellAnchor>
  <xdr:twoCellAnchor>
    <xdr:from>
      <xdr:col>11</xdr:col>
      <xdr:colOff>444662</xdr:colOff>
      <xdr:row>29</xdr:row>
      <xdr:rowOff>89693</xdr:rowOff>
    </xdr:from>
    <xdr:to>
      <xdr:col>15</xdr:col>
      <xdr:colOff>327659</xdr:colOff>
      <xdr:row>34</xdr:row>
      <xdr:rowOff>9525</xdr:rowOff>
    </xdr:to>
    <xdr:sp macro="" textlink="">
      <xdr:nvSpPr>
        <xdr:cNvPr id="11" name="Speech Bubble: Rectangle 10">
          <a:extLst>
            <a:ext uri="{FF2B5EF4-FFF2-40B4-BE49-F238E27FC236}">
              <a16:creationId xmlns:a16="http://schemas.microsoft.com/office/drawing/2014/main" id="{BBABB952-DED2-4D9D-BF36-30CC387062E1}"/>
            </a:ext>
          </a:extLst>
        </xdr:cNvPr>
        <xdr:cNvSpPr/>
      </xdr:nvSpPr>
      <xdr:spPr>
        <a:xfrm>
          <a:off x="19361312" y="5242718"/>
          <a:ext cx="3083397" cy="824707"/>
        </a:xfrm>
        <a:prstGeom prst="wedgeRectCallout">
          <a:avLst>
            <a:gd name="adj1" fmla="val -60586"/>
            <a:gd name="adj2" fmla="val -28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b="1"/>
            <a:t>If a product is sold cash</a:t>
          </a:r>
          <a:r>
            <a:rPr lang="fr-FR" sz="1100" b="1"/>
            <a:t> </a:t>
          </a:r>
          <a:r>
            <a:rPr lang="fr-FR" sz="1100"/>
            <a:t>rather than credit</a:t>
          </a:r>
          <a:r>
            <a:rPr lang="en-CH" sz="1100"/>
            <a:t>, indicate "0" for active</a:t>
          </a:r>
          <a:r>
            <a:rPr lang="en-CH" sz="1100" baseline="0"/>
            <a:t> installation</a:t>
          </a:r>
          <a:r>
            <a:rPr lang="en-GB" sz="1100" baseline="0"/>
            <a:t>s</a:t>
          </a:r>
          <a:r>
            <a:rPr lang="en-CH" sz="1100" baseline="0"/>
            <a:t> </a:t>
          </a:r>
          <a:r>
            <a:rPr lang="en-GB" sz="1100" baseline="0"/>
            <a:t>in last period</a:t>
          </a:r>
          <a:r>
            <a:rPr lang="en-CH" sz="1100" baseline="0"/>
            <a:t>, </a:t>
          </a:r>
          <a:r>
            <a:rPr lang="en-CH" sz="1100"/>
            <a:t>"1"</a:t>
          </a:r>
          <a:r>
            <a:rPr lang="en-CH" sz="1100" baseline="0"/>
            <a:t> for </a:t>
          </a:r>
          <a:r>
            <a:rPr lang="en-GB" sz="1100" baseline="0"/>
            <a:t>term of contractual payment period,</a:t>
          </a:r>
          <a:r>
            <a:rPr lang="en-CH" sz="1100" baseline="0"/>
            <a:t> and "0" for contractual monthly payment</a:t>
          </a:r>
          <a:endParaRPr lang="en-CH" sz="1100"/>
        </a:p>
      </xdr:txBody>
    </xdr:sp>
    <xdr:clientData/>
  </xdr:twoCellAnchor>
  <xdr:twoCellAnchor>
    <xdr:from>
      <xdr:col>4</xdr:col>
      <xdr:colOff>487367</xdr:colOff>
      <xdr:row>17</xdr:row>
      <xdr:rowOff>38101</xdr:rowOff>
    </xdr:from>
    <xdr:to>
      <xdr:col>10</xdr:col>
      <xdr:colOff>753268</xdr:colOff>
      <xdr:row>21</xdr:row>
      <xdr:rowOff>154781</xdr:rowOff>
    </xdr:to>
    <xdr:sp macro="" textlink="">
      <xdr:nvSpPr>
        <xdr:cNvPr id="14" name="Speech Bubble: Rectangle 13">
          <a:extLst>
            <a:ext uri="{FF2B5EF4-FFF2-40B4-BE49-F238E27FC236}">
              <a16:creationId xmlns:a16="http://schemas.microsoft.com/office/drawing/2014/main" id="{46EFD865-537F-41AE-90FF-958A8539F874}"/>
            </a:ext>
          </a:extLst>
        </xdr:cNvPr>
        <xdr:cNvSpPr/>
      </xdr:nvSpPr>
      <xdr:spPr>
        <a:xfrm>
          <a:off x="10202867" y="2955132"/>
          <a:ext cx="8683620" cy="831055"/>
        </a:xfrm>
        <a:prstGeom prst="wedgeRectCallout">
          <a:avLst>
            <a:gd name="adj1" fmla="val -53793"/>
            <a:gd name="adj2" fmla="val 113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This gives</a:t>
          </a:r>
          <a:r>
            <a:rPr lang="en-CH" sz="1100" baseline="0">
              <a:solidFill>
                <a:schemeClr val="lt1"/>
              </a:solidFill>
              <a:effectLst/>
              <a:latin typeface="+mn-lt"/>
              <a:ea typeface="+mn-ea"/>
              <a:cs typeface="+mn-cs"/>
            </a:rPr>
            <a:t> an indication of how the currency will evolve, e.g. if interest rate on LCY is higher th</a:t>
          </a:r>
          <a:r>
            <a:rPr lang="en-US" sz="1100" baseline="0">
              <a:solidFill>
                <a:schemeClr val="lt1"/>
              </a:solidFill>
              <a:effectLst/>
              <a:latin typeface="+mn-lt"/>
              <a:ea typeface="+mn-ea"/>
              <a:cs typeface="+mn-cs"/>
            </a:rPr>
            <a:t>a</a:t>
          </a:r>
          <a:r>
            <a:rPr lang="en-CH" sz="1100" baseline="0">
              <a:solidFill>
                <a:schemeClr val="lt1"/>
              </a:solidFill>
              <a:effectLst/>
              <a:latin typeface="+mn-lt"/>
              <a:ea typeface="+mn-ea"/>
              <a:cs typeface="+mn-cs"/>
            </a:rPr>
            <a:t>n on USD, a depreciation of the local currency is expected; if you don't expect any currency depreciation, please indicate </a:t>
          </a:r>
          <a:r>
            <a:rPr lang="en-US" sz="1100" baseline="0">
              <a:solidFill>
                <a:schemeClr val="lt1"/>
              </a:solidFill>
              <a:effectLst/>
              <a:latin typeface="+mn-lt"/>
              <a:ea typeface="+mn-ea"/>
              <a:cs typeface="+mn-cs"/>
            </a:rPr>
            <a:t>"</a:t>
          </a:r>
          <a:r>
            <a:rPr lang="en-CH" sz="1100" baseline="0">
              <a:solidFill>
                <a:schemeClr val="lt1"/>
              </a:solidFill>
              <a:effectLst/>
              <a:latin typeface="+mn-lt"/>
              <a:ea typeface="+mn-ea"/>
              <a:cs typeface="+mn-cs"/>
            </a:rPr>
            <a:t>0</a:t>
          </a:r>
          <a:r>
            <a:rPr lang="en-US" sz="1100" baseline="0">
              <a:solidFill>
                <a:schemeClr val="lt1"/>
              </a:solidFill>
              <a:effectLst/>
              <a:latin typeface="+mn-lt"/>
              <a:ea typeface="+mn-ea"/>
              <a:cs typeface="+mn-cs"/>
            </a:rPr>
            <a:t>"</a:t>
          </a:r>
          <a:r>
            <a:rPr lang="en-CH" sz="1100" baseline="0">
              <a:solidFill>
                <a:schemeClr val="lt1"/>
              </a:solidFill>
              <a:effectLst/>
              <a:latin typeface="+mn-lt"/>
              <a:ea typeface="+mn-ea"/>
              <a:cs typeface="+mn-cs"/>
            </a:rPr>
            <a:t>;  the predicted evolution of the currency - given the inputs here - can be seen on the "flags" tab in line </a:t>
          </a:r>
          <a:r>
            <a:rPr lang="en-GB" sz="1100" baseline="0">
              <a:solidFill>
                <a:schemeClr val="lt1"/>
              </a:solidFill>
              <a:effectLst/>
              <a:latin typeface="+mn-lt"/>
              <a:ea typeface="+mn-ea"/>
              <a:cs typeface="+mn-cs"/>
            </a:rPr>
            <a:t>29</a:t>
          </a:r>
          <a:r>
            <a:rPr lang="en-CH" sz="1100" baseline="0">
              <a:solidFill>
                <a:schemeClr val="lt1"/>
              </a:solidFill>
              <a:effectLst/>
              <a:latin typeface="+mn-lt"/>
              <a:ea typeface="+mn-ea"/>
              <a:cs typeface="+mn-cs"/>
            </a:rPr>
            <a:t>-3</a:t>
          </a:r>
          <a:r>
            <a:rPr lang="en-GB" sz="1100" baseline="0">
              <a:solidFill>
                <a:schemeClr val="lt1"/>
              </a:solidFill>
              <a:effectLst/>
              <a:latin typeface="+mn-lt"/>
              <a:ea typeface="+mn-ea"/>
              <a:cs typeface="+mn-cs"/>
            </a:rPr>
            <a:t>1</a:t>
          </a:r>
          <a:r>
            <a:rPr lang="en-CH" sz="1100" baseline="0">
              <a:solidFill>
                <a:schemeClr val="lt1"/>
              </a:solidFill>
              <a:effectLst/>
              <a:latin typeface="+mn-lt"/>
              <a:ea typeface="+mn-ea"/>
              <a:cs typeface="+mn-cs"/>
            </a:rPr>
            <a:t>; the resulting factor ("currency effect") will impact the cash outflows in hard currency (hard currency debt and COGS)</a:t>
          </a:r>
          <a:endParaRPr lang="en-ZA">
            <a:effectLst/>
          </a:endParaRPr>
        </a:p>
      </xdr:txBody>
    </xdr:sp>
    <xdr:clientData/>
  </xdr:twoCellAnchor>
  <xdr:twoCellAnchor>
    <xdr:from>
      <xdr:col>3</xdr:col>
      <xdr:colOff>1381124</xdr:colOff>
      <xdr:row>129</xdr:row>
      <xdr:rowOff>86517</xdr:rowOff>
    </xdr:from>
    <xdr:to>
      <xdr:col>4</xdr:col>
      <xdr:colOff>2085177</xdr:colOff>
      <xdr:row>133</xdr:row>
      <xdr:rowOff>139700</xdr:rowOff>
    </xdr:to>
    <xdr:sp macro="" textlink="">
      <xdr:nvSpPr>
        <xdr:cNvPr id="15" name="Speech Bubble: Rectangle 14">
          <a:extLst>
            <a:ext uri="{FF2B5EF4-FFF2-40B4-BE49-F238E27FC236}">
              <a16:creationId xmlns:a16="http://schemas.microsoft.com/office/drawing/2014/main" id="{2F443C09-AF2C-4AC1-A8D8-59E85946B09A}"/>
            </a:ext>
          </a:extLst>
        </xdr:cNvPr>
        <xdr:cNvSpPr/>
      </xdr:nvSpPr>
      <xdr:spPr>
        <a:xfrm>
          <a:off x="7631905" y="23184642"/>
          <a:ext cx="4144960" cy="767558"/>
        </a:xfrm>
        <a:prstGeom prst="wedgeRectCallout">
          <a:avLst>
            <a:gd name="adj1" fmla="val 49227"/>
            <a:gd name="adj2" fmla="val 8577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If debt is raised in LCY,</a:t>
          </a:r>
          <a:r>
            <a:rPr lang="en-CH" sz="1100" baseline="0"/>
            <a:t> please indicate value in line 13</a:t>
          </a:r>
          <a:r>
            <a:rPr lang="en-GB" sz="1100" baseline="0"/>
            <a:t>6</a:t>
          </a:r>
          <a:r>
            <a:rPr lang="en-CH" sz="1100" baseline="0"/>
            <a:t>, and calculate </a:t>
          </a:r>
          <a:r>
            <a:rPr lang="en-GB" sz="1100" baseline="0"/>
            <a:t>USD </a:t>
          </a:r>
          <a:r>
            <a:rPr lang="en-CH" sz="1100" baseline="0"/>
            <a:t>value in line 13</a:t>
          </a:r>
          <a:r>
            <a:rPr lang="en-GB" sz="1100" baseline="0"/>
            <a:t>4</a:t>
          </a:r>
          <a:r>
            <a:rPr lang="en-CH" sz="1100" baseline="0"/>
            <a:t> (=13</a:t>
          </a:r>
          <a:r>
            <a:rPr lang="en-GB" sz="1100" baseline="0"/>
            <a:t>6</a:t>
          </a:r>
          <a:r>
            <a:rPr lang="en-CH" sz="1100" baseline="0"/>
            <a:t>/13</a:t>
          </a:r>
          <a:r>
            <a:rPr lang="en-GB" sz="1100" baseline="0"/>
            <a:t>5</a:t>
          </a:r>
          <a:r>
            <a:rPr lang="en-CH" sz="1100" baseline="0"/>
            <a:t>); if debt is raised prior to model start, x-rate needs to be input manually</a:t>
          </a:r>
          <a:endParaRPr lang="en-CH" sz="1100"/>
        </a:p>
      </xdr:txBody>
    </xdr:sp>
    <xdr:clientData/>
  </xdr:twoCellAnchor>
  <xdr:twoCellAnchor>
    <xdr:from>
      <xdr:col>6</xdr:col>
      <xdr:colOff>571499</xdr:colOff>
      <xdr:row>107</xdr:row>
      <xdr:rowOff>96520</xdr:rowOff>
    </xdr:from>
    <xdr:to>
      <xdr:col>10</xdr:col>
      <xdr:colOff>200976</xdr:colOff>
      <xdr:row>111</xdr:row>
      <xdr:rowOff>0</xdr:rowOff>
    </xdr:to>
    <xdr:sp macro="" textlink="">
      <xdr:nvSpPr>
        <xdr:cNvPr id="16" name="Speech Bubble: Rectangle 15">
          <a:extLst>
            <a:ext uri="{FF2B5EF4-FFF2-40B4-BE49-F238E27FC236}">
              <a16:creationId xmlns:a16="http://schemas.microsoft.com/office/drawing/2014/main" id="{5C217AAC-6FEE-425B-8E74-4F3628BA87E8}"/>
            </a:ext>
          </a:extLst>
        </xdr:cNvPr>
        <xdr:cNvSpPr/>
      </xdr:nvSpPr>
      <xdr:spPr>
        <a:xfrm>
          <a:off x="15320432" y="20027053"/>
          <a:ext cx="3041544" cy="648547"/>
        </a:xfrm>
        <a:prstGeom prst="wedgeRectCallout">
          <a:avLst>
            <a:gd name="adj1" fmla="val -59905"/>
            <a:gd name="adj2" fmla="val -157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Tax projection does not consider effect</a:t>
          </a:r>
          <a:r>
            <a:rPr lang="en-CH" sz="1100" baseline="0"/>
            <a:t> of offsetting current year gains against previous year losses (needs to be adjusted, if applicable)</a:t>
          </a:r>
          <a:endParaRPr lang="en-CH" sz="1100"/>
        </a:p>
      </xdr:txBody>
    </xdr:sp>
    <xdr:clientData/>
  </xdr:twoCellAnchor>
  <xdr:twoCellAnchor>
    <xdr:from>
      <xdr:col>11</xdr:col>
      <xdr:colOff>444662</xdr:colOff>
      <xdr:row>38</xdr:row>
      <xdr:rowOff>0</xdr:rowOff>
    </xdr:from>
    <xdr:to>
      <xdr:col>15</xdr:col>
      <xdr:colOff>352742</xdr:colOff>
      <xdr:row>43</xdr:row>
      <xdr:rowOff>107156</xdr:rowOff>
    </xdr:to>
    <xdr:sp macro="" textlink="">
      <xdr:nvSpPr>
        <xdr:cNvPr id="17" name="Speech Bubble: Rectangle 16">
          <a:extLst>
            <a:ext uri="{FF2B5EF4-FFF2-40B4-BE49-F238E27FC236}">
              <a16:creationId xmlns:a16="http://schemas.microsoft.com/office/drawing/2014/main" id="{55917F36-23EB-4DC6-AE5A-2EA573192349}"/>
            </a:ext>
          </a:extLst>
        </xdr:cNvPr>
        <xdr:cNvSpPr/>
      </xdr:nvSpPr>
      <xdr:spPr>
        <a:xfrm>
          <a:off x="19423225" y="6667500"/>
          <a:ext cx="3087048" cy="1000125"/>
        </a:xfrm>
        <a:prstGeom prst="wedgeRectCallout">
          <a:avLst>
            <a:gd name="adj1" fmla="val -55552"/>
            <a:gd name="adj2" fmla="val 21892"/>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Product purchases in USD are converted into local</a:t>
          </a:r>
          <a:r>
            <a:rPr lang="en-CH" sz="1100" baseline="0"/>
            <a:t> currency through the x-rate in period 1 (start of the model), and adjusted for </a:t>
          </a:r>
          <a:r>
            <a:rPr lang="en-GB" sz="1100" baseline="0"/>
            <a:t>currency appreciation or depreciation</a:t>
          </a:r>
          <a:r>
            <a:rPr lang="en-CH" sz="1100" baseline="0"/>
            <a:t> ("flags" tab, line </a:t>
          </a:r>
          <a:r>
            <a:rPr lang="en-GB" sz="1100" baseline="0"/>
            <a:t>29</a:t>
          </a:r>
          <a:r>
            <a:rPr lang="en-CH" sz="1100" baseline="0"/>
            <a:t>) in the following periods</a:t>
          </a:r>
          <a:endParaRPr lang="en-CH" sz="1100"/>
        </a:p>
      </xdr:txBody>
    </xdr:sp>
    <xdr:clientData/>
  </xdr:twoCellAnchor>
  <xdr:twoCellAnchor>
    <xdr:from>
      <xdr:col>3</xdr:col>
      <xdr:colOff>639761</xdr:colOff>
      <xdr:row>160</xdr:row>
      <xdr:rowOff>68260</xdr:rowOff>
    </xdr:from>
    <xdr:to>
      <xdr:col>4</xdr:col>
      <xdr:colOff>1488281</xdr:colOff>
      <xdr:row>169</xdr:row>
      <xdr:rowOff>59531</xdr:rowOff>
    </xdr:to>
    <xdr:sp macro="" textlink="">
      <xdr:nvSpPr>
        <xdr:cNvPr id="18" name="Speech Bubble: Rectangle 17">
          <a:extLst>
            <a:ext uri="{FF2B5EF4-FFF2-40B4-BE49-F238E27FC236}">
              <a16:creationId xmlns:a16="http://schemas.microsoft.com/office/drawing/2014/main" id="{B4F637DD-3910-4634-930C-6A1C6E9C0502}"/>
            </a:ext>
          </a:extLst>
        </xdr:cNvPr>
        <xdr:cNvSpPr/>
      </xdr:nvSpPr>
      <xdr:spPr>
        <a:xfrm>
          <a:off x="6890542" y="28702791"/>
          <a:ext cx="4289427" cy="1598615"/>
        </a:xfrm>
        <a:prstGeom prst="wedgeRectCallout">
          <a:avLst>
            <a:gd name="adj1" fmla="val -56030"/>
            <a:gd name="adj2" fmla="val -29404"/>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CH" sz="1100" b="0" i="0" baseline="0">
              <a:solidFill>
                <a:schemeClr val="lt1"/>
              </a:solidFill>
              <a:effectLst/>
              <a:latin typeface="+mn-lt"/>
              <a:ea typeface="+mn-ea"/>
              <a:cs typeface="+mn-cs"/>
            </a:rPr>
            <a:t>The seasonality effect adjusts projected new sales per month (according to inputs provided), e.g. if you indicate a number &lt;100% for a given month, the projected sales will be adjusted by x % (e.g. if you indicate 90% -&gt; new sales per month will be reduced by 10%)</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CH" sz="1100" b="0" i="0" baseline="0">
            <a:solidFill>
              <a:schemeClr val="lt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CH" sz="1100" b="0" i="0" baseline="0">
              <a:solidFill>
                <a:schemeClr val="lt1"/>
              </a:solidFill>
              <a:effectLst/>
              <a:latin typeface="+mn-lt"/>
              <a:ea typeface="+mn-ea"/>
              <a:cs typeface="+mn-cs"/>
            </a:rPr>
            <a:t>If you are expecting reduced sales in certain months of a certain year only, for example due to a crises, then the % of these months should be adjusted direcly in the flags sheet, line 48</a:t>
          </a:r>
          <a:endParaRPr lang="en-CH">
            <a:effectLst/>
          </a:endParaRPr>
        </a:p>
        <a:p>
          <a:pPr algn="l"/>
          <a:endParaRPr lang="en-CH" sz="1100"/>
        </a:p>
      </xdr:txBody>
    </xdr:sp>
    <xdr:clientData/>
  </xdr:twoCellAnchor>
  <xdr:twoCellAnchor>
    <xdr:from>
      <xdr:col>3</xdr:col>
      <xdr:colOff>988248</xdr:colOff>
      <xdr:row>119</xdr:row>
      <xdr:rowOff>142874</xdr:rowOff>
    </xdr:from>
    <xdr:to>
      <xdr:col>3</xdr:col>
      <xdr:colOff>2678935</xdr:colOff>
      <xdr:row>123</xdr:row>
      <xdr:rowOff>95250</xdr:rowOff>
    </xdr:to>
    <xdr:sp macro="" textlink="">
      <xdr:nvSpPr>
        <xdr:cNvPr id="6" name="Speech Bubble: Rectangle 5">
          <a:extLst>
            <a:ext uri="{FF2B5EF4-FFF2-40B4-BE49-F238E27FC236}">
              <a16:creationId xmlns:a16="http://schemas.microsoft.com/office/drawing/2014/main" id="{6045CC1B-0655-4B3A-A568-C43B14A12993}"/>
            </a:ext>
          </a:extLst>
        </xdr:cNvPr>
        <xdr:cNvSpPr/>
      </xdr:nvSpPr>
      <xdr:spPr>
        <a:xfrm>
          <a:off x="7250936" y="20585905"/>
          <a:ext cx="1690687" cy="666751"/>
        </a:xfrm>
        <a:prstGeom prst="wedgeRectCallout">
          <a:avLst>
            <a:gd name="adj1" fmla="val -57150"/>
            <a:gd name="adj2" fmla="val -82896"/>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For</a:t>
          </a:r>
          <a:r>
            <a:rPr lang="en-CH" sz="1100" baseline="0"/>
            <a:t> simplicity, the model assumes that A/R and A/P settle in the same period</a:t>
          </a:r>
          <a:endParaRPr lang="en-CH" sz="1100"/>
        </a:p>
      </xdr:txBody>
    </xdr:sp>
    <xdr:clientData/>
  </xdr:twoCellAnchor>
  <xdr:twoCellAnchor>
    <xdr:from>
      <xdr:col>7</xdr:col>
      <xdr:colOff>325600</xdr:colOff>
      <xdr:row>62</xdr:row>
      <xdr:rowOff>125414</xdr:rowOff>
    </xdr:from>
    <xdr:to>
      <xdr:col>11</xdr:col>
      <xdr:colOff>7460</xdr:colOff>
      <xdr:row>66</xdr:row>
      <xdr:rowOff>83344</xdr:rowOff>
    </xdr:to>
    <xdr:sp macro="" textlink="">
      <xdr:nvSpPr>
        <xdr:cNvPr id="19" name="Speech Bubble: Rectangle 18">
          <a:extLst>
            <a:ext uri="{FF2B5EF4-FFF2-40B4-BE49-F238E27FC236}">
              <a16:creationId xmlns:a16="http://schemas.microsoft.com/office/drawing/2014/main" id="{830ADB76-AC73-44AA-8A93-63ACA8A5AE0B}"/>
            </a:ext>
          </a:extLst>
        </xdr:cNvPr>
        <xdr:cNvSpPr/>
      </xdr:nvSpPr>
      <xdr:spPr>
        <a:xfrm>
          <a:off x="15898975" y="11079164"/>
          <a:ext cx="3087048" cy="672305"/>
        </a:xfrm>
        <a:prstGeom prst="wedgeRectCallout">
          <a:avLst>
            <a:gd name="adj1" fmla="val -55552"/>
            <a:gd name="adj2" fmla="val 21892"/>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in line 64 and 65 only to be provided if the sales agents receive </a:t>
          </a:r>
          <a:r>
            <a:rPr lang="en-CH" sz="1100" baseline="0"/>
            <a:t>a fixed salary in addition to the commissions</a:t>
          </a:r>
          <a:endParaRPr lang="en-CH" sz="1100"/>
        </a:p>
      </xdr:txBody>
    </xdr:sp>
    <xdr:clientData/>
  </xdr:twoCellAnchor>
  <xdr:twoCellAnchor>
    <xdr:from>
      <xdr:col>3</xdr:col>
      <xdr:colOff>1016323</xdr:colOff>
      <xdr:row>22</xdr:row>
      <xdr:rowOff>61437</xdr:rowOff>
    </xdr:from>
    <xdr:to>
      <xdr:col>4</xdr:col>
      <xdr:colOff>709931</xdr:colOff>
      <xdr:row>25</xdr:row>
      <xdr:rowOff>128905</xdr:rowOff>
    </xdr:to>
    <xdr:sp macro="" textlink="">
      <xdr:nvSpPr>
        <xdr:cNvPr id="2" name="Speech Bubble: Rectangle 1">
          <a:extLst>
            <a:ext uri="{FF2B5EF4-FFF2-40B4-BE49-F238E27FC236}">
              <a16:creationId xmlns:a16="http://schemas.microsoft.com/office/drawing/2014/main" id="{6A72DBBE-FB7B-45AD-B12A-D164E2602CB2}"/>
            </a:ext>
          </a:extLst>
        </xdr:cNvPr>
        <xdr:cNvSpPr/>
      </xdr:nvSpPr>
      <xdr:spPr>
        <a:xfrm>
          <a:off x="7264723" y="3947637"/>
          <a:ext cx="3141658" cy="610393"/>
        </a:xfrm>
        <a:prstGeom prst="wedgeRectCallout">
          <a:avLst>
            <a:gd name="adj1" fmla="val -62585"/>
            <a:gd name="adj2" fmla="val 13719"/>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chemeClr val="lt1"/>
              </a:solidFill>
              <a:effectLst/>
              <a:latin typeface="+mn-lt"/>
              <a:ea typeface="+mn-ea"/>
              <a:cs typeface="+mn-cs"/>
            </a:rPr>
            <a:t>"Active customer" refers to customers actively paying for a products sold on credit (eg, PAYG SHS installations) or services</a:t>
          </a:r>
          <a:endParaRPr lang="en-ZA">
            <a:effectLst/>
          </a:endParaRPr>
        </a:p>
      </xdr:txBody>
    </xdr:sp>
    <xdr:clientData/>
  </xdr:twoCellAnchor>
  <xdr:twoCellAnchor>
    <xdr:from>
      <xdr:col>3</xdr:col>
      <xdr:colOff>483870</xdr:colOff>
      <xdr:row>27</xdr:row>
      <xdr:rowOff>92076</xdr:rowOff>
    </xdr:from>
    <xdr:to>
      <xdr:col>3</xdr:col>
      <xdr:colOff>2446655</xdr:colOff>
      <xdr:row>29</xdr:row>
      <xdr:rowOff>0</xdr:rowOff>
    </xdr:to>
    <xdr:sp macro="" textlink="">
      <xdr:nvSpPr>
        <xdr:cNvPr id="13" name="Speech Bubble: Rectangle 12">
          <a:extLst>
            <a:ext uri="{FF2B5EF4-FFF2-40B4-BE49-F238E27FC236}">
              <a16:creationId xmlns:a16="http://schemas.microsoft.com/office/drawing/2014/main" id="{87FD9496-8994-475D-805C-A9F312E8F1CC}"/>
            </a:ext>
          </a:extLst>
        </xdr:cNvPr>
        <xdr:cNvSpPr/>
      </xdr:nvSpPr>
      <xdr:spPr>
        <a:xfrm>
          <a:off x="6732270" y="4883151"/>
          <a:ext cx="1962785" cy="269874"/>
        </a:xfrm>
        <a:prstGeom prst="wedgeRectCallout">
          <a:avLst>
            <a:gd name="adj1" fmla="val -58043"/>
            <a:gd name="adj2" fmla="val 46759"/>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chemeClr val="lt1"/>
              </a:solidFill>
              <a:effectLst/>
              <a:latin typeface="+mn-lt"/>
              <a:ea typeface="+mn-ea"/>
              <a:cs typeface="+mn-cs"/>
            </a:rPr>
            <a:t>LCY stands for "local currency"</a:t>
          </a:r>
          <a:endParaRPr lang="en-ZA">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315912</xdr:colOff>
      <xdr:row>9</xdr:row>
      <xdr:rowOff>104778</xdr:rowOff>
    </xdr:from>
    <xdr:to>
      <xdr:col>14</xdr:col>
      <xdr:colOff>178593</xdr:colOff>
      <xdr:row>15</xdr:row>
      <xdr:rowOff>166686</xdr:rowOff>
    </xdr:to>
    <xdr:sp macro="" textlink="">
      <xdr:nvSpPr>
        <xdr:cNvPr id="8" name="Speech Bubble: Rectangle 7">
          <a:extLst>
            <a:ext uri="{FF2B5EF4-FFF2-40B4-BE49-F238E27FC236}">
              <a16:creationId xmlns:a16="http://schemas.microsoft.com/office/drawing/2014/main" id="{6628C169-6573-4135-84A4-6D4438BA7583}"/>
            </a:ext>
          </a:extLst>
        </xdr:cNvPr>
        <xdr:cNvSpPr/>
      </xdr:nvSpPr>
      <xdr:spPr>
        <a:xfrm>
          <a:off x="16865600" y="3271841"/>
          <a:ext cx="2958306" cy="1062033"/>
        </a:xfrm>
        <a:prstGeom prst="wedgeRectCallout">
          <a:avLst>
            <a:gd name="adj1" fmla="val -56227"/>
            <a:gd name="adj2" fmla="val -15800"/>
          </a:avLst>
        </a:prstGeom>
        <a:solidFill>
          <a:schemeClr val="tx2">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Please note: sensitivity is calculated based</a:t>
          </a:r>
          <a:r>
            <a:rPr lang="en-CH" sz="1100" baseline="0">
              <a:solidFill>
                <a:schemeClr val="lt1"/>
              </a:solidFill>
              <a:effectLst/>
              <a:latin typeface="+mn-lt"/>
              <a:ea typeface="+mn-ea"/>
              <a:cs typeface="+mn-cs"/>
            </a:rPr>
            <a:t> on inputs provided in cell E32 of "model assumptions - scenarios" sheet ( for collection rate) and E11 of "model assumptions - scenarios" sheet ( for m-o-m growth rate) </a:t>
          </a:r>
          <a:endParaRPr lang="en-CH">
            <a:effectLst/>
          </a:endParaRPr>
        </a:p>
        <a:p>
          <a:pPr algn="l"/>
          <a:endParaRPr lang="en-CH" sz="1100"/>
        </a:p>
      </xdr:txBody>
    </xdr:sp>
    <xdr:clientData/>
  </xdr:twoCellAnchor>
</xdr:wsDr>
</file>

<file path=xl/persons/person.xml><?xml version="1.0" encoding="utf-8"?>
<personList xmlns="http://schemas.microsoft.com/office/spreadsheetml/2018/threadedcomments" xmlns:x="http://schemas.openxmlformats.org/spreadsheetml/2006/main">
  <person displayName="Eva" id="{DD322B83-2EAD-44E3-8AA7-388F3BFF2531}" userId="Eva" providerId="None"/>
  <person displayName="Note" id="{B5F0427D-1B7D-42AA-85A3-4AEFD33F3519}" userId="Note" providerId="None"/>
</personList>
</file>

<file path=xl/theme/theme1.xml><?xml version="1.0" encoding="utf-8"?>
<a:theme xmlns:a="http://schemas.openxmlformats.org/drawingml/2006/main" name="Office Theme">
  <a:themeElements>
    <a:clrScheme name="Power Africa">
      <a:dk1>
        <a:sysClr val="windowText" lastClr="000000"/>
      </a:dk1>
      <a:lt1>
        <a:sysClr val="window" lastClr="FFFFFF"/>
      </a:lt1>
      <a:dk2>
        <a:srgbClr val="002F6C"/>
      </a:dk2>
      <a:lt2>
        <a:srgbClr val="A7C6ED"/>
      </a:lt2>
      <a:accent1>
        <a:srgbClr val="002A6C"/>
      </a:accent1>
      <a:accent2>
        <a:srgbClr val="BA0C2F"/>
      </a:accent2>
      <a:accent3>
        <a:srgbClr val="D0D0CE"/>
      </a:accent3>
      <a:accent4>
        <a:srgbClr val="1F2A44"/>
      </a:accent4>
      <a:accent5>
        <a:srgbClr val="A7C6ED"/>
      </a:accent5>
      <a:accent6>
        <a:srgbClr val="FFD134"/>
      </a:accent6>
      <a:hlink>
        <a:srgbClr val="002A6C"/>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9" dT="2020-08-27T18:25:39.68" personId="{B5F0427D-1B7D-42AA-85A3-4AEFD33F3519}" id="{E7C22476-ED62-4521-82B3-945D1B096BE0}">
    <text>The model is based on the assumption that VAT on revenues is paid in the same month as received, and VAT on stock is received in the same month as it is paid</text>
  </threadedComment>
  <threadedComment ref="E72" dT="2020-08-28T08:43:34.82" personId="{B5F0427D-1B7D-42AA-85A3-4AEFD33F3519}" id="{3794C7E5-5EDF-429F-A410-F38A57045CED}">
    <text>Input for the different scenarios needs to be provided on "Model Assumptions - Scenarios sheet"</text>
  </threadedComment>
  <threadedComment ref="E79" dT="2020-08-28T08:43:39.78" personId="{B5F0427D-1B7D-42AA-85A3-4AEFD33F3519}" id="{B50C605D-9617-48E2-9912-91E2E0FD3446}">
    <text>Input for the different scenarios needs to be provided on "Model Assumptions - Scenarios sheet"</text>
  </threadedComment>
  <threadedComment ref="E82" dT="2020-08-28T08:43:45.44" personId="{B5F0427D-1B7D-42AA-85A3-4AEFD33F3519}" id="{2CDAC6FC-74A4-4FC3-AB0D-0AC24D8CB53E}">
    <text>Input for the different scenarios needs to be provided on "Model Assumptions - Scenarios sheet"</text>
  </threadedComment>
  <threadedComment ref="F84" dT="2020-08-12T08:47:59.79" personId="{B5F0427D-1B7D-42AA-85A3-4AEFD33F3519}" id="{2E9A7C83-971B-403A-8FEE-9F6F81E1DE2F}">
    <text>to be resold or exchanged under warranty</text>
  </threadedComment>
  <threadedComment ref="E95" dT="2020-08-28T08:43:50.75" personId="{B5F0427D-1B7D-42AA-85A3-4AEFD33F3519}" id="{9A97D1B1-8DB7-42B9-9D36-25EBB6F703E0}">
    <text>Input for the different scenarios needs to be provided on "Model Assumptions - Scenarios sheet"</text>
  </threadedComment>
  <threadedComment ref="F119" dT="2020-09-23T14:10:21.19" personId="{B5F0427D-1B7D-42AA-85A3-4AEFD33F3519}" id="{527AFF34-BE70-48B8-8810-6287A83286AE}">
    <text>invetory in cash view is calculated as follows: inventory past period + stock purchased in this period - COGS in this period (where COGS is the monthly costs (depreciation) of systems deployed)</text>
  </threadedComment>
  <threadedComment ref="H119" dT="2020-09-23T14:11:38.95" personId="{B5F0427D-1B7D-42AA-85A3-4AEFD33F3519}" id="{6440CCF3-EF2E-4F1D-BBFC-F6406BDD6172}">
    <text>inventory in accrual view is calculated as follow: inventory past period + stock purchased in this period - COGS in this period (where COGS is the full cost of the products sold)</text>
  </threadedComment>
  <threadedComment ref="F120" dT="2020-09-23T16:22:20.53" personId="{B5F0427D-1B7D-42AA-85A3-4AEFD33F3519}" id="{E40DADBA-986A-49B0-9D01-C1643154807D}">
    <text>in cash view, there are no receivables, as you only account for what you collect in a given month</text>
  </threadedComment>
  <threadedComment ref="C133" dT="2020-08-28T08:36:52.42" personId="{B5F0427D-1B7D-42AA-85A3-4AEFD33F3519}" id="{0F4A163B-6697-4411-9E25-5B6258C22889}">
    <text>Date needs to be defined as 1st of month</text>
  </threadedComment>
  <threadedComment ref="C135" dT="2020-08-17T17:12:40.25" personId="{B5F0427D-1B7D-42AA-85A3-4AEFD33F3519}" id="{A1D9BD4F-D211-4084-973C-42B245372ED4}">
    <text>Exchange rate at moment of debt raise</text>
  </threadedComment>
  <threadedComment ref="C141" dT="2021-01-06T13:14:36.65" personId="{B5F0427D-1B7D-42AA-85A3-4AEFD33F3519}" id="{C3F0A489-7E16-4400-B7F3-A4FE0FEE1343}">
    <text>Interest payments are by default calculated on a monthly basis</text>
  </threadedComment>
  <threadedComment ref="C158" dT="2020-08-26T17:32:30.13" personId="{B5F0427D-1B7D-42AA-85A3-4AEFD33F3519}" id="{3B8C5328-ACEE-4790-A35B-D0A40133BFA3}">
    <text>used to calculate approximate # of jobs created</text>
  </threadedComment>
  <threadedComment ref="B160" dT="2020-08-28T09:36:58.13" personId="{B5F0427D-1B7D-42AA-85A3-4AEFD33F3519}" id="{D15A718E-3BDA-42D9-BD7D-ECAC749657B9}">
    <text>The seasonality effect adjusts projected new sales per month (according to inputs provided), e.g. if you indicate a number &lt;100% the projected sales will be adjusted by x % (e.g. 90% -&gt; new sales per month will be reduced by 10%)</text>
  </threadedComment>
  <threadedComment ref="B174" dT="2020-09-15T12:42:29.67" personId="{B5F0427D-1B7D-42AA-85A3-4AEFD33F3519}" id="{539DF04F-12A2-4E27-9371-821F05E2C99F}">
    <text>applies to error checks; should not be changed</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0-10-30T10:13:31.88" personId="{DD322B83-2EAD-44E3-8AA7-388F3BFF2531}" id="{56626121-1E20-4188-AAB0-A15F951E6318}">
    <text>for sensitivity analysis - do not edit</text>
  </threadedComment>
  <threadedComment ref="E33" dT="2020-10-30T10:14:29.33" personId="{DD322B83-2EAD-44E3-8AA7-388F3BFF2531}" id="{72C9FA48-FD9A-4559-AB5E-F167B79E886D}">
    <text>for sensitivity analysis - do not edit</text>
  </threadedComment>
</ThreadedComments>
</file>

<file path=xl/threadedComments/threadedComment3.xml><?xml version="1.0" encoding="utf-8"?>
<ThreadedComments xmlns="http://schemas.microsoft.com/office/spreadsheetml/2018/threadedcomments" xmlns:x="http://schemas.openxmlformats.org/spreadsheetml/2006/main">
  <threadedComment ref="E23" dT="2020-09-18T13:23:08.53" personId="{B5F0427D-1B7D-42AA-85A3-4AEFD33F3519}" id="{B87152CA-7B52-478B-ADA1-270E71850B10}">
    <text>needs to be calculated on valuation sheet</text>
  </threadedComment>
</ThreadedComments>
</file>

<file path=xl/threadedComments/threadedComment4.xml><?xml version="1.0" encoding="utf-8"?>
<ThreadedComments xmlns="http://schemas.microsoft.com/office/spreadsheetml/2018/threadedcomments" xmlns:x="http://schemas.openxmlformats.org/spreadsheetml/2006/main">
  <threadedComment ref="D42" dT="2020-09-23T12:31:39.17" personId="{B5F0427D-1B7D-42AA-85A3-4AEFD33F3519}" id="{38F9C2FD-C782-4154-995A-61BB61C34EFE}">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54" dT="2020-09-23T12:33:26.66" personId="{B5F0427D-1B7D-42AA-85A3-4AEFD33F3519}" id="{5882F5A3-BF21-47DA-8955-1E2B3AE7C190}">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66" dT="2020-09-23T12:33:34.58" personId="{B5F0427D-1B7D-42AA-85A3-4AEFD33F3519}" id="{9165D4EC-5B09-4CC8-A812-9E24B126C545}">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78" dT="2020-09-23T12:33:40.26" personId="{B5F0427D-1B7D-42AA-85A3-4AEFD33F3519}" id="{2ED5F08E-2B0A-4112-94FC-EB0102376C35}">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90" dT="2020-09-23T12:33:45.53" personId="{B5F0427D-1B7D-42AA-85A3-4AEFD33F3519}" id="{75250683-3A11-40CC-ACA3-8C95BB5EBB3E}">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G115" dT="2020-08-25T09:32:27.82" personId="{B5F0427D-1B7D-42AA-85A3-4AEFD33F3519}" id="{21BBC8AB-A94F-43E6-A5AC-A628E635D11F}">
    <text>This is an estimate for the value of the receivables that has to be written off due to customers not making any more payments; the write-off expense lowers the value of the receivables asset; we estimate the value by assuming an average amount that the customer has paid before stopping all payments - this amount is expressed in % of contract value less down payment; for example if a customer has made 10 out of 20 expected installements, but then stopped all payments, the write off amount would be 50% of (contract value - down payment); the model provides the option to vary the % amount by year on Model Assumptions.</text>
  </threadedComment>
  <threadedComment ref="H125" dT="2020-08-27T15:48:57.10" personId="{B5F0427D-1B7D-42AA-85A3-4AEFD33F3519}" id="{C02DEEB8-F102-4C37-98C7-70EED52C7C87}">
    <text>as indicated on assumptions sheet</text>
  </threadedComment>
  <threadedComment ref="C184" dT="2020-09-22T14:46:22.55" personId="{B5F0427D-1B7D-42AA-85A3-4AEFD33F3519}" id="{3EDFD596-87DF-4A1B-A91E-6307180B0869}">
    <text>also includes upfront payment on debt, i.e. agio</text>
  </threadedComment>
  <threadedComment ref="H194" dT="2020-08-27T15:48:57.10" personId="{B5F0427D-1B7D-42AA-85A3-4AEFD33F3519}" id="{5C193E1E-4748-4D72-B11A-17EEE3E37B83}">
    <text>as indicated on assumptions sheet</text>
  </threadedComment>
  <threadedComment ref="D275" dT="2021-01-06T13:19:33.30" personId="{B5F0427D-1B7D-42AA-85A3-4AEFD33F3519}" id="{F49169C0-FC4F-41BE-9ED0-13DFDAD5D3A2}">
    <text>The value of receivables is not adjusted for a bad debt provision; please see line 310 for an indication of "receivables at risk"</text>
  </threadedComment>
  <threadedComment ref="I309" dT="2020-08-25T09:10:51.87" personId="{B5F0427D-1B7D-42AA-85A3-4AEFD33F3519}" id="{8E2CAD7E-B5BB-4AB4-8690-805C204B724D}">
    <text>To get a reasonable estimate one can work with average life as per payplan and discount this value to get an estimate of the remaining average life in the portfolio. If the company is very new or grows very fast the discount factor is close to 100%, i.e. the remaining average life is close to the average life.</text>
  </threadedComment>
  <threadedComment ref="C316" dT="2020-08-25T21:28:17.60" personId="{B5F0427D-1B7D-42AA-85A3-4AEFD33F3519}" id="{C41B9F9A-3BEA-4474-A5ED-BCCA5C005F57}">
    <text>Covenants and related requirements to be adjusted based on specific situation</text>
  </threadedComment>
  <threadedComment ref="G323" dT="2020-08-26T17:32:30.13" personId="{B5F0427D-1B7D-42AA-85A3-4AEFD33F3519}" id="{F7753E89-12BD-449F-B381-2B82767C148E}">
    <text>used to calculate approximate # of jobs created</text>
  </threadedComment>
</ThreadedComments>
</file>

<file path=xl/threadedComments/threadedComment5.xml><?xml version="1.0" encoding="utf-8"?>
<ThreadedComments xmlns="http://schemas.microsoft.com/office/spreadsheetml/2018/threadedcomments" xmlns:x="http://schemas.openxmlformats.org/spreadsheetml/2006/main">
  <threadedComment ref="F43" dT="2020-08-27T15:52:21.69" personId="{B5F0427D-1B7D-42AA-85A3-4AEFD33F3519}" id="{C6F306A7-6F97-4F5B-AAAF-FAF6B42C19FF}">
    <text>As indicated on assumptions sheet</text>
  </threadedComment>
  <threadedComment ref="F113" dT="2020-08-27T15:52:21.69" personId="{B5F0427D-1B7D-42AA-85A3-4AEFD33F3519}" id="{802CDDF7-85FC-458F-A1C9-95E7A2532DF3}">
    <text>As indicated on assumptions sheet</text>
  </threadedComment>
</ThreadedComments>
</file>

<file path=xl/threadedComments/threadedComment6.xml><?xml version="1.0" encoding="utf-8"?>
<ThreadedComments xmlns="http://schemas.microsoft.com/office/spreadsheetml/2018/threadedcomments" xmlns:x="http://schemas.openxmlformats.org/spreadsheetml/2006/main">
  <threadedComment ref="F43" dT="2020-08-27T15:52:21.69" personId="{B5F0427D-1B7D-42AA-85A3-4AEFD33F3519}" id="{2C713E0B-DBBC-4391-B0E5-B24BA5866293}">
    <text>As indicated on assumptions sheet</text>
  </threadedComment>
  <threadedComment ref="F113" dT="2020-08-27T15:52:21.69" personId="{B5F0427D-1B7D-42AA-85A3-4AEFD33F3519}" id="{41709928-D7AD-41E2-B6C5-0D6A75D2FAA0}">
    <text>As indicated on assumptions sheet</text>
  </threadedComment>
</ThreadedComments>
</file>

<file path=xl/threadedComments/threadedComment7.xml><?xml version="1.0" encoding="utf-8"?>
<ThreadedComments xmlns="http://schemas.microsoft.com/office/spreadsheetml/2018/threadedcomments" xmlns:x="http://schemas.openxmlformats.org/spreadsheetml/2006/main">
  <threadedComment ref="B65" dT="2020-09-18T14:29:20.22" personId="{B5F0427D-1B7D-42AA-85A3-4AEFD33F3519}" id="{08EB4721-B153-4478-800A-ED05231F2F3F}">
    <text>does not take currency effects into consideration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globaldistributorscollective.org/knowledge-hub" TargetMode="External"/><Relationship Id="rId2" Type="http://schemas.openxmlformats.org/officeDocument/2006/relationships/hyperlink" Target="https://www.usaid.gov/sites/default/files/documents/20210114_Financial_Modeling_Tool_-_User_Guide.pdf" TargetMode="External"/><Relationship Id="rId1" Type="http://schemas.openxmlformats.org/officeDocument/2006/relationships/hyperlink" Target="https://www.get-invest.e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499984740745262"/>
  </sheetPr>
  <dimension ref="B3:D81"/>
  <sheetViews>
    <sheetView showGridLines="0" tabSelected="1" zoomScale="70" zoomScaleNormal="70" zoomScaleSheetLayoutView="80" workbookViewId="0">
      <selection activeCell="B9" sqref="B9:D9"/>
    </sheetView>
  </sheetViews>
  <sheetFormatPr defaultColWidth="11.21875" defaultRowHeight="13.8"/>
  <cols>
    <col min="1" max="1" width="6" style="5" customWidth="1"/>
    <col min="2" max="2" width="34" style="5" customWidth="1"/>
    <col min="3" max="3" width="185.77734375" style="5" customWidth="1"/>
    <col min="4" max="4" width="29.44140625" style="5" bestFit="1" customWidth="1"/>
    <col min="5" max="16384" width="11.21875" style="5"/>
  </cols>
  <sheetData>
    <row r="3" spans="2:4">
      <c r="B3" s="317"/>
    </row>
    <row r="4" spans="2:4">
      <c r="B4" s="317"/>
    </row>
    <row r="5" spans="2:4">
      <c r="B5" s="386" t="s">
        <v>741</v>
      </c>
      <c r="C5" s="387"/>
      <c r="D5" s="387"/>
    </row>
    <row r="7" spans="2:4" ht="13.5" customHeight="1">
      <c r="B7" s="668" t="s">
        <v>747</v>
      </c>
      <c r="C7" s="665"/>
      <c r="D7" s="665"/>
    </row>
    <row r="8" spans="2:4" ht="13.5" customHeight="1">
      <c r="B8" s="666" t="s">
        <v>742</v>
      </c>
      <c r="C8" s="665"/>
      <c r="D8" s="665"/>
    </row>
    <row r="9" spans="2:4" ht="30" customHeight="1">
      <c r="B9" s="669" t="s">
        <v>750</v>
      </c>
      <c r="C9" s="669"/>
      <c r="D9" s="669"/>
    </row>
    <row r="10" spans="2:4" ht="14.4">
      <c r="B10" s="667" t="s">
        <v>748</v>
      </c>
      <c r="C10" s="667"/>
      <c r="D10" s="667"/>
    </row>
    <row r="11" spans="2:4" ht="13.5" customHeight="1">
      <c r="B11" s="665" t="s">
        <v>743</v>
      </c>
      <c r="C11" s="665"/>
      <c r="D11" s="665"/>
    </row>
    <row r="12" spans="2:4" ht="13.5" customHeight="1">
      <c r="B12" s="666" t="s">
        <v>738</v>
      </c>
      <c r="C12" s="665"/>
      <c r="D12" s="665"/>
    </row>
    <row r="13" spans="2:4" ht="13.5" customHeight="1">
      <c r="B13" s="665" t="s">
        <v>739</v>
      </c>
      <c r="C13" s="665"/>
      <c r="D13" s="665"/>
    </row>
    <row r="14" spans="2:4" ht="13.5" customHeight="1">
      <c r="B14" s="666" t="s">
        <v>740</v>
      </c>
      <c r="C14" s="665"/>
      <c r="D14" s="665"/>
    </row>
    <row r="15" spans="2:4">
      <c r="B15" s="317"/>
    </row>
    <row r="16" spans="2:4">
      <c r="B16" s="386" t="s">
        <v>437</v>
      </c>
      <c r="C16" s="387"/>
      <c r="D16" s="387"/>
    </row>
    <row r="18" spans="2:4">
      <c r="B18" s="37" t="s">
        <v>29</v>
      </c>
      <c r="C18" s="37" t="s">
        <v>253</v>
      </c>
      <c r="D18" s="37" t="s">
        <v>434</v>
      </c>
    </row>
    <row r="19" spans="2:4">
      <c r="B19" s="318" t="s">
        <v>178</v>
      </c>
      <c r="C19" s="5" t="s">
        <v>435</v>
      </c>
      <c r="D19" s="5" t="s">
        <v>453</v>
      </c>
    </row>
    <row r="20" spans="2:4">
      <c r="B20" s="319" t="s">
        <v>41</v>
      </c>
      <c r="C20" s="5" t="s">
        <v>488</v>
      </c>
      <c r="D20" s="5" t="s">
        <v>374</v>
      </c>
    </row>
    <row r="21" spans="2:4">
      <c r="B21" s="319" t="s">
        <v>312</v>
      </c>
      <c r="C21" s="5" t="s">
        <v>421</v>
      </c>
      <c r="D21" s="5" t="s">
        <v>374</v>
      </c>
    </row>
    <row r="22" spans="2:4">
      <c r="B22" s="605" t="s">
        <v>430</v>
      </c>
      <c r="C22" s="5" t="s">
        <v>433</v>
      </c>
      <c r="D22" s="5" t="s">
        <v>436</v>
      </c>
    </row>
    <row r="23" spans="2:4">
      <c r="B23" s="605" t="s">
        <v>429</v>
      </c>
      <c r="C23" s="5" t="s">
        <v>431</v>
      </c>
      <c r="D23" s="5" t="s">
        <v>436</v>
      </c>
    </row>
    <row r="24" spans="2:4">
      <c r="B24" s="605" t="s">
        <v>561</v>
      </c>
      <c r="C24" s="5" t="s">
        <v>707</v>
      </c>
      <c r="D24" s="5" t="s">
        <v>436</v>
      </c>
    </row>
    <row r="25" spans="2:4">
      <c r="B25" s="605" t="s">
        <v>422</v>
      </c>
      <c r="C25" s="5" t="s">
        <v>425</v>
      </c>
      <c r="D25" s="5" t="s">
        <v>526</v>
      </c>
    </row>
    <row r="26" spans="2:4">
      <c r="B26" s="320" t="s">
        <v>424</v>
      </c>
      <c r="C26" s="5" t="s">
        <v>432</v>
      </c>
      <c r="D26" s="5" t="s">
        <v>375</v>
      </c>
    </row>
    <row r="27" spans="2:4">
      <c r="B27" s="321" t="s">
        <v>423</v>
      </c>
      <c r="C27" s="5" t="s">
        <v>426</v>
      </c>
      <c r="D27" s="5" t="s">
        <v>375</v>
      </c>
    </row>
    <row r="28" spans="2:4">
      <c r="B28" s="322" t="s">
        <v>227</v>
      </c>
      <c r="C28" s="5" t="s">
        <v>427</v>
      </c>
      <c r="D28" s="5" t="s">
        <v>376</v>
      </c>
    </row>
    <row r="29" spans="2:4">
      <c r="B29" s="322" t="s">
        <v>428</v>
      </c>
      <c r="C29" s="42" t="s">
        <v>708</v>
      </c>
      <c r="D29" s="5" t="s">
        <v>376</v>
      </c>
    </row>
    <row r="30" spans="2:4">
      <c r="B30" s="323" t="s">
        <v>632</v>
      </c>
      <c r="C30" s="5" t="s">
        <v>439</v>
      </c>
      <c r="D30" s="5" t="s">
        <v>440</v>
      </c>
    </row>
    <row r="32" spans="2:4">
      <c r="B32" s="386" t="s">
        <v>206</v>
      </c>
      <c r="C32" s="387"/>
      <c r="D32" s="387"/>
    </row>
    <row r="34" spans="2:4">
      <c r="B34" s="172" t="s">
        <v>209</v>
      </c>
      <c r="C34" s="5" t="s">
        <v>207</v>
      </c>
    </row>
    <row r="35" spans="2:4" ht="14.55" customHeight="1">
      <c r="B35" s="171" t="s">
        <v>209</v>
      </c>
      <c r="C35" s="5" t="s">
        <v>208</v>
      </c>
    </row>
    <row r="36" spans="2:4">
      <c r="B36" s="433" t="s">
        <v>209</v>
      </c>
      <c r="C36" s="5" t="s">
        <v>210</v>
      </c>
    </row>
    <row r="37" spans="2:4">
      <c r="B37" s="434" t="s">
        <v>209</v>
      </c>
      <c r="C37" s="5" t="s">
        <v>231</v>
      </c>
    </row>
    <row r="39" spans="2:4">
      <c r="B39" s="386" t="s">
        <v>452</v>
      </c>
      <c r="C39" s="387"/>
      <c r="D39" s="387"/>
    </row>
    <row r="41" spans="2:4">
      <c r="B41" s="392" t="s">
        <v>709</v>
      </c>
      <c r="C41" s="5" t="s">
        <v>728</v>
      </c>
    </row>
    <row r="42" spans="2:4">
      <c r="B42" s="392" t="s">
        <v>290</v>
      </c>
      <c r="C42" s="5" t="s">
        <v>511</v>
      </c>
    </row>
    <row r="43" spans="2:4">
      <c r="B43" s="392" t="s">
        <v>704</v>
      </c>
      <c r="C43" s="5" t="s">
        <v>705</v>
      </c>
    </row>
    <row r="44" spans="2:4">
      <c r="B44" s="392" t="s">
        <v>295</v>
      </c>
      <c r="C44" s="5" t="s">
        <v>512</v>
      </c>
    </row>
    <row r="45" spans="2:4">
      <c r="B45" s="392" t="s">
        <v>472</v>
      </c>
      <c r="C45" s="5" t="s">
        <v>473</v>
      </c>
    </row>
    <row r="46" spans="2:4">
      <c r="B46" s="392" t="s">
        <v>474</v>
      </c>
      <c r="C46" s="5" t="s">
        <v>489</v>
      </c>
    </row>
    <row r="47" spans="2:4">
      <c r="B47" s="392" t="s">
        <v>475</v>
      </c>
      <c r="C47" s="5" t="s">
        <v>706</v>
      </c>
    </row>
    <row r="48" spans="2:4">
      <c r="B48" s="392" t="s">
        <v>189</v>
      </c>
      <c r="C48" s="5" t="s">
        <v>494</v>
      </c>
    </row>
    <row r="49" spans="2:4">
      <c r="B49" s="392" t="s">
        <v>693</v>
      </c>
      <c r="C49" s="5" t="s">
        <v>696</v>
      </c>
    </row>
    <row r="50" spans="2:4">
      <c r="B50" s="392" t="s">
        <v>694</v>
      </c>
      <c r="C50" s="5" t="s">
        <v>695</v>
      </c>
    </row>
    <row r="52" spans="2:4">
      <c r="B52" s="386" t="s">
        <v>713</v>
      </c>
      <c r="C52" s="387"/>
      <c r="D52" s="387"/>
    </row>
    <row r="54" spans="2:4">
      <c r="B54" s="5" t="s">
        <v>745</v>
      </c>
    </row>
    <row r="56" spans="2:4">
      <c r="B56" s="69" t="s">
        <v>714</v>
      </c>
      <c r="C56" s="55" t="s">
        <v>717</v>
      </c>
      <c r="D56" s="55"/>
    </row>
    <row r="57" spans="2:4">
      <c r="B57" s="37"/>
      <c r="C57" s="5" t="s">
        <v>722</v>
      </c>
    </row>
    <row r="58" spans="2:4">
      <c r="B58" s="120"/>
      <c r="C58" s="615" t="s">
        <v>723</v>
      </c>
      <c r="D58" s="120"/>
    </row>
    <row r="59" spans="2:4">
      <c r="B59" s="69" t="s">
        <v>715</v>
      </c>
      <c r="C59" s="616" t="s">
        <v>716</v>
      </c>
      <c r="D59" s="55"/>
    </row>
    <row r="60" spans="2:4">
      <c r="B60" s="120"/>
      <c r="C60" s="120" t="s">
        <v>724</v>
      </c>
      <c r="D60" s="120"/>
    </row>
    <row r="61" spans="2:4">
      <c r="B61" s="37" t="s">
        <v>718</v>
      </c>
      <c r="C61" s="225" t="s">
        <v>725</v>
      </c>
    </row>
    <row r="62" spans="2:4">
      <c r="B62" s="120"/>
      <c r="C62" s="120"/>
      <c r="D62" s="120"/>
    </row>
    <row r="63" spans="2:4">
      <c r="B63" s="5" t="s">
        <v>719</v>
      </c>
    </row>
    <row r="64" spans="2:4">
      <c r="B64" s="6"/>
      <c r="C64" s="6"/>
      <c r="D64" s="6"/>
    </row>
    <row r="65" spans="2:4">
      <c r="B65" s="37" t="s">
        <v>720</v>
      </c>
      <c r="C65" s="225" t="s">
        <v>726</v>
      </c>
    </row>
    <row r="66" spans="2:4">
      <c r="B66" s="85"/>
      <c r="C66" s="615"/>
      <c r="D66" s="120"/>
    </row>
    <row r="67" spans="2:4">
      <c r="B67" s="69" t="s">
        <v>721</v>
      </c>
      <c r="C67" s="616" t="s">
        <v>727</v>
      </c>
      <c r="D67" s="55"/>
    </row>
    <row r="68" spans="2:4">
      <c r="B68" s="120"/>
      <c r="C68" s="120"/>
      <c r="D68" s="120"/>
    </row>
    <row r="69" spans="2:4">
      <c r="B69" s="5" t="s">
        <v>744</v>
      </c>
      <c r="C69" s="5" t="s">
        <v>746</v>
      </c>
    </row>
    <row r="71" spans="2:4" ht="13.5" customHeight="1">
      <c r="B71" s="386" t="s">
        <v>438</v>
      </c>
      <c r="C71" s="387"/>
      <c r="D71" s="387"/>
    </row>
    <row r="73" spans="2:4" ht="13.05" customHeight="1">
      <c r="B73" s="663" t="s">
        <v>749</v>
      </c>
      <c r="C73" s="663"/>
      <c r="D73" s="663"/>
    </row>
    <row r="74" spans="2:4">
      <c r="B74" s="663"/>
      <c r="C74" s="663"/>
      <c r="D74" s="663"/>
    </row>
    <row r="75" spans="2:4">
      <c r="B75" s="663"/>
      <c r="C75" s="663"/>
      <c r="D75" s="663"/>
    </row>
    <row r="76" spans="2:4">
      <c r="B76" s="663"/>
      <c r="C76" s="663"/>
      <c r="D76" s="663"/>
    </row>
    <row r="77" spans="2:4">
      <c r="B77" s="663"/>
      <c r="C77" s="663"/>
      <c r="D77" s="663"/>
    </row>
    <row r="78" spans="2:4">
      <c r="B78" s="663"/>
      <c r="C78" s="663"/>
      <c r="D78" s="663"/>
    </row>
    <row r="79" spans="2:4" ht="15" customHeight="1">
      <c r="B79" s="663"/>
      <c r="C79" s="663"/>
      <c r="D79" s="663"/>
    </row>
    <row r="80" spans="2:4">
      <c r="B80" s="664"/>
      <c r="C80" s="664"/>
      <c r="D80" s="664"/>
    </row>
    <row r="81" spans="2:4">
      <c r="B81" s="664"/>
      <c r="C81" s="664"/>
      <c r="D81" s="664"/>
    </row>
  </sheetData>
  <mergeCells count="9">
    <mergeCell ref="B73:D81"/>
    <mergeCell ref="B13:D13"/>
    <mergeCell ref="B14:D14"/>
    <mergeCell ref="B10:D10"/>
    <mergeCell ref="B7:D7"/>
    <mergeCell ref="B8:D8"/>
    <mergeCell ref="B9:D9"/>
    <mergeCell ref="B11:D11"/>
    <mergeCell ref="B12:D12"/>
  </mergeCells>
  <hyperlinks>
    <hyperlink ref="B19" location="Dashboard!A1" display="Dashboard" xr:uid="{00000000-0004-0000-0000-000000000000}"/>
    <hyperlink ref="B25" location="'Detailed Model (LCY)'!A1" display="Detailed model (LCY)" xr:uid="{00000000-0004-0000-0000-000001000000}"/>
    <hyperlink ref="B27" location="'Macro Model (USD)'!A1" display="Macro Model (USD)" xr:uid="{00000000-0004-0000-0000-000003000000}"/>
    <hyperlink ref="B20" location="'Model Assumptions'!A1" display="Model Assumptions" xr:uid="{00000000-0004-0000-0000-000004000000}"/>
    <hyperlink ref="B28" location="'Unit economics (LCY)'!A1" display="Unit economics" xr:uid="{82239034-B97A-4957-8CE3-1720223B0D3A}"/>
    <hyperlink ref="B21" location="'Model Assumptions - Scenarios'!A1" display="Model Assumptions - scenarios" xr:uid="{44A78747-CDA7-4D94-BBE3-0A6102C67D0E}"/>
    <hyperlink ref="B26" location="'Macro Model (LCY)'!A1" display="Macro Model (LCY)" xr:uid="{21598E5F-0F6B-418A-B900-FC3E21A02D7A}"/>
    <hyperlink ref="B29" location="'Sensitivity analysis (USD)'!A1" display="Sensitivity analysis (USD)" xr:uid="{5E1000A1-13F3-4FB9-88AB-DBD896A89A0D}"/>
    <hyperlink ref="B23" location="Financing!A1" display="Financing" xr:uid="{B2EF91B5-F35D-428D-9AC6-9CBB0A9B66B7}"/>
    <hyperlink ref="B22" location="Flags!A1" display="Flags" xr:uid="{3FFCFCE7-67FB-46D4-97F8-7B56DCB18C47}"/>
    <hyperlink ref="B30" location="'Error checks'!A1" display="Error checks" xr:uid="{147AC25D-9E60-4137-9B48-BB5CF33A66D2}"/>
    <hyperlink ref="B24" location="'Cost of capital'!A1" display="Cost of capital" xr:uid="{3C42B91B-4618-4790-ACD8-BAE2059A84CB}"/>
    <hyperlink ref="B12" r:id="rId1" xr:uid="{6330E1FF-E33D-47B0-AC99-F64C2FD4A68E}"/>
    <hyperlink ref="B8" r:id="rId2" xr:uid="{651B0C7E-D0CF-4662-BADD-41BD72CBB134}"/>
    <hyperlink ref="B14" r:id="rId3" xr:uid="{63C54A17-542D-482F-8E8C-7071A494F23F}"/>
  </hyperlinks>
  <pageMargins left="0.7" right="0.7" top="0.75" bottom="0.75" header="0.3" footer="0.3"/>
  <pageSetup paperSize="9" scale="30"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79998168889431442"/>
  </sheetPr>
  <dimension ref="A1:CD238"/>
  <sheetViews>
    <sheetView showGridLines="0" zoomScale="80" zoomScaleNormal="80" zoomScaleSheetLayoutView="40" workbookViewId="0">
      <pane xSplit="5" ySplit="4" topLeftCell="F169" activePane="bottomRight" state="frozen"/>
      <selection activeCell="H1" sqref="H1:Q1048576"/>
      <selection pane="topRight" activeCell="H1" sqref="H1:Q1048576"/>
      <selection pane="bottomLeft" activeCell="H1" sqref="H1:Q1048576"/>
      <selection pane="bottomRight" activeCell="D147" sqref="D147"/>
    </sheetView>
  </sheetViews>
  <sheetFormatPr defaultColWidth="11.44140625" defaultRowHeight="13.8" outlineLevelRow="2" outlineLevelCol="1"/>
  <cols>
    <col min="1" max="1" width="6" style="5" customWidth="1"/>
    <col min="2" max="2" width="15.77734375" style="5" customWidth="1"/>
    <col min="3" max="3" width="4.77734375" style="5" customWidth="1"/>
    <col min="4" max="4" width="11.44140625" style="5"/>
    <col min="5" max="5" width="32.77734375" style="5" customWidth="1"/>
    <col min="6" max="6" width="15.77734375" style="5" bestFit="1" customWidth="1"/>
    <col min="7" max="7" width="15.77734375" style="5" customWidth="1" outlineLevel="1"/>
    <col min="8" max="17" width="15.21875" style="5" customWidth="1"/>
    <col min="18" max="19" width="15.21875" style="5" bestFit="1" customWidth="1"/>
    <col min="20" max="20" width="15.77734375" style="5" bestFit="1" customWidth="1"/>
    <col min="21" max="16384" width="11.44140625" style="5"/>
  </cols>
  <sheetData>
    <row r="1" spans="1:17" s="163" customFormat="1">
      <c r="A1" s="160"/>
      <c r="B1" s="160" t="str">
        <f>+Flags!B1</f>
        <v>[Company name]</v>
      </c>
      <c r="C1" s="161"/>
      <c r="D1" s="161"/>
      <c r="E1" s="161"/>
      <c r="F1" s="162" t="str">
        <f>+Flags!C21</f>
        <v>Period Start date</v>
      </c>
      <c r="G1" s="162"/>
      <c r="H1" s="162">
        <f>+Flags!J21</f>
        <v>44927</v>
      </c>
      <c r="I1" s="162">
        <f t="shared" ref="I1:Q1" si="0">+H2+1</f>
        <v>45292</v>
      </c>
      <c r="J1" s="162">
        <f t="shared" si="0"/>
        <v>45658</v>
      </c>
      <c r="K1" s="162">
        <f t="shared" si="0"/>
        <v>46023</v>
      </c>
      <c r="L1" s="162">
        <f t="shared" si="0"/>
        <v>46388</v>
      </c>
      <c r="M1" s="162">
        <f t="shared" si="0"/>
        <v>46753</v>
      </c>
      <c r="N1" s="162">
        <f t="shared" si="0"/>
        <v>47119</v>
      </c>
      <c r="O1" s="162">
        <f t="shared" si="0"/>
        <v>47484</v>
      </c>
      <c r="P1" s="162">
        <f t="shared" si="0"/>
        <v>47849</v>
      </c>
      <c r="Q1" s="162">
        <f t="shared" si="0"/>
        <v>48214</v>
      </c>
    </row>
    <row r="2" spans="1:17" s="163" customFormat="1">
      <c r="A2" s="160"/>
      <c r="B2" s="160" t="str">
        <f ca="1">RIGHT(CELL("filename",$B$1),LEN(CELL("filename",$B$1))-SEARCH("]",CELL("filename",$B$1)))</f>
        <v>Macro Model (LCY)</v>
      </c>
      <c r="C2" s="161"/>
      <c r="D2" s="161"/>
      <c r="E2" s="161"/>
      <c r="F2" s="162" t="str">
        <f>+Flags!C22</f>
        <v>Period End date</v>
      </c>
      <c r="G2" s="162"/>
      <c r="H2" s="162">
        <f t="shared" ref="H2:M2" si="1">EDATE(H1,_monthsinyear-MONTH(H1)+1)-1</f>
        <v>45291</v>
      </c>
      <c r="I2" s="162">
        <f t="shared" si="1"/>
        <v>45657</v>
      </c>
      <c r="J2" s="162">
        <f t="shared" si="1"/>
        <v>46022</v>
      </c>
      <c r="K2" s="162">
        <f t="shared" si="1"/>
        <v>46387</v>
      </c>
      <c r="L2" s="162">
        <f t="shared" si="1"/>
        <v>46752</v>
      </c>
      <c r="M2" s="162">
        <f t="shared" si="1"/>
        <v>47118</v>
      </c>
      <c r="N2" s="162">
        <f>EDATE(N1,_monthsinyear-MONTH(N1)+1)-1</f>
        <v>47483</v>
      </c>
      <c r="O2" s="162">
        <f>EDATE(O1,_monthsinyear-MONTH(O1)+1)-1</f>
        <v>47848</v>
      </c>
      <c r="P2" s="162">
        <f>EDATE(P1,_monthsinyear-MONTH(P1)+1)-1</f>
        <v>48213</v>
      </c>
      <c r="Q2" s="162">
        <f>EDATE(Q1,_monthsinyear-MONTH(Q1)+1)-1</f>
        <v>48579</v>
      </c>
    </row>
    <row r="3" spans="1:17" s="163" customFormat="1">
      <c r="A3" s="160"/>
      <c r="B3" s="340" t="s">
        <v>72</v>
      </c>
      <c r="C3" s="161"/>
      <c r="D3" s="161"/>
      <c r="E3" s="161"/>
      <c r="F3" s="162" t="str">
        <f>+Flags!C23</f>
        <v>Year Ending</v>
      </c>
      <c r="G3" s="162"/>
      <c r="H3" s="165">
        <f t="shared" ref="H3:M3" si="2">+YEAR(H2)</f>
        <v>2023</v>
      </c>
      <c r="I3" s="165">
        <f t="shared" si="2"/>
        <v>2024</v>
      </c>
      <c r="J3" s="165">
        <f t="shared" si="2"/>
        <v>2025</v>
      </c>
      <c r="K3" s="165">
        <f t="shared" si="2"/>
        <v>2026</v>
      </c>
      <c r="L3" s="165">
        <f t="shared" si="2"/>
        <v>2027</v>
      </c>
      <c r="M3" s="165">
        <f t="shared" si="2"/>
        <v>2028</v>
      </c>
      <c r="N3" s="165">
        <f>+YEAR(N2)</f>
        <v>2029</v>
      </c>
      <c r="O3" s="165">
        <f>+YEAR(O2)</f>
        <v>2030</v>
      </c>
      <c r="P3" s="165">
        <f>+YEAR(P2)</f>
        <v>2031</v>
      </c>
      <c r="Q3" s="165">
        <f>+YEAR(Q2)</f>
        <v>2032</v>
      </c>
    </row>
    <row r="4" spans="1:17" s="163" customFormat="1">
      <c r="A4" s="160"/>
      <c r="B4" s="544" t="str">
        <f ca="1">IF(MasterCheck=0,"All checks are OK","There are "&amp;MasterCheck&amp;" errors!")</f>
        <v>All checks are OK</v>
      </c>
      <c r="C4" s="161"/>
      <c r="D4" s="161"/>
      <c r="E4" s="161"/>
      <c r="F4" s="162"/>
      <c r="G4" s="162"/>
      <c r="H4" s="165"/>
      <c r="I4" s="165"/>
      <c r="J4" s="165"/>
      <c r="K4" s="165"/>
      <c r="L4" s="165"/>
      <c r="M4" s="165"/>
    </row>
    <row r="5" spans="1:17">
      <c r="B5" s="6"/>
      <c r="H5" s="341"/>
      <c r="I5" s="341"/>
      <c r="J5" s="341"/>
      <c r="K5" s="341"/>
      <c r="L5" s="341"/>
      <c r="M5" s="341"/>
    </row>
    <row r="6" spans="1:17">
      <c r="B6" s="6" t="s">
        <v>310</v>
      </c>
      <c r="C6" s="430" t="str">
        <f>'Model Assumptions'!F72</f>
        <v>Growth - base</v>
      </c>
      <c r="G6" s="62"/>
      <c r="H6" s="341"/>
      <c r="I6" s="341"/>
      <c r="J6" s="341"/>
      <c r="K6" s="341"/>
      <c r="L6" s="341"/>
      <c r="M6" s="341"/>
    </row>
    <row r="7" spans="1:17">
      <c r="B7" s="6"/>
      <c r="C7" s="430" t="str">
        <f>'Model Assumptions'!F79</f>
        <v>Collection - base</v>
      </c>
      <c r="H7" s="341"/>
      <c r="I7" s="341"/>
      <c r="J7" s="341"/>
      <c r="K7" s="341"/>
      <c r="L7" s="341"/>
      <c r="M7" s="341"/>
    </row>
    <row r="8" spans="1:17">
      <c r="B8" s="6"/>
      <c r="C8" s="430" t="str">
        <f>'Model Assumptions'!F82</f>
        <v>Churn - base</v>
      </c>
      <c r="H8" s="341"/>
      <c r="I8" s="341"/>
      <c r="J8" s="341"/>
      <c r="K8" s="341"/>
      <c r="L8" s="341"/>
      <c r="M8" s="341"/>
    </row>
    <row r="9" spans="1:17">
      <c r="B9" s="6"/>
      <c r="C9" s="430" t="str">
        <f>'Model Assumptions'!F95</f>
        <v>Opex - base</v>
      </c>
      <c r="H9" s="341"/>
      <c r="I9" s="341"/>
      <c r="J9" s="341"/>
      <c r="K9" s="341"/>
      <c r="L9" s="341"/>
      <c r="M9" s="341"/>
    </row>
    <row r="10" spans="1:17">
      <c r="B10" s="6"/>
      <c r="C10" s="430"/>
      <c r="H10" s="341"/>
      <c r="I10" s="341"/>
      <c r="J10" s="341"/>
      <c r="K10" s="341"/>
      <c r="L10" s="341"/>
      <c r="M10" s="341"/>
    </row>
    <row r="11" spans="1:17">
      <c r="B11" s="6" t="s">
        <v>24</v>
      </c>
      <c r="H11" s="452"/>
      <c r="I11" s="452"/>
      <c r="J11" s="452"/>
      <c r="K11" s="452"/>
      <c r="L11" s="452"/>
      <c r="M11" s="452"/>
    </row>
    <row r="12" spans="1:17" outlineLevel="1">
      <c r="C12" s="37" t="s">
        <v>126</v>
      </c>
      <c r="D12" s="85"/>
      <c r="E12" s="85"/>
      <c r="F12" s="85"/>
      <c r="G12" s="85"/>
      <c r="H12" s="453">
        <f>'Detailed Model (LCY)'!J25</f>
        <v>4900</v>
      </c>
      <c r="I12" s="453">
        <f t="shared" ref="I12:Q12" ca="1" si="3">+H18</f>
        <v>8190.9928153308156</v>
      </c>
      <c r="J12" s="453">
        <f t="shared" ca="1" si="3"/>
        <v>12327.884708459393</v>
      </c>
      <c r="K12" s="453">
        <f t="shared" ca="1" si="3"/>
        <v>15762.923085305985</v>
      </c>
      <c r="L12" s="453">
        <f t="shared" ca="1" si="3"/>
        <v>20022.815985137284</v>
      </c>
      <c r="M12" s="453">
        <f t="shared" ca="1" si="3"/>
        <v>25306.305750455482</v>
      </c>
      <c r="N12" s="453">
        <f t="shared" ca="1" si="3"/>
        <v>29610.279032886818</v>
      </c>
      <c r="O12" s="453">
        <f t="shared" ca="1" si="3"/>
        <v>31266.648401197079</v>
      </c>
      <c r="P12" s="453">
        <f t="shared" ca="1" si="3"/>
        <v>31592.294186895429</v>
      </c>
      <c r="Q12" s="453">
        <f t="shared" ca="1" si="3"/>
        <v>31709.926140644358</v>
      </c>
    </row>
    <row r="13" spans="1:17" outlineLevel="1">
      <c r="C13" s="79" t="s">
        <v>5</v>
      </c>
      <c r="D13" s="5" t="s">
        <v>128</v>
      </c>
      <c r="H13" s="452">
        <f>+SUMIF('Detailed Model (LCY)'!$J$4:$XFD$4,'Macro Model (LCY)'!H$3,'Detailed Model (LCY)'!$J26:$XFD26)</f>
        <v>6292.9525004373136</v>
      </c>
      <c r="I13" s="452">
        <f>+SUMIF('Detailed Model (LCY)'!$J$4:$XFD$4,'Macro Model (LCY)'!I$3,'Detailed Model (LCY)'!$J26:$XFD26)</f>
        <v>7980.9853722514781</v>
      </c>
      <c r="J13" s="452">
        <f>+SUMIF('Detailed Model (LCY)'!$J$4:$XFD$4,'Macro Model (LCY)'!J$3,'Detailed Model (LCY)'!$J26:$XFD26)</f>
        <v>10121.81921088164</v>
      </c>
      <c r="K13" s="452">
        <f>+SUMIF('Detailed Model (LCY)'!$J$4:$XFD$4,'Macro Model (LCY)'!K$3,'Detailed Model (LCY)'!$J26:$XFD26)</f>
        <v>12836.914160246177</v>
      </c>
      <c r="L13" s="452">
        <f>+SUMIF('Detailed Model (LCY)'!$J$4:$XFD$4,'Macro Model (LCY)'!L$3,'Detailed Model (LCY)'!$J26:$XFD26)</f>
        <v>16280.311051235967</v>
      </c>
      <c r="M13" s="452">
        <f>+SUMIF('Detailed Model (LCY)'!$J$4:$XFD$4,'Macro Model (LCY)'!M$3,'Detailed Model (LCY)'!$J26:$XFD26)</f>
        <v>18111.289951777089</v>
      </c>
      <c r="N13" s="452">
        <f>+SUMIF('Detailed Model (LCY)'!$J$4:$XFD$4,'Macro Model (LCY)'!N$3,'Detailed Model (LCY)'!$J26:$XFD26)</f>
        <v>18111.289951777089</v>
      </c>
      <c r="O13" s="452">
        <f>+SUMIF('Detailed Model (LCY)'!$J$4:$XFD$4,'Macro Model (LCY)'!O$3,'Detailed Model (LCY)'!$J26:$XFD26)</f>
        <v>18111.289951777089</v>
      </c>
      <c r="P13" s="452">
        <f>+SUMIF('Detailed Model (LCY)'!$J$4:$XFD$4,'Macro Model (LCY)'!P$3,'Detailed Model (LCY)'!$J26:$XFD26)</f>
        <v>18111.289951777089</v>
      </c>
      <c r="Q13" s="452">
        <f>+SUMIF('Detailed Model (LCY)'!$J$4:$XFD$4,'Macro Model (LCY)'!Q$3,'Detailed Model (LCY)'!$J26:$XFD26)</f>
        <v>18111.289951777089</v>
      </c>
    </row>
    <row r="14" spans="1:17" outlineLevel="1">
      <c r="C14" s="8" t="s">
        <v>5</v>
      </c>
      <c r="D14" s="5" t="s">
        <v>129</v>
      </c>
      <c r="H14" s="452">
        <f ca="1">+SUMIF('Detailed Model (LCY)'!$J$4:$XFD$4,'Macro Model (LCY)'!H$3,'Detailed Model (LCY)'!$J27:$XFD27)</f>
        <v>234.08901094515679</v>
      </c>
      <c r="I14" s="452">
        <f ca="1">+SUMIF('Detailed Model (LCY)'!$J$4:$XFD$4,'Macro Model (LCY)'!I$3,'Detailed Model (LCY)'!$J27:$XFD27)</f>
        <v>274.56769419935131</v>
      </c>
      <c r="J14" s="452">
        <f ca="1">+SUMIF('Detailed Model (LCY)'!$J$4:$XFD$4,'Macro Model (LCY)'!J$3,'Detailed Model (LCY)'!$J27:$XFD27)</f>
        <v>533.75823001194362</v>
      </c>
      <c r="K14" s="452">
        <f ca="1">+SUMIF('Detailed Model (LCY)'!$J$4:$XFD$4,'Macro Model (LCY)'!K$3,'Detailed Model (LCY)'!$J27:$XFD27)</f>
        <v>686.92942168354193</v>
      </c>
      <c r="L14" s="452">
        <f ca="1">+SUMIF('Detailed Model (LCY)'!$J$4:$XFD$4,'Macro Model (LCY)'!L$3,'Detailed Model (LCY)'!$J27:$XFD27)</f>
        <v>884.68597321286654</v>
      </c>
      <c r="M14" s="452">
        <f ca="1">+SUMIF('Detailed Model (LCY)'!$J$4:$XFD$4,'Macro Model (LCY)'!M$3,'Detailed Model (LCY)'!$J27:$XFD27)</f>
        <v>1123.4467003292332</v>
      </c>
      <c r="N14" s="452">
        <f ca="1">+SUMIF('Detailed Model (LCY)'!$J$4:$XFD$4,'Macro Model (LCY)'!N$3,'Detailed Model (LCY)'!$J27:$XFD27)</f>
        <v>1376.9951976522684</v>
      </c>
      <c r="O14" s="452">
        <f ca="1">+SUMIF('Detailed Model (LCY)'!$J$4:$XFD$4,'Macro Model (LCY)'!O$3,'Detailed Model (LCY)'!$J27:$XFD27)</f>
        <v>1513.2185455262779</v>
      </c>
      <c r="P14" s="452">
        <f ca="1">+SUMIF('Detailed Model (LCY)'!$J$4:$XFD$4,'Macro Model (LCY)'!P$3,'Detailed Model (LCY)'!$J27:$XFD27)</f>
        <v>1533.4004765899845</v>
      </c>
      <c r="Q14" s="452">
        <f ca="1">+SUMIF('Detailed Model (LCY)'!$J$4:$XFD$4,'Macro Model (LCY)'!Q$3,'Detailed Model (LCY)'!$J27:$XFD27)</f>
        <v>1543.8328856845715</v>
      </c>
    </row>
    <row r="15" spans="1:17" outlineLevel="1">
      <c r="C15" s="8" t="s">
        <v>6</v>
      </c>
      <c r="D15" s="5" t="s">
        <v>130</v>
      </c>
      <c r="H15" s="452">
        <f ca="1">+SUMIF('Detailed Model (LCY)'!$J$4:$XFD$4,'Macro Model (LCY)'!H$3,'Detailed Model (LCY)'!$J28:$XFD28)</f>
        <v>2477.6934246784658</v>
      </c>
      <c r="I15" s="452">
        <f ca="1">+SUMIF('Detailed Model (LCY)'!$J$4:$XFD$4,'Macro Model (LCY)'!I$3,'Detailed Model (LCY)'!$J28:$XFD28)</f>
        <v>2919.1766239989797</v>
      </c>
      <c r="J15" s="452">
        <f ca="1">+SUMIF('Detailed Model (LCY)'!$J$4:$XFD$4,'Macro Model (LCY)'!J$3,'Detailed Model (LCY)'!$J28:$XFD28)</f>
        <v>5557.6218481820815</v>
      </c>
      <c r="K15" s="452">
        <f ca="1">+SUMIF('Detailed Model (LCY)'!$J$4:$XFD$4,'Macro Model (LCY)'!K$3,'Detailed Model (LCY)'!$J28:$XFD28)</f>
        <v>7148.3575681451184</v>
      </c>
      <c r="L15" s="452">
        <f ca="1">+SUMIF('Detailed Model (LCY)'!$J$4:$XFD$4,'Macro Model (LCY)'!L$3,'Detailed Model (LCY)'!$J28:$XFD28)</f>
        <v>9200.7795375903152</v>
      </c>
      <c r="M15" s="452">
        <f ca="1">+SUMIF('Detailed Model (LCY)'!$J$4:$XFD$4,'Macro Model (LCY)'!M$3,'Detailed Model (LCY)'!$J28:$XFD28)</f>
        <v>11628.190697896182</v>
      </c>
      <c r="N15" s="452">
        <f ca="1">+SUMIF('Detailed Model (LCY)'!$J$4:$XFD$4,'Macro Model (LCY)'!N$3,'Detailed Model (LCY)'!$J28:$XFD28)</f>
        <v>14163.67567112653</v>
      </c>
      <c r="O15" s="452">
        <f ca="1">+SUMIF('Detailed Model (LCY)'!$J$4:$XFD$4,'Macro Model (LCY)'!O$3,'Detailed Model (LCY)'!$J28:$XFD28)</f>
        <v>15525.909149866628</v>
      </c>
      <c r="P15" s="452">
        <f ca="1">+SUMIF('Detailed Model (LCY)'!$J$4:$XFD$4,'Macro Model (LCY)'!P$3,'Detailed Model (LCY)'!$J28:$XFD28)</f>
        <v>15727.728460503693</v>
      </c>
      <c r="Q15" s="452">
        <f ca="1">+SUMIF('Detailed Model (LCY)'!$J$4:$XFD$4,'Macro Model (LCY)'!Q$3,'Detailed Model (LCY)'!$J28:$XFD28)</f>
        <v>15832.052551449564</v>
      </c>
    </row>
    <row r="16" spans="1:17" outlineLevel="1">
      <c r="C16" s="8" t="s">
        <v>6</v>
      </c>
      <c r="D16" s="5" t="s">
        <v>131</v>
      </c>
      <c r="H16" s="452">
        <f ca="1">+SUMIF('Detailed Model (LCY)'!$J$4:$XFD$4,'Macro Model (LCY)'!H$3,'Detailed Model (LCY)'!$J29:$XFD29)</f>
        <v>455.01316282391127</v>
      </c>
      <c r="I16" s="452">
        <f ca="1">+SUMIF('Detailed Model (LCY)'!$J$4:$XFD$4,'Macro Model (LCY)'!I$3,'Detailed Model (LCY)'!$J29:$XFD29)</f>
        <v>719.69072959396317</v>
      </c>
      <c r="J16" s="452">
        <f ca="1">+SUMIF('Detailed Model (LCY)'!$J$4:$XFD$4,'Macro Model (LCY)'!J$3,'Detailed Model (LCY)'!$J29:$XFD29)</f>
        <v>997.75032951894843</v>
      </c>
      <c r="K16" s="452">
        <f ca="1">+SUMIF('Detailed Model (LCY)'!$J$4:$XFD$4,'Macro Model (LCY)'!K$3,'Detailed Model (LCY)'!$J29:$XFD29)</f>
        <v>1269.3558683719812</v>
      </c>
      <c r="L16" s="452">
        <f ca="1">+SUMIF('Detailed Model (LCY)'!$J$4:$XFD$4,'Macro Model (LCY)'!L$3,'Detailed Model (LCY)'!$J29:$XFD29)</f>
        <v>1608.4366329241891</v>
      </c>
      <c r="M16" s="452">
        <f ca="1">+SUMIF('Detailed Model (LCY)'!$J$4:$XFD$4,'Macro Model (LCY)'!M$3,'Detailed Model (LCY)'!$J29:$XFD29)</f>
        <v>1981.5436030672877</v>
      </c>
      <c r="N16" s="452">
        <f ca="1">+SUMIF('Detailed Model (LCY)'!$J$4:$XFD$4,'Macro Model (LCY)'!N$3,'Detailed Model (LCY)'!$J29:$XFD29)</f>
        <v>2200.9440659955399</v>
      </c>
      <c r="O16" s="452">
        <f ca="1">+SUMIF('Detailed Model (LCY)'!$J$4:$XFD$4,'Macro Model (LCY)'!O$3,'Detailed Model (LCY)'!$J29:$XFD29)</f>
        <v>2263.7721370430277</v>
      </c>
      <c r="P16" s="452">
        <f ca="1">+SUMIF('Detailed Model (LCY)'!$J$4:$XFD$4,'Macro Model (LCY)'!P$3,'Detailed Model (LCY)'!$J29:$XFD29)</f>
        <v>2279.5980084686744</v>
      </c>
      <c r="Q16" s="452">
        <f ca="1">+SUMIF('Detailed Model (LCY)'!$J$4:$XFD$4,'Macro Model (LCY)'!Q$3,'Detailed Model (LCY)'!$J29:$XFD29)</f>
        <v>2283.8594287458145</v>
      </c>
    </row>
    <row r="17" spans="2:17" outlineLevel="1">
      <c r="C17" s="8" t="s">
        <v>6</v>
      </c>
      <c r="D17" s="5" t="s">
        <v>132</v>
      </c>
      <c r="H17" s="452">
        <f ca="1">+SUMIF('Detailed Model (LCY)'!$J$4:$XFD$4,'Macro Model (LCY)'!H$3,'Detailed Model (LCY)'!$J30:$XFD30)</f>
        <v>303.34210854927414</v>
      </c>
      <c r="I17" s="452">
        <f ca="1">+SUMIF('Detailed Model (LCY)'!$J$4:$XFD$4,'Macro Model (LCY)'!I$3,'Detailed Model (LCY)'!$J30:$XFD30)</f>
        <v>479.79381972930884</v>
      </c>
      <c r="J17" s="452">
        <f ca="1">+SUMIF('Detailed Model (LCY)'!$J$4:$XFD$4,'Macro Model (LCY)'!J$3,'Detailed Model (LCY)'!$J30:$XFD30)</f>
        <v>665.16688634596562</v>
      </c>
      <c r="K17" s="452">
        <f ca="1">+SUMIF('Detailed Model (LCY)'!$J$4:$XFD$4,'Macro Model (LCY)'!K$3,'Detailed Model (LCY)'!$J30:$XFD30)</f>
        <v>846.23724558132074</v>
      </c>
      <c r="L17" s="452">
        <f ca="1">+SUMIF('Detailed Model (LCY)'!$J$4:$XFD$4,'Macro Model (LCY)'!L$3,'Detailed Model (LCY)'!$J30:$XFD30)</f>
        <v>1072.291088616126</v>
      </c>
      <c r="M17" s="452">
        <f ca="1">+SUMIF('Detailed Model (LCY)'!$J$4:$XFD$4,'Macro Model (LCY)'!M$3,'Detailed Model (LCY)'!$J30:$XFD30)</f>
        <v>1321.0290687115253</v>
      </c>
      <c r="N17" s="452">
        <f ca="1">+SUMIF('Detailed Model (LCY)'!$J$4:$XFD$4,'Macro Model (LCY)'!N$3,'Detailed Model (LCY)'!$J30:$XFD30)</f>
        <v>1467.2960439970268</v>
      </c>
      <c r="O17" s="452">
        <f ca="1">+SUMIF('Detailed Model (LCY)'!$J$4:$XFD$4,'Macro Model (LCY)'!O$3,'Detailed Model (LCY)'!$J30:$XFD30)</f>
        <v>1509.1814246953522</v>
      </c>
      <c r="P17" s="452">
        <f ca="1">+SUMIF('Detailed Model (LCY)'!$J$4:$XFD$4,'Macro Model (LCY)'!P$3,'Detailed Model (LCY)'!$J30:$XFD30)</f>
        <v>1519.7320056457829</v>
      </c>
      <c r="Q17" s="452">
        <f ca="1">+SUMIF('Detailed Model (LCY)'!$J$4:$XFD$4,'Macro Model (LCY)'!Q$3,'Detailed Model (LCY)'!$J30:$XFD30)</f>
        <v>1522.5729524972096</v>
      </c>
    </row>
    <row r="18" spans="2:17" ht="14.4" outlineLevel="1" thickBot="1">
      <c r="C18" s="77" t="s">
        <v>127</v>
      </c>
      <c r="D18" s="77"/>
      <c r="E18" s="77"/>
      <c r="F18" s="331"/>
      <c r="G18" s="331"/>
      <c r="H18" s="455">
        <f ca="1">INDEX('Detailed Model (LCY)'!$C$2:$DY$322,MATCH('Macro Model (LCY)'!$C18,'Detailed Model (LCY)'!$C$2:$C$322,0),MATCH('Macro Model (LCY)'!H$2,'Detailed Model (LCY)'!$C$2:$DY$2,0))</f>
        <v>8190.9928153308156</v>
      </c>
      <c r="I18" s="455">
        <f ca="1">INDEX('Detailed Model (LCY)'!$C$2:$DY$322,MATCH('Macro Model (LCY)'!$C18,'Detailed Model (LCY)'!$C$2:$C$322,0),MATCH('Macro Model (LCY)'!I$2,'Detailed Model (LCY)'!$C$2:$DY$2,0))</f>
        <v>12327.884708459393</v>
      </c>
      <c r="J18" s="455">
        <f ca="1">INDEX('Detailed Model (LCY)'!$C$2:$DY$322,MATCH('Macro Model (LCY)'!$C18,'Detailed Model (LCY)'!$C$2:$C$322,0),MATCH('Macro Model (LCY)'!J$2,'Detailed Model (LCY)'!$C$2:$DY$2,0))</f>
        <v>15762.923085305985</v>
      </c>
      <c r="K18" s="455">
        <f ca="1">INDEX('Detailed Model (LCY)'!$C$2:$DY$322,MATCH('Macro Model (LCY)'!$C18,'Detailed Model (LCY)'!$C$2:$C$322,0),MATCH('Macro Model (LCY)'!K$2,'Detailed Model (LCY)'!$C$2:$DY$2,0))</f>
        <v>20022.815985137284</v>
      </c>
      <c r="L18" s="455">
        <f ca="1">INDEX('Detailed Model (LCY)'!$C$2:$DY$322,MATCH('Macro Model (LCY)'!$C18,'Detailed Model (LCY)'!$C$2:$C$322,0),MATCH('Macro Model (LCY)'!L$2,'Detailed Model (LCY)'!$C$2:$DY$2,0))</f>
        <v>25306.305750455482</v>
      </c>
      <c r="M18" s="455">
        <f ca="1">INDEX('Detailed Model (LCY)'!$C$2:$DY$322,MATCH('Macro Model (LCY)'!$C18,'Detailed Model (LCY)'!$C$2:$C$322,0),MATCH('Macro Model (LCY)'!M$2,'Detailed Model (LCY)'!$C$2:$DY$2,0))</f>
        <v>29610.279032886818</v>
      </c>
      <c r="N18" s="455">
        <f ca="1">INDEX('Detailed Model (LCY)'!$C$2:$DY$322,MATCH('Macro Model (LCY)'!$C18,'Detailed Model (LCY)'!$C$2:$C$322,0),MATCH('Macro Model (LCY)'!N$2,'Detailed Model (LCY)'!$C$2:$DY$2,0))</f>
        <v>31266.648401197079</v>
      </c>
      <c r="O18" s="455">
        <f ca="1">INDEX('Detailed Model (LCY)'!$C$2:$DY$322,MATCH('Macro Model (LCY)'!$C18,'Detailed Model (LCY)'!$C$2:$C$322,0),MATCH('Macro Model (LCY)'!O$2,'Detailed Model (LCY)'!$C$2:$DY$2,0))</f>
        <v>31592.294186895429</v>
      </c>
      <c r="P18" s="455">
        <f ca="1">INDEX('Detailed Model (LCY)'!$C$2:$DY$322,MATCH('Macro Model (LCY)'!$C18,'Detailed Model (LCY)'!$C$2:$C$322,0),MATCH('Macro Model (LCY)'!P$2,'Detailed Model (LCY)'!$C$2:$DY$2,0))</f>
        <v>31709.926140644358</v>
      </c>
      <c r="Q18" s="455">
        <f ca="1">INDEX('Detailed Model (LCY)'!$C$2:$DY$322,MATCH('Macro Model (LCY)'!$C18,'Detailed Model (LCY)'!$C$2:$C$322,0),MATCH('Macro Model (LCY)'!Q$2,'Detailed Model (LCY)'!$C$2:$DY$2,0))</f>
        <v>31726.564045413419</v>
      </c>
    </row>
    <row r="19" spans="2:17" ht="14.4" outlineLevel="1" thickTop="1">
      <c r="H19" s="452"/>
      <c r="I19" s="452"/>
      <c r="J19" s="452"/>
      <c r="K19" s="452"/>
      <c r="L19" s="452"/>
      <c r="M19" s="452"/>
      <c r="N19" s="452"/>
      <c r="O19" s="452"/>
      <c r="P19" s="452"/>
      <c r="Q19" s="452"/>
    </row>
    <row r="20" spans="2:17" outlineLevel="1">
      <c r="C20" s="5" t="s">
        <v>138</v>
      </c>
      <c r="H20" s="452">
        <f t="shared" ref="H20:M20" ca="1" si="4">+H13+H14</f>
        <v>6527.0415113824702</v>
      </c>
      <c r="I20" s="452">
        <f t="shared" ca="1" si="4"/>
        <v>8255.5530664508296</v>
      </c>
      <c r="J20" s="452">
        <f t="shared" ca="1" si="4"/>
        <v>10655.577440893583</v>
      </c>
      <c r="K20" s="452">
        <f t="shared" ca="1" si="4"/>
        <v>13523.843581929719</v>
      </c>
      <c r="L20" s="452">
        <f t="shared" ca="1" si="4"/>
        <v>17164.997024448832</v>
      </c>
      <c r="M20" s="452">
        <f t="shared" ca="1" si="4"/>
        <v>19234.736652106323</v>
      </c>
      <c r="N20" s="452">
        <f ca="1">+N13+N14</f>
        <v>19488.285149429357</v>
      </c>
      <c r="O20" s="452">
        <f ca="1">+O13+O14</f>
        <v>19624.508497303366</v>
      </c>
      <c r="P20" s="452">
        <f ca="1">+P13+P14</f>
        <v>19644.690428367074</v>
      </c>
      <c r="Q20" s="452">
        <f ca="1">+Q13+Q14</f>
        <v>19655.122837461662</v>
      </c>
    </row>
    <row r="21" spans="2:17" outlineLevel="1">
      <c r="C21" s="5" t="s">
        <v>141</v>
      </c>
      <c r="H21" s="452">
        <f ca="1">INDEX('Detailed Model (LCY)'!$C$2:$DY$322,MATCH('Macro Model (LCY)'!$C21,'Detailed Model (LCY)'!$C$2:$C$322,0),MATCH('Macro Model (LCY)'!H$2,'Detailed Model (LCY)'!$C$2:$DY$2,0))</f>
        <v>15527.041511382471</v>
      </c>
      <c r="I21" s="452">
        <f ca="1">INDEX('Detailed Model (LCY)'!$C$2:$DY$322,MATCH('Macro Model (LCY)'!$C21,'Detailed Model (LCY)'!$C$2:$C$322,0),MATCH('Macro Model (LCY)'!I$2,'Detailed Model (LCY)'!$C$2:$DY$2,0))</f>
        <v>23782.594577833301</v>
      </c>
      <c r="J21" s="452">
        <f ca="1">INDEX('Detailed Model (LCY)'!$C$2:$DY$322,MATCH('Macro Model (LCY)'!$C21,'Detailed Model (LCY)'!$C$2:$C$322,0),MATCH('Macro Model (LCY)'!J$2,'Detailed Model (LCY)'!$C$2:$DY$2,0))</f>
        <v>34438.17201872688</v>
      </c>
      <c r="K21" s="452">
        <f ca="1">INDEX('Detailed Model (LCY)'!$C$2:$DY$322,MATCH('Macro Model (LCY)'!$C21,'Detailed Model (LCY)'!$C$2:$C$322,0),MATCH('Macro Model (LCY)'!K$2,'Detailed Model (LCY)'!$C$2:$DY$2,0))</f>
        <v>47962.015600656596</v>
      </c>
      <c r="L21" s="452">
        <f ca="1">INDEX('Detailed Model (LCY)'!$C$2:$DY$322,MATCH('Macro Model (LCY)'!$C21,'Detailed Model (LCY)'!$C$2:$C$322,0),MATCH('Macro Model (LCY)'!L$2,'Detailed Model (LCY)'!$C$2:$DY$2,0))</f>
        <v>65127.012625105432</v>
      </c>
      <c r="M21" s="452">
        <f ca="1">INDEX('Detailed Model (LCY)'!$C$2:$DY$322,MATCH('Macro Model (LCY)'!$C21,'Detailed Model (LCY)'!$C$2:$C$322,0),MATCH('Macro Model (LCY)'!M$2,'Detailed Model (LCY)'!$C$2:$DY$2,0))</f>
        <v>84361.74927721174</v>
      </c>
      <c r="N21" s="452">
        <f ca="1">INDEX('Detailed Model (LCY)'!$C$2:$DY$322,MATCH('Macro Model (LCY)'!$C21,'Detailed Model (LCY)'!$C$2:$C$322,0),MATCH('Macro Model (LCY)'!N$2,'Detailed Model (LCY)'!$C$2:$DY$2,0))</f>
        <v>103850.0344266411</v>
      </c>
      <c r="O21" s="452">
        <f ca="1">INDEX('Detailed Model (LCY)'!$C$2:$DY$322,MATCH('Macro Model (LCY)'!$C21,'Detailed Model (LCY)'!$C$2:$C$322,0),MATCH('Macro Model (LCY)'!O$2,'Detailed Model (LCY)'!$C$2:$DY$2,0))</f>
        <v>123474.54292394448</v>
      </c>
      <c r="P21" s="452">
        <f ca="1">INDEX('Detailed Model (LCY)'!$C$2:$DY$322,MATCH('Macro Model (LCY)'!$C21,'Detailed Model (LCY)'!$C$2:$C$322,0),MATCH('Macro Model (LCY)'!P$2,'Detailed Model (LCY)'!$C$2:$DY$2,0))</f>
        <v>143119.23335231157</v>
      </c>
      <c r="Q21" s="452">
        <f ca="1">INDEX('Detailed Model (LCY)'!$C$2:$DY$322,MATCH('Macro Model (LCY)'!$C21,'Detailed Model (LCY)'!$C$2:$C$322,0),MATCH('Macro Model (LCY)'!Q$2,'Detailed Model (LCY)'!$C$2:$DY$2,0))</f>
        <v>162774.35618977324</v>
      </c>
    </row>
    <row r="22" spans="2:17" outlineLevel="1">
      <c r="B22" s="6"/>
      <c r="C22" s="62" t="s">
        <v>88</v>
      </c>
      <c r="D22" s="62"/>
      <c r="E22" s="62"/>
      <c r="H22" s="456">
        <f>'Model Assumptions'!G80</f>
        <v>0.85</v>
      </c>
      <c r="I22" s="456">
        <f>'Model Assumptions'!H80</f>
        <v>0.85</v>
      </c>
      <c r="J22" s="456">
        <f>'Model Assumptions'!I80</f>
        <v>0.85</v>
      </c>
      <c r="K22" s="456">
        <f>'Model Assumptions'!J80</f>
        <v>0.85</v>
      </c>
      <c r="L22" s="456">
        <f>'Model Assumptions'!K80</f>
        <v>0.85</v>
      </c>
      <c r="M22" s="456">
        <f>'Model Assumptions'!L80</f>
        <v>0.85</v>
      </c>
      <c r="N22" s="456">
        <f>'Model Assumptions'!M80</f>
        <v>0.85</v>
      </c>
      <c r="O22" s="456">
        <f>'Model Assumptions'!N80</f>
        <v>0.85</v>
      </c>
      <c r="P22" s="456">
        <f>'Model Assumptions'!O80</f>
        <v>0.85</v>
      </c>
      <c r="Q22" s="456">
        <f>'Model Assumptions'!P80</f>
        <v>0.85</v>
      </c>
    </row>
    <row r="23" spans="2:17" outlineLevel="1">
      <c r="B23" s="6"/>
      <c r="H23" s="452"/>
      <c r="I23" s="452"/>
      <c r="J23" s="452"/>
      <c r="K23" s="452"/>
      <c r="L23" s="452"/>
      <c r="M23" s="452"/>
    </row>
    <row r="24" spans="2:17" outlineLevel="1">
      <c r="B24" s="6"/>
      <c r="H24" s="452"/>
      <c r="I24" s="452"/>
      <c r="J24" s="452"/>
      <c r="K24" s="452"/>
      <c r="L24" s="452"/>
      <c r="M24" s="452"/>
    </row>
    <row r="25" spans="2:17">
      <c r="B25" s="6"/>
      <c r="H25" s="452"/>
      <c r="I25" s="452"/>
      <c r="J25" s="452"/>
      <c r="K25" s="452"/>
      <c r="L25" s="452"/>
      <c r="M25" s="452"/>
    </row>
    <row r="26" spans="2:17">
      <c r="B26" s="6" t="s">
        <v>175</v>
      </c>
      <c r="H26" s="452"/>
      <c r="I26" s="452"/>
      <c r="J26" s="452"/>
      <c r="K26" s="452"/>
      <c r="L26" s="452"/>
      <c r="M26" s="452"/>
    </row>
    <row r="27" spans="2:17" outlineLevel="1">
      <c r="B27" s="6"/>
      <c r="H27" s="457"/>
      <c r="I27" s="452"/>
      <c r="J27" s="452"/>
      <c r="K27" s="452"/>
      <c r="L27" s="452"/>
      <c r="M27" s="457"/>
    </row>
    <row r="28" spans="2:17" outlineLevel="2">
      <c r="B28" s="6"/>
      <c r="C28" s="5" t="str">
        <f>+'Detailed Model (LCY)'!C101</f>
        <v>Product 1</v>
      </c>
      <c r="D28" s="30"/>
      <c r="E28" s="30"/>
      <c r="H28" s="452">
        <f ca="1">+SUMIF('Detailed Model (LCY)'!$J$4:$XFD$4,'Macro Model (LCY)'!H$3,'Detailed Model (LCY)'!$J101:$XFD101)</f>
        <v>273606.63045379624</v>
      </c>
      <c r="I28" s="452">
        <f ca="1">+SUMIF('Detailed Model (LCY)'!$J$4:$XFD$4,'Macro Model (LCY)'!I$3,'Detailed Model (LCY)'!$J101:$XFD101)</f>
        <v>346999.36401093373</v>
      </c>
      <c r="J28" s="452">
        <f ca="1">+SUMIF('Detailed Model (LCY)'!$J$4:$XFD$4,'Macro Model (LCY)'!J$3,'Detailed Model (LCY)'!$J101:$XFD101)</f>
        <v>440079.09612528869</v>
      </c>
      <c r="K28" s="452">
        <f ca="1">+SUMIF('Detailed Model (LCY)'!$J$4:$XFD$4,'Macro Model (LCY)'!K$3,'Detailed Model (LCY)'!$J101:$XFD101)</f>
        <v>558126.70261939906</v>
      </c>
      <c r="L28" s="452">
        <f ca="1">+SUMIF('Detailed Model (LCY)'!$J$4:$XFD$4,'Macro Model (LCY)'!L$3,'Detailed Model (LCY)'!$J101:$XFD101)</f>
        <v>707839.61092330259</v>
      </c>
      <c r="M28" s="452">
        <f ca="1">+SUMIF('Detailed Model (LCY)'!$J$4:$XFD$4,'Macro Model (LCY)'!M$3,'Detailed Model (LCY)'!$J101:$XFD101)</f>
        <v>787447.38920769934</v>
      </c>
      <c r="N28" s="452">
        <f ca="1">+SUMIF('Detailed Model (LCY)'!$J$4:$XFD$4,'Macro Model (LCY)'!N$3,'Detailed Model (LCY)'!$J101:$XFD101)</f>
        <v>787447.38920769934</v>
      </c>
      <c r="O28" s="452">
        <f ca="1">+SUMIF('Detailed Model (LCY)'!$J$4:$XFD$4,'Macro Model (LCY)'!O$3,'Detailed Model (LCY)'!$J101:$XFD101)</f>
        <v>787447.38920769934</v>
      </c>
      <c r="P28" s="452">
        <f ca="1">+SUMIF('Detailed Model (LCY)'!$J$4:$XFD$4,'Macro Model (LCY)'!P$3,'Detailed Model (LCY)'!$J101:$XFD101)</f>
        <v>787447.38920769934</v>
      </c>
      <c r="Q28" s="452">
        <f ca="1">+SUMIF('Detailed Model (LCY)'!$J$4:$XFD$4,'Macro Model (LCY)'!Q$3,'Detailed Model (LCY)'!$J101:$XFD101)</f>
        <v>787447.38920769934</v>
      </c>
    </row>
    <row r="29" spans="2:17" outlineLevel="2">
      <c r="B29" s="6"/>
      <c r="C29" s="5" t="str">
        <f>+'Detailed Model (LCY)'!C102</f>
        <v>Product 2</v>
      </c>
      <c r="D29" s="30"/>
      <c r="E29" s="30"/>
      <c r="H29" s="452">
        <f ca="1">+SUMIF('Detailed Model (LCY)'!$J$4:$XFD$4,'Macro Model (LCY)'!H$3,'Detailed Model (LCY)'!$J102:$XFD102)</f>
        <v>11328447.097348403</v>
      </c>
      <c r="I29" s="452">
        <f ca="1">+SUMIF('Detailed Model (LCY)'!$J$4:$XFD$4,'Macro Model (LCY)'!I$3,'Detailed Model (LCY)'!$J102:$XFD102)</f>
        <v>15254968.781810824</v>
      </c>
      <c r="J29" s="452">
        <f ca="1">+SUMIF('Detailed Model (LCY)'!$J$4:$XFD$4,'Macro Model (LCY)'!J$3,'Detailed Model (LCY)'!$J102:$XFD102)</f>
        <v>19300456.317872331</v>
      </c>
      <c r="K29" s="452">
        <f ca="1">+SUMIF('Detailed Model (LCY)'!$J$4:$XFD$4,'Macro Model (LCY)'!K$3,'Detailed Model (LCY)'!$J102:$XFD102)</f>
        <v>24362525.659265898</v>
      </c>
      <c r="L29" s="452">
        <f ca="1">+SUMIF('Detailed Model (LCY)'!$J$4:$XFD$4,'Macro Model (LCY)'!L$3,'Detailed Model (LCY)'!$J102:$XFD102)</f>
        <v>30788984.838204913</v>
      </c>
      <c r="M29" s="452">
        <f ca="1">+SUMIF('Detailed Model (LCY)'!$J$4:$XFD$4,'Macro Model (LCY)'!M$3,'Detailed Model (LCY)'!$J102:$XFD102)</f>
        <v>36979603.026626043</v>
      </c>
      <c r="N29" s="452">
        <f ca="1">+SUMIF('Detailed Model (LCY)'!$J$4:$XFD$4,'Macro Model (LCY)'!N$3,'Detailed Model (LCY)'!$J102:$XFD102)</f>
        <v>38600347.646232463</v>
      </c>
      <c r="O29" s="452">
        <f ca="1">+SUMIF('Detailed Model (LCY)'!$J$4:$XFD$4,'Macro Model (LCY)'!O$3,'Detailed Model (LCY)'!$J102:$XFD102)</f>
        <v>38723622.15374022</v>
      </c>
      <c r="P29" s="452">
        <f ca="1">+SUMIF('Detailed Model (LCY)'!$J$4:$XFD$4,'Macro Model (LCY)'!P$3,'Detailed Model (LCY)'!$J102:$XFD102)</f>
        <v>38716479.316170089</v>
      </c>
      <c r="Q29" s="452">
        <f ca="1">+SUMIF('Detailed Model (LCY)'!$J$4:$XFD$4,'Macro Model (LCY)'!Q$3,'Detailed Model (LCY)'!$J102:$XFD102)</f>
        <v>38699829.474103726</v>
      </c>
    </row>
    <row r="30" spans="2:17" outlineLevel="2">
      <c r="B30" s="6"/>
      <c r="C30" s="5" t="str">
        <f>+'Detailed Model (LCY)'!C103</f>
        <v>Product 3</v>
      </c>
      <c r="D30" s="30"/>
      <c r="E30" s="30"/>
      <c r="H30" s="452">
        <f ca="1">+SUMIF('Detailed Model (LCY)'!$J$4:$XFD$4,'Macro Model (LCY)'!H$3,'Detailed Model (LCY)'!$J103:$XFD103)</f>
        <v>5025232.1914999308</v>
      </c>
      <c r="I30" s="452">
        <f ca="1">+SUMIF('Detailed Model (LCY)'!$J$4:$XFD$4,'Macro Model (LCY)'!I$3,'Detailed Model (LCY)'!$J103:$XFD103)</f>
        <v>7077778.5521759652</v>
      </c>
      <c r="J30" s="452">
        <f ca="1">+SUMIF('Detailed Model (LCY)'!$J$4:$XFD$4,'Macro Model (LCY)'!J$3,'Detailed Model (LCY)'!$J103:$XFD103)</f>
        <v>9753870.783285806</v>
      </c>
      <c r="K30" s="452">
        <f ca="1">+SUMIF('Detailed Model (LCY)'!$J$4:$XFD$4,'Macro Model (LCY)'!K$3,'Detailed Model (LCY)'!$J103:$XFD103)</f>
        <v>12469865.319368938</v>
      </c>
      <c r="L30" s="452">
        <f ca="1">+SUMIF('Detailed Model (LCY)'!$J$4:$XFD$4,'Macro Model (LCY)'!L$3,'Detailed Model (LCY)'!$J103:$XFD103)</f>
        <v>15766171.517243667</v>
      </c>
      <c r="M30" s="452">
        <f ca="1">+SUMIF('Detailed Model (LCY)'!$J$4:$XFD$4,'Macro Model (LCY)'!M$3,'Detailed Model (LCY)'!$J103:$XFD103)</f>
        <v>19276703.840977319</v>
      </c>
      <c r="N30" s="452">
        <f ca="1">+SUMIF('Detailed Model (LCY)'!$J$4:$XFD$4,'Macro Model (LCY)'!N$3,'Detailed Model (LCY)'!$J103:$XFD103)</f>
        <v>21613443.062075466</v>
      </c>
      <c r="O30" s="452">
        <f ca="1">+SUMIF('Detailed Model (LCY)'!$J$4:$XFD$4,'Macro Model (LCY)'!O$3,'Detailed Model (LCY)'!$J103:$XFD103)</f>
        <v>22629835.379222341</v>
      </c>
      <c r="P30" s="452">
        <f ca="1">+SUMIF('Detailed Model (LCY)'!$J$4:$XFD$4,'Macro Model (LCY)'!P$3,'Detailed Model (LCY)'!$J103:$XFD103)</f>
        <v>22862567.138940994</v>
      </c>
      <c r="Q30" s="452">
        <f ca="1">+SUMIF('Detailed Model (LCY)'!$J$4:$XFD$4,'Macro Model (LCY)'!Q$3,'Detailed Model (LCY)'!$J103:$XFD103)</f>
        <v>22969367.059331048</v>
      </c>
    </row>
    <row r="31" spans="2:17" outlineLevel="2">
      <c r="B31" s="6"/>
      <c r="C31" s="5" t="str">
        <f>+'Detailed Model (LCY)'!C104</f>
        <v>Product 4</v>
      </c>
      <c r="D31" s="30"/>
      <c r="E31" s="30"/>
      <c r="H31" s="452">
        <f ca="1">+SUMIF('Detailed Model (LCY)'!$J$4:$XFD$4,'Macro Model (LCY)'!H$3,'Detailed Model (LCY)'!$J104:$XFD104)</f>
        <v>4173504.3973573302</v>
      </c>
      <c r="I31" s="452">
        <f ca="1">+SUMIF('Detailed Model (LCY)'!$J$4:$XFD$4,'Macro Model (LCY)'!I$3,'Detailed Model (LCY)'!$J104:$XFD104)</f>
        <v>5846877.893486077</v>
      </c>
      <c r="J31" s="452">
        <f ca="1">+SUMIF('Detailed Model (LCY)'!$J$4:$XFD$4,'Macro Model (LCY)'!J$3,'Detailed Model (LCY)'!$J104:$XFD104)</f>
        <v>7805432.0236567231</v>
      </c>
      <c r="K31" s="452">
        <f ca="1">+SUMIF('Detailed Model (LCY)'!$J$4:$XFD$4,'Macro Model (LCY)'!K$3,'Detailed Model (LCY)'!$J104:$XFD104)</f>
        <v>9858992.8154279999</v>
      </c>
      <c r="L31" s="452">
        <f ca="1">+SUMIF('Detailed Model (LCY)'!$J$4:$XFD$4,'Macro Model (LCY)'!L$3,'Detailed Model (LCY)'!$J104:$XFD104)</f>
        <v>12460053.215604771</v>
      </c>
      <c r="M31" s="452">
        <f ca="1">+SUMIF('Detailed Model (LCY)'!$J$4:$XFD$4,'Macro Model (LCY)'!M$3,'Detailed Model (LCY)'!$J104:$XFD104)</f>
        <v>15185450.409752244</v>
      </c>
      <c r="N31" s="452">
        <f ca="1">+SUMIF('Detailed Model (LCY)'!$J$4:$XFD$4,'Macro Model (LCY)'!N$3,'Detailed Model (LCY)'!$J104:$XFD104)</f>
        <v>16791715.744804434</v>
      </c>
      <c r="O31" s="452">
        <f ca="1">+SUMIF('Detailed Model (LCY)'!$J$4:$XFD$4,'Macro Model (LCY)'!O$3,'Detailed Model (LCY)'!$J104:$XFD104)</f>
        <v>17233123.360132989</v>
      </c>
      <c r="P31" s="452">
        <f ca="1">+SUMIF('Detailed Model (LCY)'!$J$4:$XFD$4,'Macro Model (LCY)'!P$3,'Detailed Model (LCY)'!$J104:$XFD104)</f>
        <v>17345698.263423581</v>
      </c>
      <c r="Q31" s="452">
        <f ca="1">+SUMIF('Detailed Model (LCY)'!$J$4:$XFD$4,'Macro Model (LCY)'!Q$3,'Detailed Model (LCY)'!$J104:$XFD104)</f>
        <v>17368300.944987696</v>
      </c>
    </row>
    <row r="32" spans="2:17" outlineLevel="2">
      <c r="B32" s="6"/>
      <c r="C32" s="5" t="s">
        <v>216</v>
      </c>
      <c r="D32" s="30"/>
      <c r="E32" s="30"/>
      <c r="H32" s="452">
        <f ca="1">+SUMIF('Detailed Model (LCY)'!$J$4:$XFD$4,'Macro Model (LCY)'!H$3,'Detailed Model (LCY)'!$J105:$XFD105)</f>
        <v>947591.94409204251</v>
      </c>
      <c r="I32" s="452">
        <f ca="1">+SUMIF('Detailed Model (LCY)'!$J$4:$XFD$4,'Macro Model (LCY)'!I$3,'Detailed Model (LCY)'!$J105:$XFD105)</f>
        <v>2390468.4830657449</v>
      </c>
      <c r="J32" s="452">
        <f ca="1">+SUMIF('Detailed Model (LCY)'!$J$4:$XFD$4,'Macro Model (LCY)'!J$3,'Detailed Model (LCY)'!$J105:$XFD105)</f>
        <v>3710927.1632015114</v>
      </c>
      <c r="K32" s="452">
        <f ca="1">+SUMIF('Detailed Model (LCY)'!$J$4:$XFD$4,'Macro Model (LCY)'!K$3,'Detailed Model (LCY)'!$J105:$XFD105)</f>
        <v>4796955.9753036741</v>
      </c>
      <c r="L32" s="452">
        <f ca="1">+SUMIF('Detailed Model (LCY)'!$J$4:$XFD$4,'Macro Model (LCY)'!L$3,'Detailed Model (LCY)'!$J105:$XFD105)</f>
        <v>6134593.1105949804</v>
      </c>
      <c r="M32" s="452">
        <f ca="1">+SUMIF('Detailed Model (LCY)'!$J$4:$XFD$4,'Macro Model (LCY)'!M$3,'Detailed Model (LCY)'!$J105:$XFD105)</f>
        <v>7511077.4135705484</v>
      </c>
      <c r="N32" s="452">
        <f ca="1">+SUMIF('Detailed Model (LCY)'!$J$4:$XFD$4,'Macro Model (LCY)'!N$3,'Detailed Model (LCY)'!$J105:$XFD105)</f>
        <v>8325218.7950199032</v>
      </c>
      <c r="O32" s="452">
        <f ca="1">+SUMIF('Detailed Model (LCY)'!$J$4:$XFD$4,'Macro Model (LCY)'!O$3,'Detailed Model (LCY)'!$J105:$XFD105)</f>
        <v>8554179.4969254248</v>
      </c>
      <c r="P32" s="452">
        <f ca="1">+SUMIF('Detailed Model (LCY)'!$J$4:$XFD$4,'Macro Model (LCY)'!P$3,'Detailed Model (LCY)'!$J105:$XFD105)</f>
        <v>8617690.6105212905</v>
      </c>
      <c r="Q32" s="452">
        <f ca="1">+SUMIF('Detailed Model (LCY)'!$J$4:$XFD$4,'Macro Model (LCY)'!Q$3,'Detailed Model (LCY)'!$J105:$XFD105)</f>
        <v>8635276.960717367</v>
      </c>
    </row>
    <row r="33" spans="2:17" outlineLevel="1">
      <c r="B33" s="6"/>
      <c r="C33" s="68" t="s">
        <v>103</v>
      </c>
      <c r="D33" s="65"/>
      <c r="E33" s="65"/>
      <c r="F33" s="56"/>
      <c r="G33" s="56"/>
      <c r="H33" s="362">
        <f t="shared" ref="H33:Q33" ca="1" si="5">+SUM(H28:H32)</f>
        <v>21748382.260751504</v>
      </c>
      <c r="I33" s="362">
        <f t="shared" ca="1" si="5"/>
        <v>30917093.074549548</v>
      </c>
      <c r="J33" s="362">
        <f t="shared" ca="1" si="5"/>
        <v>41010765.384141661</v>
      </c>
      <c r="K33" s="362">
        <f t="shared" ca="1" si="5"/>
        <v>52046466.471985914</v>
      </c>
      <c r="L33" s="362">
        <f t="shared" ca="1" si="5"/>
        <v>65857642.292571627</v>
      </c>
      <c r="M33" s="362">
        <f t="shared" ca="1" si="5"/>
        <v>79740282.080133855</v>
      </c>
      <c r="N33" s="362">
        <f t="shared" ca="1" si="5"/>
        <v>86118172.637339965</v>
      </c>
      <c r="O33" s="362">
        <f t="shared" ca="1" si="5"/>
        <v>87928207.779228672</v>
      </c>
      <c r="P33" s="362">
        <f t="shared" ca="1" si="5"/>
        <v>88329882.718263641</v>
      </c>
      <c r="Q33" s="362">
        <f t="shared" ca="1" si="5"/>
        <v>88460221.828347534</v>
      </c>
    </row>
    <row r="34" spans="2:17" hidden="1" outlineLevel="2">
      <c r="B34" s="6"/>
      <c r="C34" s="37"/>
      <c r="D34" s="30"/>
      <c r="E34" s="30"/>
      <c r="H34" s="452"/>
      <c r="I34" s="452"/>
      <c r="J34" s="452"/>
      <c r="K34" s="452"/>
      <c r="L34" s="452"/>
      <c r="M34" s="452"/>
      <c r="N34" s="452"/>
      <c r="O34" s="452"/>
      <c r="P34" s="452"/>
      <c r="Q34" s="452"/>
    </row>
    <row r="35" spans="2:17" hidden="1" outlineLevel="2">
      <c r="B35" s="6"/>
      <c r="C35" s="5" t="str">
        <f>+'Detailed Model (LCY)'!C108</f>
        <v>Product 1</v>
      </c>
      <c r="D35" s="30"/>
      <c r="E35" s="30"/>
      <c r="H35" s="454">
        <f>+SUMIF('Detailed Model (LCY)'!$J$4:$XFD$4,'Macro Model (LCY)'!H$3,'Detailed Model (LCY)'!$J108:$XFD108)</f>
        <v>273606.63045379624</v>
      </c>
      <c r="I35" s="452">
        <f>+SUMIF('Detailed Model (LCY)'!$J$4:$XFD$4,'Macro Model (LCY)'!I$3,'Detailed Model (LCY)'!$J108:$XFD108)</f>
        <v>346999.36401093373</v>
      </c>
      <c r="J35" s="452">
        <f>+SUMIF('Detailed Model (LCY)'!$J$4:$XFD$4,'Macro Model (LCY)'!J$3,'Detailed Model (LCY)'!$J108:$XFD108)</f>
        <v>440079.09612528869</v>
      </c>
      <c r="K35" s="452">
        <f>+SUMIF('Detailed Model (LCY)'!$J$4:$XFD$4,'Macro Model (LCY)'!K$3,'Detailed Model (LCY)'!$J108:$XFD108)</f>
        <v>558126.70261939906</v>
      </c>
      <c r="L35" s="452">
        <f>+SUMIF('Detailed Model (LCY)'!$J$4:$XFD$4,'Macro Model (LCY)'!L$3,'Detailed Model (LCY)'!$J108:$XFD108)</f>
        <v>707839.61092330259</v>
      </c>
      <c r="M35" s="452">
        <f>+SUMIF('Detailed Model (LCY)'!$J$4:$XFD$4,'Macro Model (LCY)'!M$3,'Detailed Model (LCY)'!$J108:$XFD108)</f>
        <v>787447.38920769934</v>
      </c>
      <c r="N35" s="452">
        <f>+SUMIF('Detailed Model (LCY)'!$J$4:$XFD$4,'Macro Model (LCY)'!N$3,'Detailed Model (LCY)'!$J108:$XFD108)</f>
        <v>787447.38920769934</v>
      </c>
      <c r="O35" s="452">
        <f>+SUMIF('Detailed Model (LCY)'!$J$4:$XFD$4,'Macro Model (LCY)'!O$3,'Detailed Model (LCY)'!$J108:$XFD108)</f>
        <v>787447.38920769934</v>
      </c>
      <c r="P35" s="452">
        <f>+SUMIF('Detailed Model (LCY)'!$J$4:$XFD$4,'Macro Model (LCY)'!P$3,'Detailed Model (LCY)'!$J108:$XFD108)</f>
        <v>787447.38920769934</v>
      </c>
      <c r="Q35" s="452">
        <f>+SUMIF('Detailed Model (LCY)'!$J$4:$XFD$4,'Macro Model (LCY)'!Q$3,'Detailed Model (LCY)'!$J108:$XFD108)</f>
        <v>787447.38920769934</v>
      </c>
    </row>
    <row r="36" spans="2:17" hidden="1" outlineLevel="2">
      <c r="B36" s="6"/>
      <c r="C36" s="5" t="str">
        <f>+'Detailed Model (LCY)'!C109</f>
        <v>Product 2</v>
      </c>
      <c r="D36" s="30"/>
      <c r="E36" s="30"/>
      <c r="H36" s="454">
        <f ca="1">+SUMIF('Detailed Model (LCY)'!$J$4:$XFD$4,'Macro Model (LCY)'!H$3,'Detailed Model (LCY)'!$J109:$XFD109)</f>
        <v>15732053.705958419</v>
      </c>
      <c r="I36" s="452">
        <f ca="1">+SUMIF('Detailed Model (LCY)'!$J$4:$XFD$4,'Macro Model (LCY)'!I$3,'Detailed Model (LCY)'!$J109:$XFD109)</f>
        <v>20132431.097189147</v>
      </c>
      <c r="J36" s="452">
        <f ca="1">+SUMIF('Detailed Model (LCY)'!$J$4:$XFD$4,'Macro Model (LCY)'!J$3,'Detailed Model (LCY)'!$J109:$XFD109)</f>
        <v>25548779.426307168</v>
      </c>
      <c r="K36" s="452">
        <f ca="1">+SUMIF('Detailed Model (LCY)'!$J$4:$XFD$4,'Macro Model (LCY)'!K$3,'Detailed Model (LCY)'!$J109:$XFD109)</f>
        <v>32403447.098876648</v>
      </c>
      <c r="L36" s="452">
        <f ca="1">+SUMIF('Detailed Model (LCY)'!$J$4:$XFD$4,'Macro Model (LCY)'!L$3,'Detailed Model (LCY)'!$J109:$XFD109)</f>
        <v>41095531.519848175</v>
      </c>
      <c r="M36" s="452">
        <f ca="1">+SUMIF('Detailed Model (LCY)'!$J$4:$XFD$4,'Macro Model (LCY)'!M$3,'Detailed Model (LCY)'!$J109:$XFD109)</f>
        <v>46164804.760648444</v>
      </c>
      <c r="N36" s="452">
        <f ca="1">+SUMIF('Detailed Model (LCY)'!$J$4:$XFD$4,'Macro Model (LCY)'!N$3,'Detailed Model (LCY)'!$J109:$XFD109)</f>
        <v>46614137.471772514</v>
      </c>
      <c r="O36" s="452">
        <f ca="1">+SUMIF('Detailed Model (LCY)'!$J$4:$XFD$4,'Macro Model (LCY)'!O$3,'Detailed Model (LCY)'!$J109:$XFD109)</f>
        <v>46653965.643523276</v>
      </c>
      <c r="P36" s="452">
        <f ca="1">+SUMIF('Detailed Model (LCY)'!$J$4:$XFD$4,'Macro Model (LCY)'!P$3,'Detailed Model (LCY)'!$J109:$XFD109)</f>
        <v>46657495.952414073</v>
      </c>
      <c r="Q36" s="452">
        <f ca="1">+SUMIF('Detailed Model (LCY)'!$J$4:$XFD$4,'Macro Model (LCY)'!Q$3,'Detailed Model (LCY)'!$J109:$XFD109)</f>
        <v>46657808.873653404</v>
      </c>
    </row>
    <row r="37" spans="2:17" hidden="1" outlineLevel="2">
      <c r="B37" s="6"/>
      <c r="C37" s="5" t="str">
        <f>+'Detailed Model (LCY)'!C110</f>
        <v>Product 3</v>
      </c>
      <c r="D37" s="30"/>
      <c r="E37" s="30"/>
      <c r="H37" s="454">
        <f ca="1">+SUMIF('Detailed Model (LCY)'!$J$4:$XFD$4,'Macro Model (LCY)'!H$3,'Detailed Model (LCY)'!$J110:$XFD110)</f>
        <v>9270699.543886194</v>
      </c>
      <c r="I37" s="452">
        <f ca="1">+SUMIF('Detailed Model (LCY)'!$J$4:$XFD$4,'Macro Model (LCY)'!I$3,'Detailed Model (LCY)'!$J110:$XFD110)</f>
        <v>11674311.567882448</v>
      </c>
      <c r="J37" s="452">
        <f ca="1">+SUMIF('Detailed Model (LCY)'!$J$4:$XFD$4,'Macro Model (LCY)'!J$3,'Detailed Model (LCY)'!$J110:$XFD110)</f>
        <v>14890843.438832294</v>
      </c>
      <c r="K37" s="452">
        <f ca="1">+SUMIF('Detailed Model (LCY)'!$J$4:$XFD$4,'Macro Model (LCY)'!K$3,'Detailed Model (LCY)'!$J110:$XFD110)</f>
        <v>19048026.12178912</v>
      </c>
      <c r="L37" s="452">
        <f ca="1">+SUMIF('Detailed Model (LCY)'!$J$4:$XFD$4,'Macro Model (LCY)'!L$3,'Detailed Model (LCY)'!$J110:$XFD110)</f>
        <v>24151350.221448656</v>
      </c>
      <c r="M37" s="452">
        <f ca="1">+SUMIF('Detailed Model (LCY)'!$J$4:$XFD$4,'Macro Model (LCY)'!M$3,'Detailed Model (LCY)'!$J110:$XFD110)</f>
        <v>27040228.831039529</v>
      </c>
      <c r="N37" s="452">
        <f ca="1">+SUMIF('Detailed Model (LCY)'!$J$4:$XFD$4,'Macro Model (LCY)'!N$3,'Detailed Model (LCY)'!$J110:$XFD110)</f>
        <v>27375431.877906136</v>
      </c>
      <c r="O37" s="452">
        <f ca="1">+SUMIF('Detailed Model (LCY)'!$J$4:$XFD$4,'Macro Model (LCY)'!O$3,'Detailed Model (LCY)'!$J110:$XFD110)</f>
        <v>27732433.748038325</v>
      </c>
      <c r="P37" s="452">
        <f ca="1">+SUMIF('Detailed Model (LCY)'!$J$4:$XFD$4,'Macro Model (LCY)'!P$3,'Detailed Model (LCY)'!$J110:$XFD110)</f>
        <v>27800730.580334201</v>
      </c>
      <c r="Q37" s="452">
        <f ca="1">+SUMIF('Detailed Model (LCY)'!$J$4:$XFD$4,'Macro Model (LCY)'!Q$3,'Detailed Model (LCY)'!$J110:$XFD110)</f>
        <v>27828653.757128205</v>
      </c>
    </row>
    <row r="38" spans="2:17" hidden="1" outlineLevel="2">
      <c r="B38" s="6"/>
      <c r="C38" s="5" t="str">
        <f>+'Detailed Model (LCY)'!C111</f>
        <v>Product 4</v>
      </c>
      <c r="D38" s="30"/>
      <c r="E38" s="30"/>
      <c r="H38" s="454">
        <f ca="1">+SUMIF('Detailed Model (LCY)'!$J$4:$XFD$4,'Macro Model (LCY)'!H$3,'Detailed Model (LCY)'!$J111:$XFD111)</f>
        <v>7420186.8667135164</v>
      </c>
      <c r="I38" s="452">
        <f ca="1">+SUMIF('Detailed Model (LCY)'!$J$4:$XFD$4,'Macro Model (LCY)'!I$3,'Detailed Model (LCY)'!$J111:$XFD111)</f>
        <v>9328397.9391990956</v>
      </c>
      <c r="J38" s="452">
        <f ca="1">+SUMIF('Detailed Model (LCY)'!$J$4:$XFD$4,'Macro Model (LCY)'!J$3,'Detailed Model (LCY)'!$J111:$XFD111)</f>
        <v>12025044.361445665</v>
      </c>
      <c r="K38" s="452">
        <f ca="1">+SUMIF('Detailed Model (LCY)'!$J$4:$XFD$4,'Macro Model (LCY)'!K$3,'Detailed Model (LCY)'!$J111:$XFD111)</f>
        <v>15244206.103062361</v>
      </c>
      <c r="L38" s="452">
        <f ca="1">+SUMIF('Detailed Model (LCY)'!$J$4:$XFD$4,'Macro Model (LCY)'!L$3,'Detailed Model (LCY)'!$J111:$XFD111)</f>
        <v>19348611.333708368</v>
      </c>
      <c r="M38" s="452">
        <f ca="1">+SUMIF('Detailed Model (LCY)'!$J$4:$XFD$4,'Macro Model (LCY)'!M$3,'Detailed Model (LCY)'!$J111:$XFD111)</f>
        <v>21671336.070313793</v>
      </c>
      <c r="N38" s="452">
        <f ca="1">+SUMIF('Detailed Model (LCY)'!$J$4:$XFD$4,'Macro Model (LCY)'!N$3,'Detailed Model (LCY)'!$J111:$XFD111)</f>
        <v>21993810.217387136</v>
      </c>
      <c r="O38" s="452">
        <f ca="1">+SUMIF('Detailed Model (LCY)'!$J$4:$XFD$4,'Macro Model (LCY)'!O$3,'Detailed Model (LCY)'!$J111:$XFD111)</f>
        <v>22176301.62265344</v>
      </c>
      <c r="P38" s="452">
        <f ca="1">+SUMIF('Detailed Model (LCY)'!$J$4:$XFD$4,'Macro Model (LCY)'!P$3,'Detailed Model (LCY)'!$J111:$XFD111)</f>
        <v>22201637.711486537</v>
      </c>
      <c r="Q38" s="452">
        <f ca="1">+SUMIF('Detailed Model (LCY)'!$J$4:$XFD$4,'Macro Model (LCY)'!Q$3,'Detailed Model (LCY)'!$J111:$XFD111)</f>
        <v>22215975.662286833</v>
      </c>
    </row>
    <row r="39" spans="2:17" hidden="1" outlineLevel="2">
      <c r="B39" s="6"/>
      <c r="C39" s="5" t="s">
        <v>216</v>
      </c>
      <c r="D39" s="30"/>
      <c r="E39" s="30"/>
      <c r="H39" s="454">
        <f ca="1">+SUMIF('Detailed Model (LCY)'!$J$4:$XFD$4,'Macro Model (LCY)'!H$3,'Detailed Model (LCY)'!$J112:$XFD112)</f>
        <v>3567100.0117298444</v>
      </c>
      <c r="I39" s="452">
        <f ca="1">+SUMIF('Detailed Model (LCY)'!$J$4:$XFD$4,'Macro Model (LCY)'!I$3,'Detailed Model (LCY)'!$J112:$XFD112)</f>
        <v>4521205.5479726335</v>
      </c>
      <c r="J39" s="452">
        <f ca="1">+SUMIF('Detailed Model (LCY)'!$J$4:$XFD$4,'Macro Model (LCY)'!J$3,'Detailed Model (LCY)'!$J112:$XFD112)</f>
        <v>6001287.500157685</v>
      </c>
      <c r="K39" s="452">
        <f ca="1">+SUMIF('Detailed Model (LCY)'!$J$4:$XFD$4,'Macro Model (LCY)'!K$3,'Detailed Model (LCY)'!$J112:$XFD112)</f>
        <v>7610868.3709660294</v>
      </c>
      <c r="L39" s="452">
        <f ca="1">+SUMIF('Detailed Model (LCY)'!$J$4:$XFD$4,'Macro Model (LCY)'!L$3,'Detailed Model (LCY)'!$J112:$XFD112)</f>
        <v>9673422.9825602863</v>
      </c>
      <c r="M39" s="452">
        <f ca="1">+SUMIF('Detailed Model (LCY)'!$J$4:$XFD$4,'Macro Model (LCY)'!M$3,'Detailed Model (LCY)'!$J112:$XFD112)</f>
        <v>10834785.350862999</v>
      </c>
      <c r="N39" s="452">
        <f ca="1">+SUMIF('Detailed Model (LCY)'!$J$4:$XFD$4,'Macro Model (LCY)'!N$3,'Detailed Model (LCY)'!$J112:$XFD112)</f>
        <v>10996835.758118073</v>
      </c>
      <c r="O39" s="452">
        <f ca="1">+SUMIF('Detailed Model (LCY)'!$J$4:$XFD$4,'Macro Model (LCY)'!O$3,'Detailed Model (LCY)'!$J112:$XFD112)</f>
        <v>11088081.460751226</v>
      </c>
      <c r="P39" s="452">
        <f ca="1">+SUMIF('Detailed Model (LCY)'!$J$4:$XFD$4,'Macro Model (LCY)'!P$3,'Detailed Model (LCY)'!$J112:$XFD112)</f>
        <v>11100813.407020146</v>
      </c>
      <c r="Q39" s="452">
        <f ca="1">+SUMIF('Detailed Model (LCY)'!$J$4:$XFD$4,'Macro Model (LCY)'!Q$3,'Detailed Model (LCY)'!$J112:$XFD112)</f>
        <v>11107982.382420294</v>
      </c>
    </row>
    <row r="40" spans="2:17" outlineLevel="1" collapsed="1">
      <c r="B40" s="6"/>
      <c r="C40" s="210" t="s">
        <v>104</v>
      </c>
      <c r="D40" s="211"/>
      <c r="E40" s="211"/>
      <c r="F40" s="212"/>
      <c r="G40" s="553"/>
      <c r="H40" s="343">
        <f t="shared" ref="H40:Q40" ca="1" si="6">+SUM(H35:H39)</f>
        <v>36263646.758741774</v>
      </c>
      <c r="I40" s="343">
        <f t="shared" ca="1" si="6"/>
        <v>46003345.516254261</v>
      </c>
      <c r="J40" s="343">
        <f t="shared" ca="1" si="6"/>
        <v>58906033.822868101</v>
      </c>
      <c r="K40" s="343">
        <f t="shared" ca="1" si="6"/>
        <v>74864674.397313565</v>
      </c>
      <c r="L40" s="343">
        <f t="shared" ca="1" si="6"/>
        <v>94976755.668488786</v>
      </c>
      <c r="M40" s="343">
        <f t="shared" ca="1" si="6"/>
        <v>106498602.40207246</v>
      </c>
      <c r="N40" s="343">
        <f t="shared" ca="1" si="6"/>
        <v>107767662.71439157</v>
      </c>
      <c r="O40" s="343">
        <f t="shared" ca="1" si="6"/>
        <v>108438229.86417396</v>
      </c>
      <c r="P40" s="343">
        <f t="shared" ca="1" si="6"/>
        <v>108548125.04046266</v>
      </c>
      <c r="Q40" s="343">
        <f t="shared" ca="1" si="6"/>
        <v>108597868.06469643</v>
      </c>
    </row>
    <row r="41" spans="2:17" outlineLevel="1">
      <c r="B41" s="6"/>
      <c r="C41" s="210" t="s">
        <v>369</v>
      </c>
      <c r="D41" s="211"/>
      <c r="E41" s="211"/>
      <c r="F41" s="212"/>
      <c r="G41" s="212"/>
      <c r="H41" s="344">
        <f ca="1">+SUMIF('Detailed Model (LCY)'!$J$4:$XFD$4,'Macro Model (LCY)'!H$3,'Detailed Model (LCY)'!$J123:$XFD123)</f>
        <v>33117362.595455315</v>
      </c>
      <c r="I41" s="344">
        <f ca="1">+SUMIF('Detailed Model (LCY)'!$J$4:$XFD$4,'Macro Model (LCY)'!I$3,'Detailed Model (LCY)'!$J123:$XFD123)</f>
        <v>41919389.974909842</v>
      </c>
      <c r="J41" s="344">
        <f ca="1">+SUMIF('Detailed Model (LCY)'!$J$4:$XFD$4,'Macro Model (LCY)'!J$3,'Detailed Model (LCY)'!$J123:$XFD123)</f>
        <v>54146004.434451506</v>
      </c>
      <c r="K41" s="344">
        <f ca="1">+SUMIF('Detailed Model (LCY)'!$J$4:$XFD$4,'Macro Model (LCY)'!K$3,'Detailed Model (LCY)'!$J123:$XFD123)</f>
        <v>69821007.344638675</v>
      </c>
      <c r="L41" s="344">
        <f ca="1">+SUMIF('Detailed Model (LCY)'!$J$4:$XFD$4,'Macro Model (LCY)'!L$3,'Detailed Model (LCY)'!$J123:$XFD123)</f>
        <v>88594965.399355263</v>
      </c>
      <c r="M41" s="344">
        <f ca="1">+SUMIF('Detailed Model (LCY)'!$J$4:$XFD$4,'Macro Model (LCY)'!M$3,'Detailed Model (LCY)'!$J123:$XFD123)</f>
        <v>98650060.533307359</v>
      </c>
      <c r="N41" s="344">
        <f ca="1">+SUMIF('Detailed Model (LCY)'!$J$4:$XFD$4,'Macro Model (LCY)'!N$3,'Detailed Model (LCY)'!$J123:$XFD123)</f>
        <v>99098607.237487867</v>
      </c>
      <c r="O41" s="344">
        <f ca="1">+SUMIF('Detailed Model (LCY)'!$J$4:$XFD$4,'Macro Model (LCY)'!O$3,'Detailed Model (LCY)'!$J123:$XFD123)</f>
        <v>99509661.104215488</v>
      </c>
      <c r="P41" s="344">
        <f ca="1">+SUMIF('Detailed Model (LCY)'!$J$4:$XFD$4,'Macro Model (LCY)'!P$3,'Detailed Model (LCY)'!$J123:$XFD123)</f>
        <v>99558947.769430548</v>
      </c>
      <c r="Q41" s="344">
        <f ca="1">+SUMIF('Detailed Model (LCY)'!$J$4:$XFD$4,'Macro Model (LCY)'!Q$3,'Detailed Model (LCY)'!$J123:$XFD123)</f>
        <v>99587542.901702374</v>
      </c>
    </row>
    <row r="42" spans="2:17" outlineLevel="1">
      <c r="B42" s="6"/>
      <c r="D42" s="30"/>
      <c r="E42" s="30"/>
      <c r="H42" s="341"/>
      <c r="I42" s="341"/>
      <c r="J42" s="341"/>
      <c r="K42" s="341"/>
      <c r="L42" s="341"/>
      <c r="M42" s="341"/>
      <c r="N42" s="341"/>
      <c r="O42" s="341"/>
      <c r="P42" s="341"/>
      <c r="Q42" s="341"/>
    </row>
    <row r="43" spans="2:17" outlineLevel="1">
      <c r="B43" s="6"/>
      <c r="C43" s="5" t="s">
        <v>77</v>
      </c>
      <c r="D43" s="244"/>
      <c r="E43" s="244" t="s">
        <v>480</v>
      </c>
      <c r="F43" s="435" t="str">
        <f>_VATtaxbasis</f>
        <v>Cash basis</v>
      </c>
      <c r="G43" s="554"/>
      <c r="H43" s="454">
        <f ca="1">+SUMIF('Detailed Model (LCY)'!$J$4:$XFD$4,'Macro Model (LCY)'!H$3,'Detailed Model (LCY)'!$J125:$XFD125)</f>
        <v>-1977125.6600683201</v>
      </c>
      <c r="I43" s="454">
        <f ca="1">+SUMIF('Detailed Model (LCY)'!$J$4:$XFD$4,'Macro Model (LCY)'!I$3,'Detailed Model (LCY)'!$J125:$XFD125)</f>
        <v>-2810644.8249590513</v>
      </c>
      <c r="J43" s="454">
        <f ca="1">+SUMIF('Detailed Model (LCY)'!$J$4:$XFD$4,'Macro Model (LCY)'!J$3,'Detailed Model (LCY)'!$J125:$XFD125)</f>
        <v>-3728251.3985583354</v>
      </c>
      <c r="K43" s="454">
        <f ca="1">+SUMIF('Detailed Model (LCY)'!$J$4:$XFD$4,'Macro Model (LCY)'!K$3,'Detailed Model (LCY)'!$J125:$XFD125)</f>
        <v>-4731496.9519987237</v>
      </c>
      <c r="L43" s="454">
        <f ca="1">+SUMIF('Detailed Model (LCY)'!$J$4:$XFD$4,'Macro Model (LCY)'!L$3,'Detailed Model (LCY)'!$J125:$XFD125)</f>
        <v>-5987058.3902337914</v>
      </c>
      <c r="M43" s="454">
        <f ca="1">+SUMIF('Detailed Model (LCY)'!$J$4:$XFD$4,'Macro Model (LCY)'!M$3,'Detailed Model (LCY)'!$J125:$XFD125)</f>
        <v>-7249116.5527394479</v>
      </c>
      <c r="N43" s="454">
        <f ca="1">+SUMIF('Detailed Model (LCY)'!$J$4:$XFD$4,'Macro Model (LCY)'!N$3,'Detailed Model (LCY)'!$J125:$XFD125)</f>
        <v>-7828924.7852127301</v>
      </c>
      <c r="O43" s="454">
        <f ca="1">+SUMIF('Detailed Model (LCY)'!$J$4:$XFD$4,'Macro Model (LCY)'!O$3,'Detailed Model (LCY)'!$J125:$XFD125)</f>
        <v>-7993473.4344753418</v>
      </c>
      <c r="P43" s="454">
        <f ca="1">+SUMIF('Detailed Model (LCY)'!$J$4:$XFD$4,'Macro Model (LCY)'!P$3,'Detailed Model (LCY)'!$J125:$XFD125)</f>
        <v>-8029989.3380239736</v>
      </c>
      <c r="Q43" s="454">
        <f ca="1">+SUMIF('Detailed Model (LCY)'!$J$4:$XFD$4,'Macro Model (LCY)'!Q$3,'Detailed Model (LCY)'!$J125:$XFD125)</f>
        <v>-8041838.3480316</v>
      </c>
    </row>
    <row r="44" spans="2:17" outlineLevel="1">
      <c r="B44" s="6"/>
      <c r="D44" s="30"/>
      <c r="E44" s="30"/>
      <c r="F44" s="430"/>
      <c r="G44" s="430"/>
      <c r="H44" s="452"/>
      <c r="I44" s="452"/>
      <c r="J44" s="452"/>
      <c r="K44" s="452"/>
      <c r="L44" s="452"/>
      <c r="M44" s="452"/>
      <c r="N44" s="452"/>
      <c r="O44" s="452"/>
      <c r="P44" s="452"/>
      <c r="Q44" s="452"/>
    </row>
    <row r="45" spans="2:17" outlineLevel="1">
      <c r="B45" s="6"/>
      <c r="C45" s="56" t="s">
        <v>678</v>
      </c>
      <c r="D45" s="65"/>
      <c r="E45" s="65"/>
      <c r="F45" s="459"/>
      <c r="G45" s="459"/>
      <c r="H45" s="463">
        <f ca="1">+SUMIF('Detailed Model (LCY)'!$J$4:$XFD$4,'Macro Model (LCY)'!H$3,'Detailed Model (LCY)'!$J127:$XFD127)</f>
        <v>19771256.600683179</v>
      </c>
      <c r="I45" s="463">
        <f ca="1">+SUMIF('Detailed Model (LCY)'!$J$4:$XFD$4,'Macro Model (LCY)'!I$3,'Detailed Model (LCY)'!$J127:$XFD127)</f>
        <v>28106448.249590494</v>
      </c>
      <c r="J45" s="463">
        <f ca="1">+SUMIF('Detailed Model (LCY)'!$J$4:$XFD$4,'Macro Model (LCY)'!J$3,'Detailed Model (LCY)'!$J127:$XFD127)</f>
        <v>37282513.985583328</v>
      </c>
      <c r="K45" s="463">
        <f ca="1">+SUMIF('Detailed Model (LCY)'!$J$4:$XFD$4,'Macro Model (LCY)'!K$3,'Detailed Model (LCY)'!$J127:$XFD127)</f>
        <v>47314969.519987181</v>
      </c>
      <c r="L45" s="463">
        <f ca="1">+SUMIF('Detailed Model (LCY)'!$J$4:$XFD$4,'Macro Model (LCY)'!L$3,'Detailed Model (LCY)'!$J127:$XFD127)</f>
        <v>59870583.902337842</v>
      </c>
      <c r="M45" s="463">
        <f ca="1">+SUMIF('Detailed Model (LCY)'!$J$4:$XFD$4,'Macro Model (LCY)'!M$3,'Detailed Model (LCY)'!$J127:$XFD127)</f>
        <v>72491165.527394414</v>
      </c>
      <c r="N45" s="463">
        <f ca="1">+SUMIF('Detailed Model (LCY)'!$J$4:$XFD$4,'Macro Model (LCY)'!N$3,'Detailed Model (LCY)'!$J127:$XFD127)</f>
        <v>78289247.852127224</v>
      </c>
      <c r="O45" s="463">
        <f ca="1">+SUMIF('Detailed Model (LCY)'!$J$4:$XFD$4,'Macro Model (LCY)'!O$3,'Detailed Model (LCY)'!$J127:$XFD127)</f>
        <v>79934734.34475334</v>
      </c>
      <c r="P45" s="463">
        <f ca="1">+SUMIF('Detailed Model (LCY)'!$J$4:$XFD$4,'Macro Model (LCY)'!P$3,'Detailed Model (LCY)'!$J127:$XFD127)</f>
        <v>80299893.380239666</v>
      </c>
      <c r="Q45" s="463">
        <f ca="1">+SUMIF('Detailed Model (LCY)'!$J$4:$XFD$4,'Macro Model (LCY)'!Q$3,'Detailed Model (LCY)'!$J127:$XFD127)</f>
        <v>80418383.480315939</v>
      </c>
    </row>
    <row r="46" spans="2:17" outlineLevel="1">
      <c r="B46" s="6"/>
      <c r="C46" s="212" t="s">
        <v>679</v>
      </c>
      <c r="D46" s="603"/>
      <c r="E46" s="603"/>
      <c r="F46" s="212"/>
      <c r="G46" s="212"/>
      <c r="H46" s="462">
        <f ca="1">+SUMIF('Detailed Model (LCY)'!$J$4:$XFD$4,'Macro Model (LCY)'!H$3,'Detailed Model (LCY)'!$J128:$XFD128)</f>
        <v>31140236.935386993</v>
      </c>
      <c r="I46" s="462">
        <f ca="1">+SUMIF('Detailed Model (LCY)'!$J$4:$XFD$4,'Macro Model (LCY)'!I$3,'Detailed Model (LCY)'!$J128:$XFD128)</f>
        <v>39108745.149950787</v>
      </c>
      <c r="J46" s="462">
        <f ca="1">+SUMIF('Detailed Model (LCY)'!$J$4:$XFD$4,'Macro Model (LCY)'!J$3,'Detailed Model (LCY)'!$J128:$XFD128)</f>
        <v>50417753.035893172</v>
      </c>
      <c r="K46" s="462">
        <f ca="1">+SUMIF('Detailed Model (LCY)'!$J$4:$XFD$4,'Macro Model (LCY)'!K$3,'Detailed Model (LCY)'!$J128:$XFD128)</f>
        <v>65089510.392639942</v>
      </c>
      <c r="L46" s="462">
        <f ca="1">+SUMIF('Detailed Model (LCY)'!$J$4:$XFD$4,'Macro Model (LCY)'!L$3,'Detailed Model (LCY)'!$J128:$XFD128)</f>
        <v>82607907.009121463</v>
      </c>
      <c r="M46" s="462">
        <f ca="1">+SUMIF('Detailed Model (LCY)'!$J$4:$XFD$4,'Macro Model (LCY)'!M$3,'Detailed Model (LCY)'!$J128:$XFD128)</f>
        <v>91400943.980567902</v>
      </c>
      <c r="N46" s="462">
        <f ca="1">+SUMIF('Detailed Model (LCY)'!$J$4:$XFD$4,'Macro Model (LCY)'!N$3,'Detailed Model (LCY)'!$J128:$XFD128)</f>
        <v>91269682.452275172</v>
      </c>
      <c r="O46" s="462">
        <f ca="1">+SUMIF('Detailed Model (LCY)'!$J$4:$XFD$4,'Macro Model (LCY)'!O$3,'Detailed Model (LCY)'!$J128:$XFD128)</f>
        <v>91516187.66974014</v>
      </c>
      <c r="P46" s="462">
        <f ca="1">+SUMIF('Detailed Model (LCY)'!$J$4:$XFD$4,'Macro Model (LCY)'!P$3,'Detailed Model (LCY)'!$J128:$XFD128)</f>
        <v>91528958.431406572</v>
      </c>
      <c r="Q46" s="462">
        <f ca="1">+SUMIF('Detailed Model (LCY)'!$J$4:$XFD$4,'Macro Model (LCY)'!Q$3,'Detailed Model (LCY)'!$J128:$XFD128)</f>
        <v>91545704.553670779</v>
      </c>
    </row>
    <row r="47" spans="2:17" outlineLevel="1">
      <c r="B47" s="6"/>
      <c r="D47" s="30"/>
      <c r="E47" s="30"/>
      <c r="F47" s="430"/>
      <c r="G47" s="430"/>
      <c r="H47" s="602"/>
      <c r="I47" s="602"/>
      <c r="J47" s="602"/>
      <c r="K47" s="602"/>
      <c r="L47" s="602"/>
      <c r="M47" s="602"/>
      <c r="N47" s="602"/>
      <c r="O47" s="602"/>
      <c r="P47" s="602"/>
      <c r="Q47" s="602"/>
    </row>
    <row r="48" spans="2:17" outlineLevel="1">
      <c r="B48" s="6"/>
      <c r="D48" s="30"/>
      <c r="E48" s="30"/>
      <c r="F48" s="430"/>
      <c r="G48" s="430"/>
      <c r="H48" s="458"/>
      <c r="I48" s="458"/>
      <c r="J48" s="458"/>
      <c r="K48" s="458"/>
      <c r="L48" s="458"/>
      <c r="M48" s="458"/>
      <c r="N48" s="458"/>
      <c r="O48" s="458"/>
      <c r="P48" s="458"/>
      <c r="Q48" s="458"/>
    </row>
    <row r="49" spans="2:17" outlineLevel="1">
      <c r="B49" s="6"/>
      <c r="C49" s="203" t="s">
        <v>110</v>
      </c>
      <c r="D49" s="204"/>
      <c r="E49" s="204"/>
      <c r="F49" s="459"/>
      <c r="G49" s="459"/>
      <c r="H49" s="460">
        <f>+SUMIF('Detailed Model (LCY)'!$J$4:$XFD$4,'Macro Model (LCY)'!H$3,'Detailed Model (LCY)'!$J131:$XFD131)</f>
        <v>5000000</v>
      </c>
      <c r="I49" s="460">
        <f>+SUMIF('Detailed Model (LCY)'!$J$4:$XFD$4,'Macro Model (LCY)'!I$3,'Detailed Model (LCY)'!$J131:$XFD131)</f>
        <v>3000000</v>
      </c>
      <c r="J49" s="460">
        <f>+SUMIF('Detailed Model (LCY)'!$J$4:$XFD$4,'Macro Model (LCY)'!J$3,'Detailed Model (LCY)'!$J131:$XFD131)</f>
        <v>0</v>
      </c>
      <c r="K49" s="460">
        <f>+SUMIF('Detailed Model (LCY)'!$J$4:$XFD$4,'Macro Model (LCY)'!K$3,'Detailed Model (LCY)'!$J131:$XFD131)</f>
        <v>0</v>
      </c>
      <c r="L49" s="460">
        <f>+SUMIF('Detailed Model (LCY)'!$J$4:$XFD$4,'Macro Model (LCY)'!L$3,'Detailed Model (LCY)'!$J131:$XFD131)</f>
        <v>0</v>
      </c>
      <c r="M49" s="460">
        <f>+SUMIF('Detailed Model (LCY)'!$J$4:$XFD$4,'Macro Model (LCY)'!M$3,'Detailed Model (LCY)'!$J131:$XFD131)</f>
        <v>0</v>
      </c>
      <c r="N49" s="460">
        <f>+SUMIF('Detailed Model (LCY)'!$J$4:$XFD$4,'Macro Model (LCY)'!N$3,'Detailed Model (LCY)'!$J131:$XFD131)</f>
        <v>0</v>
      </c>
      <c r="O49" s="460">
        <f>+SUMIF('Detailed Model (LCY)'!$J$4:$XFD$4,'Macro Model (LCY)'!O$3,'Detailed Model (LCY)'!$J131:$XFD131)</f>
        <v>0</v>
      </c>
      <c r="P49" s="460">
        <f>+SUMIF('Detailed Model (LCY)'!$J$4:$XFD$4,'Macro Model (LCY)'!P$3,'Detailed Model (LCY)'!$J131:$XFD131)</f>
        <v>0</v>
      </c>
      <c r="Q49" s="460">
        <f>+SUMIF('Detailed Model (LCY)'!$J$4:$XFD$4,'Macro Model (LCY)'!Q$3,'Detailed Model (LCY)'!$J131:$XFD131)</f>
        <v>0</v>
      </c>
    </row>
    <row r="50" spans="2:17" hidden="1" outlineLevel="2">
      <c r="B50" s="6"/>
      <c r="D50" s="30"/>
      <c r="E50" s="30"/>
      <c r="F50" s="430"/>
      <c r="G50" s="430"/>
      <c r="H50" s="452"/>
      <c r="I50" s="452"/>
      <c r="J50" s="452"/>
      <c r="K50" s="452"/>
      <c r="L50" s="452"/>
      <c r="M50" s="452"/>
      <c r="N50" s="452"/>
      <c r="O50" s="452"/>
      <c r="P50" s="452"/>
      <c r="Q50" s="452"/>
    </row>
    <row r="51" spans="2:17" hidden="1" outlineLevel="2">
      <c r="B51" s="6"/>
      <c r="C51" s="5" t="str">
        <f>+'Detailed Model (LCY)'!C133</f>
        <v>Product 1 - COGS related to active installations</v>
      </c>
      <c r="D51" s="30"/>
      <c r="E51" s="30"/>
      <c r="F51" s="430"/>
      <c r="G51" s="430"/>
      <c r="H51" s="454">
        <f>+SUMIF('Detailed Model (LCY)'!$J$4:$XFD$4,'Macro Model (LCY)'!H$3,'Detailed Model (LCY)'!$J133:$XFD133)</f>
        <v>-126201.05829681353</v>
      </c>
      <c r="I51" s="454">
        <f>+SUMIF('Detailed Model (LCY)'!$J$4:$XFD$4,'Macro Model (LCY)'!I$3,'Detailed Model (LCY)'!$J133:$XFD133)</f>
        <v>-160053.4566500432</v>
      </c>
      <c r="J51" s="454">
        <f>+SUMIF('Detailed Model (LCY)'!$J$4:$XFD$4,'Macro Model (LCY)'!J$3,'Detailed Model (LCY)'!$J133:$XFD133)</f>
        <v>-202986.48308778938</v>
      </c>
      <c r="K51" s="454">
        <f>+SUMIF('Detailed Model (LCY)'!$J$4:$XFD$4,'Macro Model (LCY)'!K$3,'Detailed Model (LCY)'!$J133:$XFD133)</f>
        <v>-257435.9415831978</v>
      </c>
      <c r="L51" s="454">
        <f>+SUMIF('Detailed Model (LCY)'!$J$4:$XFD$4,'Macro Model (LCY)'!L$3,'Detailed Model (LCY)'!$J133:$XFD133)</f>
        <v>-326491.02053837338</v>
      </c>
      <c r="M51" s="454">
        <f>+SUMIF('Detailed Model (LCY)'!$J$4:$XFD$4,'Macro Model (LCY)'!M$3,'Detailed Model (LCY)'!$J133:$XFD133)</f>
        <v>-363210.10827205121</v>
      </c>
      <c r="N51" s="454">
        <f>+SUMIF('Detailed Model (LCY)'!$J$4:$XFD$4,'Macro Model (LCY)'!N$3,'Detailed Model (LCY)'!$J133:$XFD133)</f>
        <v>-363210.10827205121</v>
      </c>
      <c r="O51" s="454">
        <f>+SUMIF('Detailed Model (LCY)'!$J$4:$XFD$4,'Macro Model (LCY)'!O$3,'Detailed Model (LCY)'!$J133:$XFD133)</f>
        <v>-363210.10827205121</v>
      </c>
      <c r="P51" s="454">
        <f>+SUMIF('Detailed Model (LCY)'!$J$4:$XFD$4,'Macro Model (LCY)'!P$3,'Detailed Model (LCY)'!$J133:$XFD133)</f>
        <v>-363210.10827205121</v>
      </c>
      <c r="Q51" s="454">
        <f>+SUMIF('Detailed Model (LCY)'!$J$4:$XFD$4,'Macro Model (LCY)'!Q$3,'Detailed Model (LCY)'!$J133:$XFD133)</f>
        <v>-363210.10827205121</v>
      </c>
    </row>
    <row r="52" spans="2:17" hidden="1" outlineLevel="2">
      <c r="B52" s="6"/>
      <c r="C52" s="5" t="str">
        <f>+'Detailed Model (LCY)'!C134</f>
        <v>Product 2 - COGS related to active installations</v>
      </c>
      <c r="D52" s="30"/>
      <c r="E52" s="30"/>
      <c r="F52" s="430"/>
      <c r="G52" s="430"/>
      <c r="H52" s="454">
        <f ca="1">+SUMIF('Detailed Model (LCY)'!$J$4:$XFD$4,'Macro Model (LCY)'!H$3,'Detailed Model (LCY)'!$J134:$XFD134)</f>
        <v>-4750502.8372073229</v>
      </c>
      <c r="I52" s="454">
        <f ca="1">+SUMIF('Detailed Model (LCY)'!$J$4:$XFD$4,'Macro Model (LCY)'!I$3,'Detailed Model (LCY)'!$J134:$XFD134)</f>
        <v>-6388960.4115538588</v>
      </c>
      <c r="J52" s="454">
        <f ca="1">+SUMIF('Detailed Model (LCY)'!$J$4:$XFD$4,'Macro Model (LCY)'!J$3,'Detailed Model (LCY)'!$J134:$XFD134)</f>
        <v>-8075373.4833565271</v>
      </c>
      <c r="K52" s="454">
        <f ca="1">+SUMIF('Detailed Model (LCY)'!$J$4:$XFD$4,'Macro Model (LCY)'!K$3,'Detailed Model (LCY)'!$J134:$XFD134)</f>
        <v>-10186224.34452517</v>
      </c>
      <c r="L52" s="454">
        <f ca="1">+SUMIF('Detailed Model (LCY)'!$J$4:$XFD$4,'Macro Model (LCY)'!L$3,'Detailed Model (LCY)'!$J134:$XFD134)</f>
        <v>-12866825.529635862</v>
      </c>
      <c r="M52" s="454">
        <f ca="1">+SUMIF('Detailed Model (LCY)'!$J$4:$XFD$4,'Macro Model (LCY)'!M$3,'Detailed Model (LCY)'!$J134:$XFD134)</f>
        <v>-15467731.547030985</v>
      </c>
      <c r="N52" s="454">
        <f ca="1">+SUMIF('Detailed Model (LCY)'!$J$4:$XFD$4,'Macro Model (LCY)'!N$3,'Detailed Model (LCY)'!$J134:$XFD134)</f>
        <v>-16093512.049768848</v>
      </c>
      <c r="O52" s="454">
        <f ca="1">+SUMIF('Detailed Model (LCY)'!$J$4:$XFD$4,'Macro Model (LCY)'!O$3,'Detailed Model (LCY)'!$J134:$XFD134)</f>
        <v>-16139268.943082813</v>
      </c>
      <c r="P52" s="454">
        <f ca="1">+SUMIF('Detailed Model (LCY)'!$J$4:$XFD$4,'Macro Model (LCY)'!P$3,'Detailed Model (LCY)'!$J134:$XFD134)</f>
        <v>-16134716.776699601</v>
      </c>
      <c r="Q52" s="454">
        <f ca="1">+SUMIF('Detailed Model (LCY)'!$J$4:$XFD$4,'Macro Model (LCY)'!Q$3,'Detailed Model (LCY)'!$J134:$XFD134)</f>
        <v>-16126683.289055627</v>
      </c>
    </row>
    <row r="53" spans="2:17" hidden="1" outlineLevel="2">
      <c r="B53" s="6"/>
      <c r="C53" s="5" t="str">
        <f>+'Detailed Model (LCY)'!C135</f>
        <v>Product 3 - COGS related to active installations</v>
      </c>
      <c r="D53" s="30"/>
      <c r="E53" s="30"/>
      <c r="F53" s="430"/>
      <c r="G53" s="430"/>
      <c r="H53" s="454">
        <f ca="1">+SUMIF('Detailed Model (LCY)'!$J$4:$XFD$4,'Macro Model (LCY)'!H$3,'Detailed Model (LCY)'!$J135:$XFD135)</f>
        <v>-1497691.1453216372</v>
      </c>
      <c r="I53" s="454">
        <f ca="1">+SUMIF('Detailed Model (LCY)'!$J$4:$XFD$4,'Macro Model (LCY)'!I$3,'Detailed Model (LCY)'!$J135:$XFD135)</f>
        <v>-2147611.3382697063</v>
      </c>
      <c r="J53" s="454">
        <f ca="1">+SUMIF('Detailed Model (LCY)'!$J$4:$XFD$4,'Macro Model (LCY)'!J$3,'Detailed Model (LCY)'!$J135:$XFD135)</f>
        <v>-2977125.3011298296</v>
      </c>
      <c r="K53" s="454">
        <f ca="1">+SUMIF('Detailed Model (LCY)'!$J$4:$XFD$4,'Macro Model (LCY)'!K$3,'Detailed Model (LCY)'!$J135:$XFD135)</f>
        <v>-3790606.7558323028</v>
      </c>
      <c r="L53" s="454">
        <f ca="1">+SUMIF('Detailed Model (LCY)'!$J$4:$XFD$4,'Macro Model (LCY)'!L$3,'Detailed Model (LCY)'!$J135:$XFD135)</f>
        <v>-4791650.9622300984</v>
      </c>
      <c r="M53" s="454">
        <f ca="1">+SUMIF('Detailed Model (LCY)'!$J$4:$XFD$4,'Macro Model (LCY)'!M$3,'Detailed Model (LCY)'!$J135:$XFD135)</f>
        <v>-5898832.5241422914</v>
      </c>
      <c r="N53" s="454">
        <f ca="1">+SUMIF('Detailed Model (LCY)'!$J$4:$XFD$4,'Macro Model (LCY)'!N$3,'Detailed Model (LCY)'!$J135:$XFD135)</f>
        <v>-6651258.4875723943</v>
      </c>
      <c r="O53" s="454">
        <f ca="1">+SUMIF('Detailed Model (LCY)'!$J$4:$XFD$4,'Macro Model (LCY)'!O$3,'Detailed Model (LCY)'!$J135:$XFD135)</f>
        <v>-6954111.1278223917</v>
      </c>
      <c r="P53" s="454">
        <f ca="1">+SUMIF('Detailed Model (LCY)'!$J$4:$XFD$4,'Macro Model (LCY)'!P$3,'Detailed Model (LCY)'!$J135:$XFD135)</f>
        <v>-7025013.0647124499</v>
      </c>
      <c r="Q53" s="454">
        <f ca="1">+SUMIF('Detailed Model (LCY)'!$J$4:$XFD$4,'Macro Model (LCY)'!Q$3,'Detailed Model (LCY)'!$J135:$XFD135)</f>
        <v>-7057945.0267384788</v>
      </c>
    </row>
    <row r="54" spans="2:17" hidden="1" outlineLevel="2">
      <c r="B54" s="6"/>
      <c r="C54" s="5" t="str">
        <f>+'Detailed Model (LCY)'!C136</f>
        <v>Product 4 - COGS related to active installations</v>
      </c>
      <c r="D54" s="30"/>
      <c r="E54" s="30"/>
      <c r="F54" s="430"/>
      <c r="G54" s="430"/>
      <c r="H54" s="454">
        <f ca="1">+SUMIF('Detailed Model (LCY)'!$J$4:$XFD$4,'Macro Model (LCY)'!H$3,'Detailed Model (LCY)'!$J136:$XFD136)</f>
        <v>-1470459.201491907</v>
      </c>
      <c r="I54" s="454">
        <f ca="1">+SUMIF('Detailed Model (LCY)'!$J$4:$XFD$4,'Macro Model (LCY)'!I$3,'Detailed Model (LCY)'!$J136:$XFD136)</f>
        <v>-2094348.7627936148</v>
      </c>
      <c r="J54" s="454">
        <f ca="1">+SUMIF('Detailed Model (LCY)'!$J$4:$XFD$4,'Macro Model (LCY)'!J$3,'Detailed Model (LCY)'!$J136:$XFD136)</f>
        <v>-2780735.6663775812</v>
      </c>
      <c r="K54" s="454">
        <f ca="1">+SUMIF('Detailed Model (LCY)'!$J$4:$XFD$4,'Macro Model (LCY)'!K$3,'Detailed Model (LCY)'!$J136:$XFD136)</f>
        <v>-3511822.6152280625</v>
      </c>
      <c r="L54" s="454">
        <f ca="1">+SUMIF('Detailed Model (LCY)'!$J$4:$XFD$4,'Macro Model (LCY)'!L$3,'Detailed Model (LCY)'!$J136:$XFD136)</f>
        <v>-4434511.6003522817</v>
      </c>
      <c r="M54" s="454">
        <f ca="1">+SUMIF('Detailed Model (LCY)'!$J$4:$XFD$4,'Macro Model (LCY)'!M$3,'Detailed Model (LCY)'!$J136:$XFD136)</f>
        <v>-5431378.368507429</v>
      </c>
      <c r="N54" s="454">
        <f ca="1">+SUMIF('Detailed Model (LCY)'!$J$4:$XFD$4,'Macro Model (LCY)'!N$3,'Detailed Model (LCY)'!$J136:$XFD136)</f>
        <v>-6014456.6788884811</v>
      </c>
      <c r="O54" s="454">
        <f ca="1">+SUMIF('Detailed Model (LCY)'!$J$4:$XFD$4,'Macro Model (LCY)'!O$3,'Detailed Model (LCY)'!$J136:$XFD136)</f>
        <v>-6160904.4669126142</v>
      </c>
      <c r="P54" s="454">
        <f ca="1">+SUMIF('Detailed Model (LCY)'!$J$4:$XFD$4,'Macro Model (LCY)'!P$3,'Detailed Model (LCY)'!$J136:$XFD136)</f>
        <v>-6201367.7584020197</v>
      </c>
      <c r="Q54" s="454">
        <f ca="1">+SUMIF('Detailed Model (LCY)'!$J$4:$XFD$4,'Macro Model (LCY)'!Q$3,'Detailed Model (LCY)'!$J136:$XFD136)</f>
        <v>-6208133.5461693434</v>
      </c>
    </row>
    <row r="55" spans="2:17" hidden="1" outlineLevel="2">
      <c r="B55" s="6"/>
      <c r="C55" s="5" t="str">
        <f>+'Detailed Model (LCY)'!C137</f>
        <v>Product 5 - COGS related to active installations</v>
      </c>
      <c r="D55" s="30"/>
      <c r="E55" s="30"/>
      <c r="F55" s="430"/>
      <c r="G55" s="430"/>
      <c r="H55" s="454">
        <f ca="1">+SUMIF('Detailed Model (LCY)'!$J$4:$XFD$4,'Macro Model (LCY)'!H$3,'Detailed Model (LCY)'!$J137:$XFD137)</f>
        <v>-309126.94185863424</v>
      </c>
      <c r="I55" s="454">
        <f ca="1">+SUMIF('Detailed Model (LCY)'!$J$4:$XFD$4,'Macro Model (LCY)'!I$3,'Detailed Model (LCY)'!$J137:$XFD137)</f>
        <v>-858990.07224671415</v>
      </c>
      <c r="J55" s="454">
        <f ca="1">+SUMIF('Detailed Model (LCY)'!$J$4:$XFD$4,'Macro Model (LCY)'!J$3,'Detailed Model (LCY)'!$J137:$XFD137)</f>
        <v>-1316743.9083582654</v>
      </c>
      <c r="K55" s="454">
        <f ca="1">+SUMIF('Detailed Model (LCY)'!$J$4:$XFD$4,'Macro Model (LCY)'!K$3,'Detailed Model (LCY)'!$J137:$XFD137)</f>
        <v>-1705541.2970231941</v>
      </c>
      <c r="L55" s="454">
        <f ca="1">+SUMIF('Detailed Model (LCY)'!$J$4:$XFD$4,'Macro Model (LCY)'!L$3,'Detailed Model (LCY)'!$J137:$XFD137)</f>
        <v>-2179929.5179944304</v>
      </c>
      <c r="M55" s="454">
        <f ca="1">+SUMIF('Detailed Model (LCY)'!$J$4:$XFD$4,'Macro Model (LCY)'!M$3,'Detailed Model (LCY)'!$J137:$XFD137)</f>
        <v>-2683773.5382247609</v>
      </c>
      <c r="N55" s="454">
        <f ca="1">+SUMIF('Detailed Model (LCY)'!$J$4:$XFD$4,'Macro Model (LCY)'!N$3,'Detailed Model (LCY)'!$J137:$XFD137)</f>
        <v>-2979513.983351226</v>
      </c>
      <c r="O55" s="454">
        <f ca="1">+SUMIF('Detailed Model (LCY)'!$J$4:$XFD$4,'Macro Model (LCY)'!O$3,'Detailed Model (LCY)'!$J137:$XFD137)</f>
        <v>-3055978.5565718366</v>
      </c>
      <c r="P55" s="454">
        <f ca="1">+SUMIF('Detailed Model (LCY)'!$J$4:$XFD$4,'Macro Model (LCY)'!P$3,'Detailed Model (LCY)'!$J137:$XFD137)</f>
        <v>-3079035.9736541784</v>
      </c>
      <c r="Q55" s="454">
        <f ca="1">+SUMIF('Detailed Model (LCY)'!$J$4:$XFD$4,'Macro Model (LCY)'!Q$3,'Detailed Model (LCY)'!$J137:$XFD137)</f>
        <v>-3084885.6181995813</v>
      </c>
    </row>
    <row r="56" spans="2:17" hidden="1" outlineLevel="2">
      <c r="B56" s="6"/>
      <c r="C56" s="5" t="str">
        <f>+'Detailed Model (LCY)'!C138</f>
        <v>Product 1 - COGS related to lost systems</v>
      </c>
      <c r="D56" s="30"/>
      <c r="E56" s="30"/>
      <c r="F56" s="430"/>
      <c r="G56" s="430"/>
      <c r="H56" s="454">
        <f>+SUMIF('Detailed Model (LCY)'!$J$4:$XFD$4,'Macro Model (LCY)'!H$3,'Detailed Model (LCY)'!$J138:$XFD138)</f>
        <v>0</v>
      </c>
      <c r="I56" s="454">
        <f>+SUMIF('Detailed Model (LCY)'!$J$4:$XFD$4,'Macro Model (LCY)'!I$3,'Detailed Model (LCY)'!$J138:$XFD138)</f>
        <v>0</v>
      </c>
      <c r="J56" s="454">
        <f>+SUMIF('Detailed Model (LCY)'!$J$4:$XFD$4,'Macro Model (LCY)'!J$3,'Detailed Model (LCY)'!$J138:$XFD138)</f>
        <v>0</v>
      </c>
      <c r="K56" s="454">
        <f>+SUMIF('Detailed Model (LCY)'!$J$4:$XFD$4,'Macro Model (LCY)'!K$3,'Detailed Model (LCY)'!$J138:$XFD138)</f>
        <v>0</v>
      </c>
      <c r="L56" s="454">
        <f>+SUMIF('Detailed Model (LCY)'!$J$4:$XFD$4,'Macro Model (LCY)'!L$3,'Detailed Model (LCY)'!$J138:$XFD138)</f>
        <v>0</v>
      </c>
      <c r="M56" s="454">
        <f>+SUMIF('Detailed Model (LCY)'!$J$4:$XFD$4,'Macro Model (LCY)'!M$3,'Detailed Model (LCY)'!$J138:$XFD138)</f>
        <v>0</v>
      </c>
      <c r="N56" s="454">
        <f>+SUMIF('Detailed Model (LCY)'!$J$4:$XFD$4,'Macro Model (LCY)'!N$3,'Detailed Model (LCY)'!$J138:$XFD138)</f>
        <v>0</v>
      </c>
      <c r="O56" s="454">
        <f>+SUMIF('Detailed Model (LCY)'!$J$4:$XFD$4,'Macro Model (LCY)'!O$3,'Detailed Model (LCY)'!$J138:$XFD138)</f>
        <v>0</v>
      </c>
      <c r="P56" s="454">
        <f>+SUMIF('Detailed Model (LCY)'!$J$4:$XFD$4,'Macro Model (LCY)'!P$3,'Detailed Model (LCY)'!$J138:$XFD138)</f>
        <v>0</v>
      </c>
      <c r="Q56" s="454">
        <f>+SUMIF('Detailed Model (LCY)'!$J$4:$XFD$4,'Macro Model (LCY)'!Q$3,'Detailed Model (LCY)'!$J138:$XFD138)</f>
        <v>0</v>
      </c>
    </row>
    <row r="57" spans="2:17" hidden="1" outlineLevel="2">
      <c r="B57" s="6"/>
      <c r="C57" s="5" t="str">
        <f>+'Detailed Model (LCY)'!C139</f>
        <v>Product 2 - COGS related to lost systems</v>
      </c>
      <c r="D57" s="30"/>
      <c r="E57" s="30"/>
      <c r="F57" s="430"/>
      <c r="G57" s="430"/>
      <c r="H57" s="454">
        <f ca="1">+SUMIF('Detailed Model (LCY)'!$J$4:$XFD$4,'Macro Model (LCY)'!H$3,'Detailed Model (LCY)'!$J139:$XFD139)</f>
        <v>-177024.0098683403</v>
      </c>
      <c r="I57" s="454">
        <f ca="1">+SUMIF('Detailed Model (LCY)'!$J$4:$XFD$4,'Macro Model (LCY)'!I$3,'Detailed Model (LCY)'!$J139:$XFD139)</f>
        <v>-210474.7755000235</v>
      </c>
      <c r="J57" s="454">
        <f ca="1">+SUMIF('Detailed Model (LCY)'!$J$4:$XFD$4,'Macro Model (LCY)'!J$3,'Detailed Model (LCY)'!$J139:$XFD139)</f>
        <v>-228130.15418499464</v>
      </c>
      <c r="K57" s="454">
        <f ca="1">+SUMIF('Detailed Model (LCY)'!$J$4:$XFD$4,'Macro Model (LCY)'!K$3,'Detailed Model (LCY)'!$J139:$XFD139)</f>
        <v>-239772.21502491139</v>
      </c>
      <c r="L57" s="454">
        <f ca="1">+SUMIF('Detailed Model (LCY)'!$J$4:$XFD$4,'Macro Model (LCY)'!L$3,'Detailed Model (LCY)'!$J139:$XFD139)</f>
        <v>-302834.94646804605</v>
      </c>
      <c r="M57" s="454">
        <f ca="1">+SUMIF('Detailed Model (LCY)'!$J$4:$XFD$4,'Macro Model (LCY)'!M$3,'Detailed Model (LCY)'!$J139:$XFD139)</f>
        <v>-367822.74368096032</v>
      </c>
      <c r="N57" s="454">
        <f ca="1">+SUMIF('Detailed Model (LCY)'!$J$4:$XFD$4,'Macro Model (LCY)'!N$3,'Detailed Model (LCY)'!$J139:$XFD139)</f>
        <v>-385963.39036387933</v>
      </c>
      <c r="O57" s="454">
        <f ca="1">+SUMIF('Detailed Model (LCY)'!$J$4:$XFD$4,'Macro Model (LCY)'!O$3,'Detailed Model (LCY)'!$J139:$XFD139)</f>
        <v>-387335.92332701141</v>
      </c>
      <c r="P57" s="454">
        <f ca="1">+SUMIF('Detailed Model (LCY)'!$J$4:$XFD$4,'Macro Model (LCY)'!P$3,'Detailed Model (LCY)'!$J139:$XFD139)</f>
        <v>-387248.90407102066</v>
      </c>
      <c r="Q57" s="454">
        <f ca="1">+SUMIF('Detailed Model (LCY)'!$J$4:$XFD$4,'Macro Model (LCY)'!Q$3,'Detailed Model (LCY)'!$J139:$XFD139)</f>
        <v>-387056.22134908964</v>
      </c>
    </row>
    <row r="58" spans="2:17" hidden="1" outlineLevel="2">
      <c r="B58" s="6"/>
      <c r="C58" s="5" t="str">
        <f>+'Detailed Model (LCY)'!C140</f>
        <v>Product 3 - COGS related to lost systems</v>
      </c>
      <c r="D58" s="30"/>
      <c r="E58" s="30"/>
      <c r="F58" s="430"/>
      <c r="G58" s="430"/>
      <c r="H58" s="454">
        <f ca="1">+SUMIF('Detailed Model (LCY)'!$J$4:$XFD$4,'Macro Model (LCY)'!H$3,'Detailed Model (LCY)'!$J140:$XFD140)</f>
        <v>-139433.09527372362</v>
      </c>
      <c r="I58" s="454">
        <f ca="1">+SUMIF('Detailed Model (LCY)'!$J$4:$XFD$4,'Macro Model (LCY)'!I$3,'Detailed Model (LCY)'!$J140:$XFD140)</f>
        <v>-175172.45438941225</v>
      </c>
      <c r="J58" s="454">
        <f ca="1">+SUMIF('Detailed Model (LCY)'!$J$4:$XFD$4,'Macro Model (LCY)'!J$3,'Detailed Model (LCY)'!$J140:$XFD140)</f>
        <v>-209394.45019507853</v>
      </c>
      <c r="K58" s="454">
        <f ca="1">+SUMIF('Detailed Model (LCY)'!$J$4:$XFD$4,'Macro Model (LCY)'!K$3,'Detailed Model (LCY)'!$J140:$XFD140)</f>
        <v>-223065.55545567797</v>
      </c>
      <c r="L58" s="454">
        <f ca="1">+SUMIF('Detailed Model (LCY)'!$J$4:$XFD$4,'Macro Model (LCY)'!L$3,'Detailed Model (LCY)'!$J140:$XFD140)</f>
        <v>-281913.69473993394</v>
      </c>
      <c r="M58" s="454">
        <f ca="1">+SUMIF('Detailed Model (LCY)'!$J$4:$XFD$4,'Macro Model (LCY)'!M$3,'Detailed Model (LCY)'!$J140:$XFD140)</f>
        <v>-348973.53453874309</v>
      </c>
      <c r="N58" s="454">
        <f ca="1">+SUMIF('Detailed Model (LCY)'!$J$4:$XFD$4,'Macro Model (LCY)'!N$3,'Detailed Model (LCY)'!$J140:$XFD140)</f>
        <v>-396346.8457666093</v>
      </c>
      <c r="O58" s="454">
        <f ca="1">+SUMIF('Detailed Model (LCY)'!$J$4:$XFD$4,'Macro Model (LCY)'!O$3,'Detailed Model (LCY)'!$J140:$XFD140)</f>
        <v>-416588.50803287927</v>
      </c>
      <c r="P58" s="454">
        <f ca="1">+SUMIF('Detailed Model (LCY)'!$J$4:$XFD$4,'Macro Model (LCY)'!P$3,'Detailed Model (LCY)'!$J140:$XFD140)</f>
        <v>-421246.58250309428</v>
      </c>
      <c r="Q58" s="454">
        <f ca="1">+SUMIF('Detailed Model (LCY)'!$J$4:$XFD$4,'Macro Model (LCY)'!Q$3,'Detailed Model (LCY)'!$J140:$XFD140)</f>
        <v>-423390.04877165187</v>
      </c>
    </row>
    <row r="59" spans="2:17" hidden="1" outlineLevel="2">
      <c r="B59" s="6"/>
      <c r="C59" s="5" t="str">
        <f>+'Detailed Model (LCY)'!C141</f>
        <v>Product 4 - COGS related to lost systems</v>
      </c>
      <c r="D59" s="30"/>
      <c r="E59" s="30"/>
      <c r="F59" s="430"/>
      <c r="G59" s="430"/>
      <c r="H59" s="454">
        <f ca="1">+SUMIF('Detailed Model (LCY)'!$J$4:$XFD$4,'Macro Model (LCY)'!H$3,'Detailed Model (LCY)'!$J141:$XFD141)</f>
        <v>-109692.25188564294</v>
      </c>
      <c r="I59" s="454">
        <f ca="1">+SUMIF('Detailed Model (LCY)'!$J$4:$XFD$4,'Macro Model (LCY)'!I$3,'Detailed Model (LCY)'!$J141:$XFD141)</f>
        <v>-136650.82147879954</v>
      </c>
      <c r="J59" s="454">
        <f ca="1">+SUMIF('Detailed Model (LCY)'!$J$4:$XFD$4,'Macro Model (LCY)'!J$3,'Detailed Model (LCY)'!$J141:$XFD141)</f>
        <v>-157116.61099308965</v>
      </c>
      <c r="K59" s="454">
        <f ca="1">+SUMIF('Detailed Model (LCY)'!$J$4:$XFD$4,'Macro Model (LCY)'!K$3,'Detailed Model (LCY)'!$J141:$XFD141)</f>
        <v>-165296.35118073208</v>
      </c>
      <c r="L59" s="454">
        <f ca="1">+SUMIF('Detailed Model (LCY)'!$J$4:$XFD$4,'Macro Model (LCY)'!L$3,'Detailed Model (LCY)'!$J141:$XFD141)</f>
        <v>-208784.96846955299</v>
      </c>
      <c r="M59" s="454">
        <f ca="1">+SUMIF('Detailed Model (LCY)'!$J$4:$XFD$4,'Macro Model (LCY)'!M$3,'Detailed Model (LCY)'!$J141:$XFD141)</f>
        <v>-257247.66732790298</v>
      </c>
      <c r="N59" s="454">
        <f ca="1">+SUMIF('Detailed Model (LCY)'!$J$4:$XFD$4,'Macro Model (LCY)'!N$3,'Detailed Model (LCY)'!$J141:$XFD141)</f>
        <v>-287341.91384366655</v>
      </c>
      <c r="O59" s="454">
        <f ca="1">+SUMIF('Detailed Model (LCY)'!$J$4:$XFD$4,'Macro Model (LCY)'!O$3,'Detailed Model (LCY)'!$J141:$XFD141)</f>
        <v>-295474.51002765103</v>
      </c>
      <c r="P59" s="454">
        <f ca="1">+SUMIF('Detailed Model (LCY)'!$J$4:$XFD$4,'Macro Model (LCY)'!P$3,'Detailed Model (LCY)'!$J141:$XFD141)</f>
        <v>-297579.65722697723</v>
      </c>
      <c r="Q59" s="454">
        <f ca="1">+SUMIF('Detailed Model (LCY)'!$J$4:$XFD$4,'Macro Model (LCY)'!Q$3,'Detailed Model (LCY)'!$J141:$XFD141)</f>
        <v>-297988.78505609033</v>
      </c>
    </row>
    <row r="60" spans="2:17" hidden="1" outlineLevel="2">
      <c r="B60" s="6"/>
      <c r="C60" s="5" t="str">
        <f>+'Detailed Model (LCY)'!C142</f>
        <v>Product 5 - COGS related to lost systems</v>
      </c>
      <c r="D60" s="30"/>
      <c r="E60" s="30"/>
      <c r="F60" s="430"/>
      <c r="G60" s="430"/>
      <c r="H60" s="454">
        <f ca="1">+SUMIF('Detailed Model (LCY)'!$J$4:$XFD$4,'Macro Model (LCY)'!H$3,'Detailed Model (LCY)'!$J142:$XFD142)</f>
        <v>-20496.948901969088</v>
      </c>
      <c r="I60" s="454">
        <f ca="1">+SUMIF('Detailed Model (LCY)'!$J$4:$XFD$4,'Macro Model (LCY)'!I$3,'Detailed Model (LCY)'!$J142:$XFD142)</f>
        <v>-54419.490022938378</v>
      </c>
      <c r="J60" s="454">
        <f ca="1">+SUMIF('Detailed Model (LCY)'!$J$4:$XFD$4,'Macro Model (LCY)'!J$3,'Detailed Model (LCY)'!$J142:$XFD142)</f>
        <v>-74198.48513235987</v>
      </c>
      <c r="K60" s="454">
        <f ca="1">+SUMIF('Detailed Model (LCY)'!$J$4:$XFD$4,'Macro Model (LCY)'!K$3,'Detailed Model (LCY)'!$J142:$XFD142)</f>
        <v>-80142.454462136157</v>
      </c>
      <c r="L60" s="454">
        <f ca="1">+SUMIF('Detailed Model (LCY)'!$J$4:$XFD$4,'Macro Model (LCY)'!L$3,'Detailed Model (LCY)'!$J142:$XFD142)</f>
        <v>-102577.73299433907</v>
      </c>
      <c r="M60" s="454">
        <f ca="1">+SUMIF('Detailed Model (LCY)'!$J$4:$XFD$4,'Macro Model (LCY)'!M$3,'Detailed Model (LCY)'!$J142:$XFD142)</f>
        <v>-127071.41629758713</v>
      </c>
      <c r="N60" s="454">
        <f ca="1">+SUMIF('Detailed Model (LCY)'!$J$4:$XFD$4,'Macro Model (LCY)'!N$3,'Detailed Model (LCY)'!$J142:$XFD142)</f>
        <v>-142326.83834708153</v>
      </c>
      <c r="O60" s="454">
        <f ca="1">+SUMIF('Detailed Model (LCY)'!$J$4:$XFD$4,'Macro Model (LCY)'!O$3,'Detailed Model (LCY)'!$J142:$XFD142)</f>
        <v>-146550.26027948802</v>
      </c>
      <c r="P60" s="454">
        <f ca="1">+SUMIF('Detailed Model (LCY)'!$J$4:$XFD$4,'Macro Model (LCY)'!P$3,'Detailed Model (LCY)'!$J142:$XFD142)</f>
        <v>-147740.2023772682</v>
      </c>
      <c r="Q60" s="454">
        <f ca="1">+SUMIF('Detailed Model (LCY)'!$J$4:$XFD$4,'Macro Model (LCY)'!Q$3,'Detailed Model (LCY)'!$J142:$XFD142)</f>
        <v>-148064.3663239092</v>
      </c>
    </row>
    <row r="61" spans="2:17" hidden="1" outlineLevel="2">
      <c r="B61" s="6"/>
      <c r="C61" s="9" t="s">
        <v>614</v>
      </c>
      <c r="D61" s="30"/>
      <c r="E61" s="30"/>
      <c r="F61" s="430"/>
      <c r="G61" s="430"/>
      <c r="H61" s="454">
        <f ca="1">+SUMIF('Detailed Model (LCY)'!$J$4:$XFD$4,'Macro Model (LCY)'!H$3,'Detailed Model (LCY)'!$J143:$XFD143)</f>
        <v>0</v>
      </c>
      <c r="I61" s="454">
        <f ca="1">+SUMIF('Detailed Model (LCY)'!$J$4:$XFD$4,'Macro Model (LCY)'!I$3,'Detailed Model (LCY)'!$J143:$XFD143)</f>
        <v>0</v>
      </c>
      <c r="J61" s="454">
        <f ca="1">+SUMIF('Detailed Model (LCY)'!$J$4:$XFD$4,'Macro Model (LCY)'!J$3,'Detailed Model (LCY)'!$J143:$XFD143)</f>
        <v>0</v>
      </c>
      <c r="K61" s="454">
        <f ca="1">+SUMIF('Detailed Model (LCY)'!$J$4:$XFD$4,'Macro Model (LCY)'!K$3,'Detailed Model (LCY)'!$J143:$XFD143)</f>
        <v>0</v>
      </c>
      <c r="L61" s="454">
        <f ca="1">+SUMIF('Detailed Model (LCY)'!$J$4:$XFD$4,'Macro Model (LCY)'!L$3,'Detailed Model (LCY)'!$J143:$XFD143)</f>
        <v>0</v>
      </c>
      <c r="M61" s="454">
        <f ca="1">+SUMIF('Detailed Model (LCY)'!$J$4:$XFD$4,'Macro Model (LCY)'!M$3,'Detailed Model (LCY)'!$J143:$XFD143)</f>
        <v>0</v>
      </c>
      <c r="N61" s="454">
        <f ca="1">+SUMIF('Detailed Model (LCY)'!$J$4:$XFD$4,'Macro Model (LCY)'!N$3,'Detailed Model (LCY)'!$J143:$XFD143)</f>
        <v>0</v>
      </c>
      <c r="O61" s="454">
        <f ca="1">+SUMIF('Detailed Model (LCY)'!$J$4:$XFD$4,'Macro Model (LCY)'!O$3,'Detailed Model (LCY)'!$J143:$XFD143)</f>
        <v>0</v>
      </c>
      <c r="P61" s="454">
        <f ca="1">+SUMIF('Detailed Model (LCY)'!$J$4:$XFD$4,'Macro Model (LCY)'!P$3,'Detailed Model (LCY)'!$J143:$XFD143)</f>
        <v>0</v>
      </c>
      <c r="Q61" s="454">
        <f ca="1">+SUMIF('Detailed Model (LCY)'!$J$4:$XFD$4,'Macro Model (LCY)'!Q$3,'Detailed Model (LCY)'!$J143:$XFD143)</f>
        <v>0</v>
      </c>
    </row>
    <row r="62" spans="2:17" outlineLevel="1" collapsed="1">
      <c r="B62" s="6"/>
      <c r="C62" s="203" t="s">
        <v>107</v>
      </c>
      <c r="D62" s="204"/>
      <c r="E62" s="204"/>
      <c r="F62" s="56"/>
      <c r="G62" s="56"/>
      <c r="H62" s="289">
        <f t="shared" ref="H62:Q62" ca="1" si="7">SUM(H51:H61)</f>
        <v>-8600627.4901059922</v>
      </c>
      <c r="I62" s="289">
        <f t="shared" ca="1" si="7"/>
        <v>-12226681.58290511</v>
      </c>
      <c r="J62" s="289">
        <f t="shared" ca="1" si="7"/>
        <v>-16021804.542815514</v>
      </c>
      <c r="K62" s="289">
        <f t="shared" ca="1" si="7"/>
        <v>-20159907.530315384</v>
      </c>
      <c r="L62" s="289">
        <f t="shared" ca="1" si="7"/>
        <v>-25495519.973422922</v>
      </c>
      <c r="M62" s="289">
        <f t="shared" ca="1" si="7"/>
        <v>-30946041.448022712</v>
      </c>
      <c r="N62" s="289">
        <f t="shared" ca="1" si="7"/>
        <v>-33313930.296174236</v>
      </c>
      <c r="O62" s="289">
        <f t="shared" ca="1" si="7"/>
        <v>-33919422.404328741</v>
      </c>
      <c r="P62" s="289">
        <f t="shared" ca="1" si="7"/>
        <v>-34057159.027918659</v>
      </c>
      <c r="Q62" s="289">
        <f t="shared" ca="1" si="7"/>
        <v>-34097357.009935826</v>
      </c>
    </row>
    <row r="63" spans="2:17" hidden="1" outlineLevel="2">
      <c r="B63" s="6"/>
      <c r="C63" s="61"/>
      <c r="D63" s="30"/>
      <c r="E63" s="30"/>
      <c r="H63" s="341"/>
      <c r="I63" s="341"/>
      <c r="J63" s="341"/>
      <c r="K63" s="341"/>
      <c r="L63" s="341"/>
      <c r="M63" s="341"/>
      <c r="N63" s="341"/>
      <c r="O63" s="341"/>
      <c r="P63" s="341"/>
      <c r="Q63" s="341"/>
    </row>
    <row r="64" spans="2:17" hidden="1" outlineLevel="2">
      <c r="B64" s="6"/>
      <c r="C64" s="5" t="str">
        <f>+'Detailed Model (LCY)'!C146</f>
        <v>Product 1 - COGS related to new sales</v>
      </c>
      <c r="D64" s="30"/>
      <c r="E64" s="30"/>
      <c r="H64" s="454">
        <f>+SUMIF('Detailed Model (LCY)'!$J$4:$XFD$4,'Macro Model (LCY)'!H$3,'Detailed Model (LCY)'!$J146:$XFD146)</f>
        <v>-126201.05829681353</v>
      </c>
      <c r="I64" s="454">
        <f>+SUMIF('Detailed Model (LCY)'!$J$4:$XFD$4,'Macro Model (LCY)'!I$3,'Detailed Model (LCY)'!$J146:$XFD146)</f>
        <v>-160053.4566500432</v>
      </c>
      <c r="J64" s="454">
        <f>+SUMIF('Detailed Model (LCY)'!$J$4:$XFD$4,'Macro Model (LCY)'!J$3,'Detailed Model (LCY)'!$J146:$XFD146)</f>
        <v>-202986.48308778938</v>
      </c>
      <c r="K64" s="454">
        <f>+SUMIF('Detailed Model (LCY)'!$J$4:$XFD$4,'Macro Model (LCY)'!K$3,'Detailed Model (LCY)'!$J146:$XFD146)</f>
        <v>-257435.9415831978</v>
      </c>
      <c r="L64" s="454">
        <f>+SUMIF('Detailed Model (LCY)'!$J$4:$XFD$4,'Macro Model (LCY)'!L$3,'Detailed Model (LCY)'!$J146:$XFD146)</f>
        <v>-326491.02053837338</v>
      </c>
      <c r="M64" s="454">
        <f>+SUMIF('Detailed Model (LCY)'!$J$4:$XFD$4,'Macro Model (LCY)'!M$3,'Detailed Model (LCY)'!$J146:$XFD146)</f>
        <v>-363210.10827205121</v>
      </c>
      <c r="N64" s="454">
        <f>+SUMIF('Detailed Model (LCY)'!$J$4:$XFD$4,'Macro Model (LCY)'!N$3,'Detailed Model (LCY)'!$J146:$XFD146)</f>
        <v>-363210.10827205121</v>
      </c>
      <c r="O64" s="454">
        <f>+SUMIF('Detailed Model (LCY)'!$J$4:$XFD$4,'Macro Model (LCY)'!O$3,'Detailed Model (LCY)'!$J146:$XFD146)</f>
        <v>-363210.10827205121</v>
      </c>
      <c r="P64" s="454">
        <f>+SUMIF('Detailed Model (LCY)'!$J$4:$XFD$4,'Macro Model (LCY)'!P$3,'Detailed Model (LCY)'!$J146:$XFD146)</f>
        <v>-363210.10827205121</v>
      </c>
      <c r="Q64" s="454">
        <f>+SUMIF('Detailed Model (LCY)'!$J$4:$XFD$4,'Macro Model (LCY)'!Q$3,'Detailed Model (LCY)'!$J146:$XFD146)</f>
        <v>-363210.10827205121</v>
      </c>
    </row>
    <row r="65" spans="2:17" hidden="1" outlineLevel="2">
      <c r="B65" s="6"/>
      <c r="C65" s="5" t="str">
        <f>+'Detailed Model (LCY)'!C147</f>
        <v>Product 2 - COGS related to new sales</v>
      </c>
      <c r="D65" s="30"/>
      <c r="E65" s="30"/>
      <c r="H65" s="454">
        <f ca="1">+SUMIF('Detailed Model (LCY)'!$J$4:$XFD$4,'Macro Model (LCY)'!H$3,'Detailed Model (LCY)'!$J147:$XFD147)</f>
        <v>-5719621.1922634933</v>
      </c>
      <c r="I65" s="454">
        <f ca="1">+SUMIF('Detailed Model (LCY)'!$J$4:$XFD$4,'Macro Model (LCY)'!I$3,'Detailed Model (LCY)'!$J147:$XFD147)</f>
        <v>-7319443.5836215913</v>
      </c>
      <c r="J65" s="454">
        <f ca="1">+SUMIF('Detailed Model (LCY)'!$J$4:$XFD$4,'Macro Model (LCY)'!J$3,'Detailed Model (LCY)'!$J147:$XFD147)</f>
        <v>-9288637.2608699165</v>
      </c>
      <c r="K65" s="454">
        <f ca="1">+SUMIF('Detailed Model (LCY)'!$J$4:$XFD$4,'Macro Model (LCY)'!K$3,'Detailed Model (LCY)'!$J147:$XFD147)</f>
        <v>-11780753.243864737</v>
      </c>
      <c r="L65" s="454">
        <f ca="1">+SUMIF('Detailed Model (LCY)'!$J$4:$XFD$4,'Macro Model (LCY)'!L$3,'Detailed Model (LCY)'!$J147:$XFD147)</f>
        <v>-14940889.306729989</v>
      </c>
      <c r="M65" s="454">
        <f ca="1">+SUMIF('Detailed Model (LCY)'!$J$4:$XFD$4,'Macro Model (LCY)'!M$3,'Detailed Model (LCY)'!$J147:$XFD147)</f>
        <v>-16783898.693767235</v>
      </c>
      <c r="N65" s="454">
        <f ca="1">+SUMIF('Detailed Model (LCY)'!$J$4:$XFD$4,'Macro Model (LCY)'!N$3,'Detailed Model (LCY)'!$J147:$XFD147)</f>
        <v>-16947260.257677298</v>
      </c>
      <c r="O65" s="454">
        <f ca="1">+SUMIF('Detailed Model (LCY)'!$J$4:$XFD$4,'Macro Model (LCY)'!O$3,'Detailed Model (LCY)'!$J147:$XFD147)</f>
        <v>-16961740.379564274</v>
      </c>
      <c r="P65" s="454">
        <f ca="1">+SUMIF('Detailed Model (LCY)'!$J$4:$XFD$4,'Macro Model (LCY)'!P$3,'Detailed Model (LCY)'!$J147:$XFD147)</f>
        <v>-16963023.875662398</v>
      </c>
      <c r="Q65" s="454">
        <f ca="1">+SUMIF('Detailed Model (LCY)'!$J$4:$XFD$4,'Macro Model (LCY)'!Q$3,'Detailed Model (LCY)'!$J147:$XFD147)</f>
        <v>-16963137.642814826</v>
      </c>
    </row>
    <row r="66" spans="2:17" hidden="1" outlineLevel="2">
      <c r="B66" s="6"/>
      <c r="C66" s="5" t="str">
        <f>+'Detailed Model (LCY)'!C148</f>
        <v>Product 3 - COGS related to new sales</v>
      </c>
      <c r="D66" s="30"/>
      <c r="E66" s="30"/>
      <c r="H66" s="454">
        <f ca="1">+SUMIF('Detailed Model (LCY)'!$J$4:$XFD$4,'Macro Model (LCY)'!H$3,'Detailed Model (LCY)'!$J148:$XFD148)</f>
        <v>-2695048.9723667637</v>
      </c>
      <c r="I66" s="454">
        <f ca="1">+SUMIF('Detailed Model (LCY)'!$J$4:$XFD$4,'Macro Model (LCY)'!I$3,'Detailed Model (LCY)'!$J148:$XFD148)</f>
        <v>-3393793.6662891861</v>
      </c>
      <c r="J66" s="454">
        <f ca="1">+SUMIF('Detailed Model (LCY)'!$J$4:$XFD$4,'Macro Model (LCY)'!J$3,'Detailed Model (LCY)'!$J148:$XFD148)</f>
        <v>-4328859.1241170298</v>
      </c>
      <c r="K66" s="454">
        <f ca="1">+SUMIF('Detailed Model (LCY)'!$J$4:$XFD$4,'Macro Model (LCY)'!K$3,'Detailed Model (LCY)'!$J148:$XFD148)</f>
        <v>-5537377.5174277415</v>
      </c>
      <c r="L66" s="454">
        <f ca="1">+SUMIF('Detailed Model (LCY)'!$J$4:$XFD$4,'Macro Model (LCY)'!L$3,'Detailed Model (LCY)'!$J148:$XFD148)</f>
        <v>-7020944.9985367814</v>
      </c>
      <c r="M66" s="454">
        <f ca="1">+SUMIF('Detailed Model (LCY)'!$J$4:$XFD$4,'Macro Model (LCY)'!M$3,'Detailed Model (LCY)'!$J148:$XFD148)</f>
        <v>-7860759.6523516253</v>
      </c>
      <c r="N66" s="454">
        <f ca="1">+SUMIF('Detailed Model (LCY)'!$J$4:$XFD$4,'Macro Model (LCY)'!N$3,'Detailed Model (LCY)'!$J148:$XFD148)</f>
        <v>-7958205.225117255</v>
      </c>
      <c r="O66" s="454">
        <f ca="1">+SUMIF('Detailed Model (LCY)'!$J$4:$XFD$4,'Macro Model (LCY)'!O$3,'Detailed Model (LCY)'!$J148:$XFD148)</f>
        <v>-8061987.8489287747</v>
      </c>
      <c r="P66" s="454">
        <f ca="1">+SUMIF('Detailed Model (LCY)'!$J$4:$XFD$4,'Macro Model (LCY)'!P$3,'Detailed Model (LCY)'!$J148:$XFD148)</f>
        <v>-8081842.1551570771</v>
      </c>
      <c r="Q66" s="454">
        <f ca="1">+SUMIF('Detailed Model (LCY)'!$J$4:$XFD$4,'Macro Model (LCY)'!Q$3,'Detailed Model (LCY)'!$J148:$XFD148)</f>
        <v>-8089959.5931743132</v>
      </c>
    </row>
    <row r="67" spans="2:17" hidden="1" outlineLevel="2">
      <c r="B67" s="6"/>
      <c r="C67" s="5" t="str">
        <f>+'Detailed Model (LCY)'!C149</f>
        <v>Product 4 - COGS related to new sales</v>
      </c>
      <c r="D67" s="30"/>
      <c r="E67" s="30"/>
      <c r="H67" s="454">
        <f ca="1">+SUMIF('Detailed Model (LCY)'!$J$4:$XFD$4,'Macro Model (LCY)'!H$3,'Detailed Model (LCY)'!$J149:$XFD149)</f>
        <v>-2308106.203251753</v>
      </c>
      <c r="I67" s="454">
        <f ca="1">+SUMIF('Detailed Model (LCY)'!$J$4:$XFD$4,'Macro Model (LCY)'!I$3,'Detailed Model (LCY)'!$J149:$XFD149)</f>
        <v>-2901669.935895103</v>
      </c>
      <c r="J67" s="454">
        <f ca="1">+SUMIF('Detailed Model (LCY)'!$J$4:$XFD$4,'Macro Model (LCY)'!J$3,'Detailed Model (LCY)'!$J149:$XFD149)</f>
        <v>-3740482.5489689163</v>
      </c>
      <c r="K67" s="454">
        <f ca="1">+SUMIF('Detailed Model (LCY)'!$J$4:$XFD$4,'Macro Model (LCY)'!K$3,'Detailed Model (LCY)'!$J149:$XFD149)</f>
        <v>-4741827.571481416</v>
      </c>
      <c r="L67" s="454">
        <f ca="1">+SUMIF('Detailed Model (LCY)'!$J$4:$XFD$4,'Macro Model (LCY)'!L$3,'Detailed Model (LCY)'!$J149:$XFD149)</f>
        <v>-6018534.3908217866</v>
      </c>
      <c r="M67" s="454">
        <f ca="1">+SUMIF('Detailed Model (LCY)'!$J$4:$XFD$4,'Macro Model (LCY)'!M$3,'Detailed Model (LCY)'!$J149:$XFD149)</f>
        <v>-6741035.7872562613</v>
      </c>
      <c r="N67" s="454">
        <f ca="1">+SUMIF('Detailed Model (LCY)'!$J$4:$XFD$4,'Macro Model (LCY)'!N$3,'Detailed Model (LCY)'!$J149:$XFD149)</f>
        <v>-6841343.8512737863</v>
      </c>
      <c r="O67" s="454">
        <f ca="1">+SUMIF('Detailed Model (LCY)'!$J$4:$XFD$4,'Macro Model (LCY)'!O$3,'Detailed Model (LCY)'!$J149:$XFD149)</f>
        <v>-6898109.2066619107</v>
      </c>
      <c r="P67" s="454">
        <f ca="1">+SUMIF('Detailed Model (LCY)'!$J$4:$XFD$4,'Macro Model (LCY)'!P$3,'Detailed Model (LCY)'!$J149:$XFD149)</f>
        <v>-6905990.1919864379</v>
      </c>
      <c r="Q67" s="454">
        <f ca="1">+SUMIF('Detailed Model (LCY)'!$J$4:$XFD$4,'Macro Model (LCY)'!Q$3,'Detailed Model (LCY)'!$J149:$XFD149)</f>
        <v>-6910450.1218747981</v>
      </c>
    </row>
    <row r="68" spans="2:17" hidden="1" outlineLevel="2">
      <c r="B68" s="6"/>
      <c r="C68" s="5" t="str">
        <f>+'Detailed Model (LCY)'!C150</f>
        <v>Product 5 - COGS related to new sales</v>
      </c>
      <c r="D68" s="30"/>
      <c r="E68" s="30"/>
      <c r="H68" s="454">
        <f ca="1">+SUMIF('Detailed Model (LCY)'!$J$4:$XFD$4,'Macro Model (LCY)'!H$3,'Detailed Model (LCY)'!$J150:$XFD150)</f>
        <v>-1109573.8978794278</v>
      </c>
      <c r="I68" s="454">
        <f ca="1">+SUMIF('Detailed Model (LCY)'!$J$4:$XFD$4,'Macro Model (LCY)'!I$3,'Detailed Model (LCY)'!$J150:$XFD150)</f>
        <v>-1406355.7642011028</v>
      </c>
      <c r="J68" s="454">
        <f ca="1">+SUMIF('Detailed Model (LCY)'!$J$4:$XFD$4,'Macro Model (LCY)'!J$3,'Detailed Model (LCY)'!$J150:$XFD150)</f>
        <v>-1866746.6406740488</v>
      </c>
      <c r="K68" s="454">
        <f ca="1">+SUMIF('Detailed Model (LCY)'!$J$4:$XFD$4,'Macro Model (LCY)'!K$3,'Detailed Model (LCY)'!$J150:$XFD150)</f>
        <v>-2367419.1519302991</v>
      </c>
      <c r="L68" s="454">
        <f ca="1">+SUMIF('Detailed Model (LCY)'!$J$4:$XFD$4,'Macro Model (LCY)'!L$3,'Detailed Model (LCY)'!$J150:$XFD150)</f>
        <v>-3008992.6296713967</v>
      </c>
      <c r="M68" s="454">
        <f ca="1">+SUMIF('Detailed Model (LCY)'!$J$4:$XFD$4,'Macro Model (LCY)'!M$3,'Detailed Model (LCY)'!$J150:$XFD150)</f>
        <v>-3370243.3278886345</v>
      </c>
      <c r="N68" s="454">
        <f ca="1">+SUMIF('Detailed Model (LCY)'!$J$4:$XFD$4,'Macro Model (LCY)'!N$3,'Detailed Model (LCY)'!$J150:$XFD150)</f>
        <v>-3420650.3536069188</v>
      </c>
      <c r="O68" s="454">
        <f ca="1">+SUMIF('Detailed Model (LCY)'!$J$4:$XFD$4,'Macro Model (LCY)'!O$3,'Detailed Model (LCY)'!$J150:$XFD150)</f>
        <v>-3449033.0313009825</v>
      </c>
      <c r="P68" s="454">
        <f ca="1">+SUMIF('Detailed Model (LCY)'!$J$4:$XFD$4,'Macro Model (LCY)'!P$3,'Detailed Model (LCY)'!$J150:$XFD150)</f>
        <v>-3452993.4011259791</v>
      </c>
      <c r="Q68" s="454">
        <f ca="1">+SUMIF('Detailed Model (LCY)'!$J$4:$XFD$4,'Macro Model (LCY)'!Q$3,'Detailed Model (LCY)'!$J150:$XFD150)</f>
        <v>-3455223.3660701588</v>
      </c>
    </row>
    <row r="69" spans="2:17" hidden="1" outlineLevel="2">
      <c r="B69" s="6"/>
      <c r="C69" s="5" t="str">
        <f>+'Detailed Model (LCY)'!C151</f>
        <v>Product 1 - COGS reduction related to repossessed systems</v>
      </c>
      <c r="D69" s="30"/>
      <c r="E69" s="30"/>
      <c r="H69" s="454">
        <f>+SUMIF('Detailed Model (LCY)'!$J$4:$XFD$4,'Macro Model (LCY)'!H$3,'Detailed Model (LCY)'!$J151:$XFD151)</f>
        <v>0</v>
      </c>
      <c r="I69" s="454">
        <f>+SUMIF('Detailed Model (LCY)'!$J$4:$XFD$4,'Macro Model (LCY)'!I$3,'Detailed Model (LCY)'!$J151:$XFD151)</f>
        <v>0</v>
      </c>
      <c r="J69" s="454">
        <f>+SUMIF('Detailed Model (LCY)'!$J$4:$XFD$4,'Macro Model (LCY)'!J$3,'Detailed Model (LCY)'!$J151:$XFD151)</f>
        <v>0</v>
      </c>
      <c r="K69" s="454">
        <f>+SUMIF('Detailed Model (LCY)'!$J$4:$XFD$4,'Macro Model (LCY)'!K$3,'Detailed Model (LCY)'!$J151:$XFD151)</f>
        <v>0</v>
      </c>
      <c r="L69" s="454">
        <f>+SUMIF('Detailed Model (LCY)'!$J$4:$XFD$4,'Macro Model (LCY)'!L$3,'Detailed Model (LCY)'!$J151:$XFD151)</f>
        <v>0</v>
      </c>
      <c r="M69" s="454">
        <f>+SUMIF('Detailed Model (LCY)'!$J$4:$XFD$4,'Macro Model (LCY)'!M$3,'Detailed Model (LCY)'!$J151:$XFD151)</f>
        <v>0</v>
      </c>
      <c r="N69" s="454">
        <f>+SUMIF('Detailed Model (LCY)'!$J$4:$XFD$4,'Macro Model (LCY)'!N$3,'Detailed Model (LCY)'!$J151:$XFD151)</f>
        <v>0</v>
      </c>
      <c r="O69" s="454">
        <f>+SUMIF('Detailed Model (LCY)'!$J$4:$XFD$4,'Macro Model (LCY)'!O$3,'Detailed Model (LCY)'!$J151:$XFD151)</f>
        <v>0</v>
      </c>
      <c r="P69" s="454">
        <f>+SUMIF('Detailed Model (LCY)'!$J$4:$XFD$4,'Macro Model (LCY)'!P$3,'Detailed Model (LCY)'!$J151:$XFD151)</f>
        <v>0</v>
      </c>
      <c r="Q69" s="454">
        <f>+SUMIF('Detailed Model (LCY)'!$J$4:$XFD$4,'Macro Model (LCY)'!Q$3,'Detailed Model (LCY)'!$J151:$XFD151)</f>
        <v>0</v>
      </c>
    </row>
    <row r="70" spans="2:17" hidden="1" outlineLevel="2">
      <c r="B70" s="6"/>
      <c r="C70" s="5" t="str">
        <f>+'Detailed Model (LCY)'!C152</f>
        <v>Product 2 - COGS reduction related to repossessed systems</v>
      </c>
      <c r="D70" s="30"/>
      <c r="E70" s="30"/>
      <c r="H70" s="454">
        <f ca="1">+SUMIF('Detailed Model (LCY)'!$J$4:$XFD$4,'Macro Model (LCY)'!H$3,'Detailed Model (LCY)'!$J152:$XFD152)</f>
        <v>66384.003700627582</v>
      </c>
      <c r="I70" s="454">
        <f ca="1">+SUMIF('Detailed Model (LCY)'!$J$4:$XFD$4,'Macro Model (LCY)'!I$3,'Detailed Model (LCY)'!$J152:$XFD152)</f>
        <v>135305.21282144374</v>
      </c>
      <c r="J70" s="454">
        <f ca="1">+SUMIF('Detailed Model (LCY)'!$J$4:$XFD$4,'Macro Model (LCY)'!J$3,'Detailed Model (LCY)'!$J152:$XFD152)</f>
        <v>228130.1541849947</v>
      </c>
      <c r="K70" s="454">
        <f ca="1">+SUMIF('Detailed Model (LCY)'!$J$4:$XFD$4,'Macro Model (LCY)'!K$3,'Detailed Model (LCY)'!$J152:$XFD152)</f>
        <v>359658.32253736712</v>
      </c>
      <c r="L70" s="454">
        <f ca="1">+SUMIF('Detailed Model (LCY)'!$J$4:$XFD$4,'Macro Model (LCY)'!L$3,'Detailed Model (LCY)'!$J152:$XFD152)</f>
        <v>454252.4197020689</v>
      </c>
      <c r="M70" s="454">
        <f ca="1">+SUMIF('Detailed Model (LCY)'!$J$4:$XFD$4,'Macro Model (LCY)'!M$3,'Detailed Model (LCY)'!$J152:$XFD152)</f>
        <v>551734.1155214404</v>
      </c>
      <c r="N70" s="454">
        <f ca="1">+SUMIF('Detailed Model (LCY)'!$J$4:$XFD$4,'Macro Model (LCY)'!N$3,'Detailed Model (LCY)'!$J152:$XFD152)</f>
        <v>578945.08554581914</v>
      </c>
      <c r="O70" s="454">
        <f ca="1">+SUMIF('Detailed Model (LCY)'!$J$4:$XFD$4,'Macro Model (LCY)'!O$3,'Detailed Model (LCY)'!$J152:$XFD152)</f>
        <v>581003.88499051693</v>
      </c>
      <c r="P70" s="454">
        <f ca="1">+SUMIF('Detailed Model (LCY)'!$J$4:$XFD$4,'Macro Model (LCY)'!P$3,'Detailed Model (LCY)'!$J152:$XFD152)</f>
        <v>580873.35610653087</v>
      </c>
      <c r="Q70" s="454">
        <f ca="1">+SUMIF('Detailed Model (LCY)'!$J$4:$XFD$4,'Macro Model (LCY)'!Q$3,'Detailed Model (LCY)'!$J152:$XFD152)</f>
        <v>580584.33202363446</v>
      </c>
    </row>
    <row r="71" spans="2:17" hidden="1" outlineLevel="2">
      <c r="B71" s="6"/>
      <c r="C71" s="5" t="str">
        <f>+'Detailed Model (LCY)'!C153</f>
        <v>Product 3 - COGS reduction related to repossessed systems</v>
      </c>
      <c r="D71" s="30"/>
      <c r="E71" s="30"/>
      <c r="H71" s="454">
        <f ca="1">+SUMIF('Detailed Model (LCY)'!$J$4:$XFD$4,'Macro Model (LCY)'!H$3,'Detailed Model (LCY)'!$J153:$XFD153)</f>
        <v>52287.410727646347</v>
      </c>
      <c r="I71" s="454">
        <f ca="1">+SUMIF('Detailed Model (LCY)'!$J$4:$XFD$4,'Macro Model (LCY)'!I$3,'Detailed Model (LCY)'!$J153:$XFD153)</f>
        <v>112610.86353605075</v>
      </c>
      <c r="J71" s="454">
        <f ca="1">+SUMIF('Detailed Model (LCY)'!$J$4:$XFD$4,'Macro Model (LCY)'!J$3,'Detailed Model (LCY)'!$J153:$XFD153)</f>
        <v>209394.45019507851</v>
      </c>
      <c r="K71" s="454">
        <f ca="1">+SUMIF('Detailed Model (LCY)'!$J$4:$XFD$4,'Macro Model (LCY)'!K$3,'Detailed Model (LCY)'!$J153:$XFD153)</f>
        <v>334598.33318351698</v>
      </c>
      <c r="L71" s="454">
        <f ca="1">+SUMIF('Detailed Model (LCY)'!$J$4:$XFD$4,'Macro Model (LCY)'!L$3,'Detailed Model (LCY)'!$J153:$XFD153)</f>
        <v>422870.54210990085</v>
      </c>
      <c r="M71" s="454">
        <f ca="1">+SUMIF('Detailed Model (LCY)'!$J$4:$XFD$4,'Macro Model (LCY)'!M$3,'Detailed Model (LCY)'!$J153:$XFD153)</f>
        <v>523460.30180811469</v>
      </c>
      <c r="N71" s="454">
        <f ca="1">+SUMIF('Detailed Model (LCY)'!$J$4:$XFD$4,'Macro Model (LCY)'!N$3,'Detailed Model (LCY)'!$J153:$XFD153)</f>
        <v>594520.26864991407</v>
      </c>
      <c r="O71" s="454">
        <f ca="1">+SUMIF('Detailed Model (LCY)'!$J$4:$XFD$4,'Macro Model (LCY)'!O$3,'Detailed Model (LCY)'!$J153:$XFD153)</f>
        <v>624882.76204931876</v>
      </c>
      <c r="P71" s="454">
        <f ca="1">+SUMIF('Detailed Model (LCY)'!$J$4:$XFD$4,'Macro Model (LCY)'!P$3,'Detailed Model (LCY)'!$J153:$XFD153)</f>
        <v>631869.87375464139</v>
      </c>
      <c r="Q71" s="454">
        <f ca="1">+SUMIF('Detailed Model (LCY)'!$J$4:$XFD$4,'Macro Model (LCY)'!Q$3,'Detailed Model (LCY)'!$J153:$XFD153)</f>
        <v>635085.07315747777</v>
      </c>
    </row>
    <row r="72" spans="2:17" hidden="1" outlineLevel="2">
      <c r="B72" s="6"/>
      <c r="C72" s="5" t="str">
        <f>+'Detailed Model (LCY)'!C154</f>
        <v>Product 4 - COGS reduction related to repossessed systems</v>
      </c>
      <c r="D72" s="30"/>
      <c r="E72" s="30"/>
      <c r="H72" s="454">
        <f ca="1">+SUMIF('Detailed Model (LCY)'!$J$4:$XFD$4,'Macro Model (LCY)'!H$3,'Detailed Model (LCY)'!$J154:$XFD154)</f>
        <v>41134.594457116094</v>
      </c>
      <c r="I72" s="454">
        <f ca="1">+SUMIF('Detailed Model (LCY)'!$J$4:$XFD$4,'Macro Model (LCY)'!I$3,'Detailed Model (LCY)'!$J154:$XFD154)</f>
        <v>87846.956664942583</v>
      </c>
      <c r="J72" s="454">
        <f ca="1">+SUMIF('Detailed Model (LCY)'!$J$4:$XFD$4,'Macro Model (LCY)'!J$3,'Detailed Model (LCY)'!$J154:$XFD154)</f>
        <v>157116.61099308968</v>
      </c>
      <c r="K72" s="454">
        <f ca="1">+SUMIF('Detailed Model (LCY)'!$J$4:$XFD$4,'Macro Model (LCY)'!K$3,'Detailed Model (LCY)'!$J154:$XFD154)</f>
        <v>247944.52677109806</v>
      </c>
      <c r="L72" s="454">
        <f ca="1">+SUMIF('Detailed Model (LCY)'!$J$4:$XFD$4,'Macro Model (LCY)'!L$3,'Detailed Model (LCY)'!$J154:$XFD154)</f>
        <v>313177.45270432945</v>
      </c>
      <c r="M72" s="454">
        <f ca="1">+SUMIF('Detailed Model (LCY)'!$J$4:$XFD$4,'Macro Model (LCY)'!M$3,'Detailed Model (LCY)'!$J154:$XFD154)</f>
        <v>385871.50099185447</v>
      </c>
      <c r="N72" s="454">
        <f ca="1">+SUMIF('Detailed Model (LCY)'!$J$4:$XFD$4,'Macro Model (LCY)'!N$3,'Detailed Model (LCY)'!$J154:$XFD154)</f>
        <v>431012.87076549977</v>
      </c>
      <c r="O72" s="454">
        <f ca="1">+SUMIF('Detailed Model (LCY)'!$J$4:$XFD$4,'Macro Model (LCY)'!O$3,'Detailed Model (LCY)'!$J154:$XFD154)</f>
        <v>443211.7650414767</v>
      </c>
      <c r="P72" s="454">
        <f ca="1">+SUMIF('Detailed Model (LCY)'!$J$4:$XFD$4,'Macro Model (LCY)'!P$3,'Detailed Model (LCY)'!$J154:$XFD154)</f>
        <v>446369.48584046576</v>
      </c>
      <c r="Q72" s="454">
        <f ca="1">+SUMIF('Detailed Model (LCY)'!$J$4:$XFD$4,'Macro Model (LCY)'!Q$3,'Detailed Model (LCY)'!$J154:$XFD154)</f>
        <v>446983.17758413556</v>
      </c>
    </row>
    <row r="73" spans="2:17" hidden="1" outlineLevel="2">
      <c r="B73" s="6"/>
      <c r="C73" s="5" t="str">
        <f>+'Detailed Model (LCY)'!C155</f>
        <v>Product 5 - COGS reduction related to repossessed systems</v>
      </c>
      <c r="D73" s="30"/>
      <c r="E73" s="30"/>
      <c r="H73" s="454">
        <f ca="1">+SUMIF('Detailed Model (LCY)'!$J$4:$XFD$4,'Macro Model (LCY)'!H$3,'Detailed Model (LCY)'!$J155:$XFD155)</f>
        <v>7686.3558382384072</v>
      </c>
      <c r="I73" s="454">
        <f ca="1">+SUMIF('Detailed Model (LCY)'!$J$4:$XFD$4,'Macro Model (LCY)'!I$3,'Detailed Model (LCY)'!$J155:$XFD155)</f>
        <v>34983.957871888968</v>
      </c>
      <c r="J73" s="454">
        <f ca="1">+SUMIF('Detailed Model (LCY)'!$J$4:$XFD$4,'Macro Model (LCY)'!J$3,'Detailed Model (LCY)'!$J155:$XFD155)</f>
        <v>74198.485132359885</v>
      </c>
      <c r="K73" s="454">
        <f ca="1">+SUMIF('Detailed Model (LCY)'!$J$4:$XFD$4,'Macro Model (LCY)'!K$3,'Detailed Model (LCY)'!$J155:$XFD155)</f>
        <v>120213.68169320424</v>
      </c>
      <c r="L73" s="454">
        <f ca="1">+SUMIF('Detailed Model (LCY)'!$J$4:$XFD$4,'Macro Model (LCY)'!L$3,'Detailed Model (LCY)'!$J155:$XFD155)</f>
        <v>153866.59949150862</v>
      </c>
      <c r="M73" s="454">
        <f ca="1">+SUMIF('Detailed Model (LCY)'!$J$4:$XFD$4,'Macro Model (LCY)'!M$3,'Detailed Model (LCY)'!$J155:$XFD155)</f>
        <v>190607.12444638071</v>
      </c>
      <c r="N73" s="454">
        <f ca="1">+SUMIF('Detailed Model (LCY)'!$J$4:$XFD$4,'Macro Model (LCY)'!N$3,'Detailed Model (LCY)'!$J155:$XFD155)</f>
        <v>213490.25752062231</v>
      </c>
      <c r="O73" s="454">
        <f ca="1">+SUMIF('Detailed Model (LCY)'!$J$4:$XFD$4,'Macro Model (LCY)'!O$3,'Detailed Model (LCY)'!$J155:$XFD155)</f>
        <v>219825.39041923202</v>
      </c>
      <c r="P73" s="454">
        <f ca="1">+SUMIF('Detailed Model (LCY)'!$J$4:$XFD$4,'Macro Model (LCY)'!P$3,'Detailed Model (LCY)'!$J155:$XFD155)</f>
        <v>221610.30356590229</v>
      </c>
      <c r="Q73" s="454">
        <f ca="1">+SUMIF('Detailed Model (LCY)'!$J$4:$XFD$4,'Macro Model (LCY)'!Q$3,'Detailed Model (LCY)'!$J155:$XFD155)</f>
        <v>222096.54948586374</v>
      </c>
    </row>
    <row r="74" spans="2:17" hidden="1" outlineLevel="2">
      <c r="B74" s="6"/>
      <c r="C74" s="9" t="s">
        <v>614</v>
      </c>
      <c r="D74" s="30"/>
      <c r="E74" s="30"/>
      <c r="H74" s="454">
        <f ca="1">+SUMIF('Detailed Model (LCY)'!$J$4:$XFD$4,'Macro Model (LCY)'!H$3,'Detailed Model (LCY)'!$J156:$XFD156)</f>
        <v>0</v>
      </c>
      <c r="I74" s="454">
        <f ca="1">+SUMIF('Detailed Model (LCY)'!$J$4:$XFD$4,'Macro Model (LCY)'!I$3,'Detailed Model (LCY)'!$J156:$XFD156)</f>
        <v>0</v>
      </c>
      <c r="J74" s="454">
        <f ca="1">+SUMIF('Detailed Model (LCY)'!$J$4:$XFD$4,'Macro Model (LCY)'!J$3,'Detailed Model (LCY)'!$J156:$XFD156)</f>
        <v>0</v>
      </c>
      <c r="K74" s="454">
        <f ca="1">+SUMIF('Detailed Model (LCY)'!$J$4:$XFD$4,'Macro Model (LCY)'!K$3,'Detailed Model (LCY)'!$J156:$XFD156)</f>
        <v>0</v>
      </c>
      <c r="L74" s="454">
        <f ca="1">+SUMIF('Detailed Model (LCY)'!$J$4:$XFD$4,'Macro Model (LCY)'!L$3,'Detailed Model (LCY)'!$J156:$XFD156)</f>
        <v>0</v>
      </c>
      <c r="M74" s="454">
        <f ca="1">+SUMIF('Detailed Model (LCY)'!$J$4:$XFD$4,'Macro Model (LCY)'!M$3,'Detailed Model (LCY)'!$J156:$XFD156)</f>
        <v>0</v>
      </c>
      <c r="N74" s="454">
        <f ca="1">+SUMIF('Detailed Model (LCY)'!$J$4:$XFD$4,'Macro Model (LCY)'!N$3,'Detailed Model (LCY)'!$J156:$XFD156)</f>
        <v>0</v>
      </c>
      <c r="O74" s="454">
        <f ca="1">+SUMIF('Detailed Model (LCY)'!$J$4:$XFD$4,'Macro Model (LCY)'!O$3,'Detailed Model (LCY)'!$J156:$XFD156)</f>
        <v>0</v>
      </c>
      <c r="P74" s="454">
        <f ca="1">+SUMIF('Detailed Model (LCY)'!$J$4:$XFD$4,'Macro Model (LCY)'!P$3,'Detailed Model (LCY)'!$J156:$XFD156)</f>
        <v>0</v>
      </c>
      <c r="Q74" s="454">
        <f ca="1">+SUMIF('Detailed Model (LCY)'!$J$4:$XFD$4,'Macro Model (LCY)'!Q$3,'Detailed Model (LCY)'!$J156:$XFD156)</f>
        <v>0</v>
      </c>
    </row>
    <row r="75" spans="2:17" outlineLevel="1" collapsed="1">
      <c r="B75" s="6"/>
      <c r="C75" s="210" t="s">
        <v>108</v>
      </c>
      <c r="D75" s="211"/>
      <c r="E75" s="211"/>
      <c r="F75" s="212"/>
      <c r="G75" s="212"/>
      <c r="H75" s="345">
        <f t="shared" ref="H75:Q75" ca="1" si="8">+SUM(H64:H74)</f>
        <v>-11791058.959334623</v>
      </c>
      <c r="I75" s="345">
        <f t="shared" ca="1" si="8"/>
        <v>-14810569.4157627</v>
      </c>
      <c r="J75" s="345">
        <f t="shared" ca="1" si="8"/>
        <v>-18758872.357212178</v>
      </c>
      <c r="K75" s="345">
        <f t="shared" ca="1" si="8"/>
        <v>-23622398.56210221</v>
      </c>
      <c r="L75" s="345">
        <f t="shared" ca="1" si="8"/>
        <v>-29971685.332290519</v>
      </c>
      <c r="M75" s="345">
        <f t="shared" ca="1" si="8"/>
        <v>-33467474.526768025</v>
      </c>
      <c r="N75" s="345">
        <f t="shared" ca="1" si="8"/>
        <v>-33712701.313465454</v>
      </c>
      <c r="O75" s="345">
        <f t="shared" ca="1" si="8"/>
        <v>-33865156.772227451</v>
      </c>
      <c r="P75" s="345">
        <f t="shared" ca="1" si="8"/>
        <v>-33886336.712936401</v>
      </c>
      <c r="Q75" s="345">
        <f t="shared" ca="1" si="8"/>
        <v>-33897231.699955039</v>
      </c>
    </row>
    <row r="76" spans="2:17" hidden="1" outlineLevel="2">
      <c r="B76" s="6"/>
      <c r="C76" s="586" t="s">
        <v>656</v>
      </c>
      <c r="D76" s="30"/>
      <c r="E76" s="30"/>
      <c r="H76" s="587">
        <f ca="1">(H45+H62)/H45</f>
        <v>0.56499338085527628</v>
      </c>
      <c r="I76" s="587">
        <f t="shared" ref="I76:Q76" ca="1" si="9">(I45+I62)/I45</f>
        <v>0.56498660114113664</v>
      </c>
      <c r="J76" s="587">
        <f t="shared" ca="1" si="9"/>
        <v>0.57025954448750582</v>
      </c>
      <c r="K76" s="587">
        <f t="shared" ca="1" si="9"/>
        <v>0.57392115571797486</v>
      </c>
      <c r="L76" s="587">
        <f t="shared" ca="1" si="9"/>
        <v>0.57415614962079287</v>
      </c>
      <c r="M76" s="587">
        <f t="shared" ca="1" si="9"/>
        <v>0.57310602991576676</v>
      </c>
      <c r="N76" s="587">
        <f t="shared" ca="1" si="9"/>
        <v>0.57447630153379925</v>
      </c>
      <c r="O76" s="587">
        <f t="shared" ca="1" si="9"/>
        <v>0.575661035438781</v>
      </c>
      <c r="P76" s="587">
        <f t="shared" ca="1" si="9"/>
        <v>0.5758754140973803</v>
      </c>
      <c r="Q76" s="587">
        <f t="shared" ca="1" si="9"/>
        <v>0.57600046737719046</v>
      </c>
    </row>
    <row r="77" spans="2:17" hidden="1" outlineLevel="2">
      <c r="B77" s="6"/>
      <c r="C77" s="586" t="s">
        <v>657</v>
      </c>
      <c r="D77" s="30"/>
      <c r="E77" s="30"/>
      <c r="H77" s="587">
        <f ca="1">(H46+H75)/H46</f>
        <v>0.62135615782885856</v>
      </c>
      <c r="I77" s="587">
        <f t="shared" ref="I77:Q77" ca="1" si="10">(I46+I75)/I46</f>
        <v>0.62129775938921072</v>
      </c>
      <c r="J77" s="587">
        <f t="shared" ca="1" si="10"/>
        <v>0.62793121018587539</v>
      </c>
      <c r="K77" s="587">
        <f t="shared" ca="1" si="10"/>
        <v>0.63707825700939158</v>
      </c>
      <c r="L77" s="587">
        <f t="shared" ca="1" si="10"/>
        <v>0.63718139803516538</v>
      </c>
      <c r="M77" s="587">
        <f t="shared" ca="1" si="10"/>
        <v>0.63383885254091787</v>
      </c>
      <c r="N77" s="587">
        <f t="shared" ca="1" si="10"/>
        <v>0.63062541242987458</v>
      </c>
      <c r="O77" s="587">
        <f t="shared" ca="1" si="10"/>
        <v>0.62995446341756889</v>
      </c>
      <c r="P77" s="587">
        <f t="shared" ca="1" si="10"/>
        <v>0.6297746932373165</v>
      </c>
      <c r="Q77" s="587">
        <f t="shared" ca="1" si="10"/>
        <v>0.62972340575431363</v>
      </c>
    </row>
    <row r="78" spans="2:17" hidden="1" outlineLevel="2">
      <c r="B78" s="6"/>
      <c r="C78" s="61"/>
      <c r="D78" s="30"/>
      <c r="E78" s="30"/>
      <c r="H78" s="346"/>
      <c r="I78" s="341"/>
      <c r="J78" s="341"/>
      <c r="K78" s="341"/>
      <c r="L78" s="341"/>
      <c r="M78" s="341"/>
      <c r="N78" s="341"/>
      <c r="O78" s="341"/>
      <c r="P78" s="341"/>
      <c r="Q78" s="341"/>
    </row>
    <row r="79" spans="2:17" hidden="1" outlineLevel="2">
      <c r="B79" s="6"/>
      <c r="C79" s="5" t="str">
        <f>+'Detailed Model (LCY)'!C159</f>
        <v>Product 1</v>
      </c>
      <c r="H79" s="454">
        <f ca="1">+SUMIF('Detailed Model (LCY)'!$J$4:$XFD$4,'Macro Model (LCY)'!H$3,'Detailed Model (LCY)'!$J159:$XFD159)</f>
        <v>-7045.3707341852532</v>
      </c>
      <c r="I79" s="454">
        <f ca="1">+SUMIF('Detailed Model (LCY)'!$J$4:$XFD$4,'Macro Model (LCY)'!I$3,'Detailed Model (LCY)'!$J159:$XFD159)</f>
        <v>-8935.2336232815433</v>
      </c>
      <c r="J79" s="454">
        <f ca="1">+SUMIF('Detailed Model (LCY)'!$J$4:$XFD$4,'Macro Model (LCY)'!J$3,'Detailed Model (LCY)'!$J159:$XFD159)</f>
        <v>-11332.036725226182</v>
      </c>
      <c r="K79" s="454">
        <f ca="1">+SUMIF('Detailed Model (LCY)'!$J$4:$XFD$4,'Macro Model (LCY)'!K$3,'Detailed Model (LCY)'!$J159:$XFD159)</f>
        <v>-14371.762592449522</v>
      </c>
      <c r="L79" s="454">
        <f ca="1">+SUMIF('Detailed Model (LCY)'!$J$4:$XFD$4,'Macro Model (LCY)'!L$3,'Detailed Model (LCY)'!$J159:$XFD159)</f>
        <v>-18226.869981275042</v>
      </c>
      <c r="M79" s="454">
        <f ca="1">+SUMIF('Detailed Model (LCY)'!$J$4:$XFD$4,'Macro Model (LCY)'!M$3,'Detailed Model (LCY)'!$J159:$XFD159)</f>
        <v>-20276.770272098252</v>
      </c>
      <c r="N79" s="454">
        <f ca="1">+SUMIF('Detailed Model (LCY)'!$J$4:$XFD$4,'Macro Model (LCY)'!N$3,'Detailed Model (LCY)'!$J159:$XFD159)</f>
        <v>-20276.770272098252</v>
      </c>
      <c r="O79" s="454">
        <f ca="1">+SUMIF('Detailed Model (LCY)'!$J$4:$XFD$4,'Macro Model (LCY)'!O$3,'Detailed Model (LCY)'!$J159:$XFD159)</f>
        <v>-20276.770272098252</v>
      </c>
      <c r="P79" s="454">
        <f ca="1">+SUMIF('Detailed Model (LCY)'!$J$4:$XFD$4,'Macro Model (LCY)'!P$3,'Detailed Model (LCY)'!$J159:$XFD159)</f>
        <v>-20276.770272098252</v>
      </c>
      <c r="Q79" s="454">
        <f ca="1">+SUMIF('Detailed Model (LCY)'!$J$4:$XFD$4,'Macro Model (LCY)'!Q$3,'Detailed Model (LCY)'!$J159:$XFD159)</f>
        <v>-20276.770272098252</v>
      </c>
    </row>
    <row r="80" spans="2:17" hidden="1" outlineLevel="2">
      <c r="B80" s="6"/>
      <c r="C80" s="5" t="str">
        <f>+'Detailed Model (LCY)'!C160</f>
        <v>Product 2</v>
      </c>
      <c r="H80" s="454">
        <f ca="1">+SUMIF('Detailed Model (LCY)'!$J$4:$XFD$4,'Macro Model (LCY)'!H$3,'Detailed Model (LCY)'!$J160:$XFD160)</f>
        <v>-583513.98881712183</v>
      </c>
      <c r="I80" s="454">
        <f ca="1">+SUMIF('Detailed Model (LCY)'!$J$4:$XFD$4,'Macro Model (LCY)'!I$3,'Detailed Model (LCY)'!$J160:$XFD160)</f>
        <v>-746794.24607394671</v>
      </c>
      <c r="J80" s="454">
        <f ca="1">+SUMIF('Detailed Model (LCY)'!$J$4:$XFD$4,'Macro Model (LCY)'!J$3,'Detailed Model (LCY)'!$J160:$XFD160)</f>
        <v>-947703.59307337098</v>
      </c>
      <c r="K80" s="454">
        <f ca="1">+SUMIF('Detailed Model (LCY)'!$J$4:$XFD$4,'Macro Model (LCY)'!K$3,'Detailed Model (LCY)'!$J160:$XFD160)</f>
        <v>-1201959.6240918483</v>
      </c>
      <c r="L80" s="454">
        <f ca="1">+SUMIF('Detailed Model (LCY)'!$J$4:$XFD$4,'Macro Model (LCY)'!L$3,'Detailed Model (LCY)'!$J160:$XFD160)</f>
        <v>-1524370.5007222809</v>
      </c>
      <c r="M80" s="454">
        <f ca="1">+SUMIF('Detailed Model (LCY)'!$J$4:$XFD$4,'Macro Model (LCY)'!M$3,'Detailed Model (LCY)'!$J160:$XFD160)</f>
        <v>-1712617.893752024</v>
      </c>
      <c r="N80" s="454">
        <f ca="1">+SUMIF('Detailed Model (LCY)'!$J$4:$XFD$4,'Macro Model (LCY)'!N$3,'Detailed Model (LCY)'!$J160:$XFD160)</f>
        <v>-1729398.4476714211</v>
      </c>
      <c r="O80" s="454">
        <f ca="1">+SUMIF('Detailed Model (LCY)'!$J$4:$XFD$4,'Macro Model (LCY)'!O$3,'Detailed Model (LCY)'!$J160:$XFD160)</f>
        <v>-1730884.0518338266</v>
      </c>
      <c r="P80" s="454">
        <f ca="1">+SUMIF('Detailed Model (LCY)'!$J$4:$XFD$4,'Macro Model (LCY)'!P$3,'Detailed Model (LCY)'!$J160:$XFD160)</f>
        <v>-1731014.139153722</v>
      </c>
      <c r="Q80" s="454">
        <f ca="1">+SUMIF('Detailed Model (LCY)'!$J$4:$XFD$4,'Macro Model (LCY)'!Q$3,'Detailed Model (LCY)'!$J160:$XFD160)</f>
        <v>-1731024.2566576854</v>
      </c>
    </row>
    <row r="81" spans="2:17" hidden="1" outlineLevel="2">
      <c r="B81" s="6"/>
      <c r="C81" s="5" t="str">
        <f>+'Detailed Model (LCY)'!C161</f>
        <v>Product 3</v>
      </c>
      <c r="H81" s="454">
        <f ca="1">+SUMIF('Detailed Model (LCY)'!$J$4:$XFD$4,'Macro Model (LCY)'!H$3,'Detailed Model (LCY)'!$J161:$XFD161)</f>
        <v>-212992.59823971934</v>
      </c>
      <c r="I81" s="454">
        <f ca="1">+SUMIF('Detailed Model (LCY)'!$J$4:$XFD$4,'Macro Model (LCY)'!I$3,'Detailed Model (LCY)'!$J161:$XFD161)</f>
        <v>-268336.32123362634</v>
      </c>
      <c r="J81" s="454">
        <f ca="1">+SUMIF('Detailed Model (LCY)'!$J$4:$XFD$4,'Macro Model (LCY)'!J$3,'Detailed Model (LCY)'!$J161:$XFD161)</f>
        <v>-342386.29252018273</v>
      </c>
      <c r="K81" s="454">
        <f ca="1">+SUMIF('Detailed Model (LCY)'!$J$4:$XFD$4,'Macro Model (LCY)'!K$3,'Detailed Model (LCY)'!$J161:$XFD161)</f>
        <v>-437971.5674895274</v>
      </c>
      <c r="L81" s="454">
        <f ca="1">+SUMIF('Detailed Model (LCY)'!$J$4:$XFD$4,'Macro Model (LCY)'!L$3,'Detailed Model (LCY)'!$J161:$XFD161)</f>
        <v>-555305.1691467819</v>
      </c>
      <c r="M81" s="454">
        <f ca="1">+SUMIF('Detailed Model (LCY)'!$J$4:$XFD$4,'Macro Model (LCY)'!M$3,'Detailed Model (LCY)'!$J161:$XFD161)</f>
        <v>-621990.96743691992</v>
      </c>
      <c r="N81" s="454">
        <f ca="1">+SUMIF('Detailed Model (LCY)'!$J$4:$XFD$4,'Macro Model (LCY)'!N$3,'Detailed Model (LCY)'!$J161:$XFD161)</f>
        <v>-630040.56270154926</v>
      </c>
      <c r="O81" s="454">
        <f ca="1">+SUMIF('Detailed Model (LCY)'!$J$4:$XFD$4,'Macro Model (LCY)'!O$3,'Detailed Model (LCY)'!$J161:$XFD161)</f>
        <v>-638375.63445667143</v>
      </c>
      <c r="P81" s="454">
        <f ca="1">+SUMIF('Detailed Model (LCY)'!$J$4:$XFD$4,'Macro Model (LCY)'!P$3,'Detailed Model (LCY)'!$J161:$XFD161)</f>
        <v>-639976.3786574452</v>
      </c>
      <c r="Q81" s="454">
        <f ca="1">+SUMIF('Detailed Model (LCY)'!$J$4:$XFD$4,'Macro Model (LCY)'!Q$3,'Detailed Model (LCY)'!$J161:$XFD161)</f>
        <v>-640632.72616436507</v>
      </c>
    </row>
    <row r="82" spans="2:17" hidden="1" outlineLevel="2">
      <c r="B82" s="6"/>
      <c r="C82" s="5" t="str">
        <f>+'Detailed Model (LCY)'!C162</f>
        <v>Product 4</v>
      </c>
      <c r="H82" s="454">
        <f ca="1">+SUMIF('Detailed Model (LCY)'!$J$4:$XFD$4,'Macro Model (LCY)'!H$3,'Detailed Model (LCY)'!$J162:$XFD162)</f>
        <v>-573326.70216161537</v>
      </c>
      <c r="I82" s="454">
        <f ca="1">+SUMIF('Detailed Model (LCY)'!$J$4:$XFD$4,'Macro Model (LCY)'!I$3,'Detailed Model (LCY)'!$J162:$XFD162)</f>
        <v>-721189.76082578313</v>
      </c>
      <c r="J82" s="454">
        <f ca="1">+SUMIF('Detailed Model (LCY)'!$J$4:$XFD$4,'Macro Model (LCY)'!J$3,'Detailed Model (LCY)'!$J162:$XFD162)</f>
        <v>-929860.18555624178</v>
      </c>
      <c r="K82" s="454">
        <f ca="1">+SUMIF('Detailed Model (LCY)'!$J$4:$XFD$4,'Macro Model (LCY)'!K$3,'Detailed Model (LCY)'!$J162:$XFD162)</f>
        <v>-1178762.7880453854</v>
      </c>
      <c r="L82" s="454">
        <f ca="1">+SUMIF('Detailed Model (LCY)'!$J$4:$XFD$4,'Macro Model (LCY)'!L$3,'Detailed Model (LCY)'!$J162:$XFD162)</f>
        <v>-1496099.4463288332</v>
      </c>
      <c r="M82" s="454">
        <f ca="1">+SUMIF('Detailed Model (LCY)'!$J$4:$XFD$4,'Macro Model (LCY)'!M$3,'Detailed Model (LCY)'!$J162:$XFD162)</f>
        <v>-1676568.2688977923</v>
      </c>
      <c r="N82" s="454">
        <f ca="1">+SUMIF('Detailed Model (LCY)'!$J$4:$XFD$4,'Macro Model (LCY)'!N$3,'Detailed Model (LCY)'!$J162:$XFD162)</f>
        <v>-1702490.2969645346</v>
      </c>
      <c r="O82" s="454">
        <f ca="1">+SUMIF('Detailed Model (LCY)'!$J$4:$XFD$4,'Macro Model (LCY)'!O$3,'Detailed Model (LCY)'!$J162:$XFD162)</f>
        <v>-1716829.7701801693</v>
      </c>
      <c r="P82" s="454">
        <f ca="1">+SUMIF('Detailed Model (LCY)'!$J$4:$XFD$4,'Macro Model (LCY)'!P$3,'Detailed Model (LCY)'!$J162:$XFD162)</f>
        <v>-1718856.7890127935</v>
      </c>
      <c r="Q82" s="454">
        <f ca="1">+SUMIF('Detailed Model (LCY)'!$J$4:$XFD$4,'Macro Model (LCY)'!Q$3,'Detailed Model (LCY)'!$J162:$XFD162)</f>
        <v>-1719974.8846079041</v>
      </c>
    </row>
    <row r="83" spans="2:17" hidden="1" outlineLevel="2">
      <c r="B83" s="6"/>
      <c r="C83" s="5" t="s">
        <v>216</v>
      </c>
      <c r="H83" s="454">
        <f ca="1">+SUMIF('Detailed Model (LCY)'!$J$4:$XFD$4,'Macro Model (LCY)'!H$3,'Detailed Model (LCY)'!$J163:$XFD163)</f>
        <v>-274867.50833730755</v>
      </c>
      <c r="I83" s="454">
        <f ca="1">+SUMIF('Detailed Model (LCY)'!$J$4:$XFD$4,'Macro Model (LCY)'!I$3,'Detailed Model (LCY)'!$J163:$XFD163)</f>
        <v>-349226.93634532741</v>
      </c>
      <c r="J83" s="454">
        <f ca="1">+SUMIF('Detailed Model (LCY)'!$J$4:$XFD$4,'Macro Model (LCY)'!J$3,'Detailed Model (LCY)'!$J163:$XFD163)</f>
        <v>-463931.11624496907</v>
      </c>
      <c r="K83" s="454">
        <f ca="1">+SUMIF('Detailed Model (LCY)'!$J$4:$XFD$4,'Macro Model (LCY)'!K$3,'Detailed Model (LCY)'!$J163:$XFD163)</f>
        <v>-588424.23990098771</v>
      </c>
      <c r="L83" s="454">
        <f ca="1">+SUMIF('Detailed Model (LCY)'!$J$4:$XFD$4,'Macro Model (LCY)'!L$3,'Detailed Model (LCY)'!$J163:$XFD163)</f>
        <v>-747914.50747957907</v>
      </c>
      <c r="M83" s="454">
        <f ca="1">+SUMIF('Detailed Model (LCY)'!$J$4:$XFD$4,'Macro Model (LCY)'!M$3,'Detailed Model (LCY)'!$J163:$XFD163)</f>
        <v>-838158.64985057747</v>
      </c>
      <c r="N83" s="454">
        <f ca="1">+SUMIF('Detailed Model (LCY)'!$J$4:$XFD$4,'Macro Model (LCY)'!N$3,'Detailed Model (LCY)'!$J163:$XFD163)</f>
        <v>-851189.95471010357</v>
      </c>
      <c r="O83" s="454">
        <f ca="1">+SUMIF('Detailed Model (LCY)'!$J$4:$XFD$4,'Macro Model (LCY)'!O$3,'Detailed Model (LCY)'!$J163:$XFD163)</f>
        <v>-858365.51971385605</v>
      </c>
      <c r="P83" s="454">
        <f ca="1">+SUMIF('Detailed Model (LCY)'!$J$4:$XFD$4,'Macro Model (LCY)'!P$3,'Detailed Model (LCY)'!$J163:$XFD163)</f>
        <v>-859389.04024298466</v>
      </c>
      <c r="Q83" s="454">
        <f ca="1">+SUMIF('Detailed Model (LCY)'!$J$4:$XFD$4,'Macro Model (LCY)'!Q$3,'Detailed Model (LCY)'!$J163:$XFD163)</f>
        <v>-859952.52451777318</v>
      </c>
    </row>
    <row r="84" spans="2:17" hidden="1" outlineLevel="2" collapsed="1">
      <c r="B84" s="6"/>
      <c r="C84" s="55" t="s">
        <v>415</v>
      </c>
      <c r="D84" s="55"/>
      <c r="E84" s="55"/>
      <c r="F84" s="55"/>
      <c r="G84" s="55"/>
      <c r="H84" s="347">
        <f t="shared" ref="H84:Q84" ca="1" si="11">+SUM(H79:H83)</f>
        <v>-1651746.1682899494</v>
      </c>
      <c r="I84" s="347">
        <f t="shared" ca="1" si="11"/>
        <v>-2094482.4981019653</v>
      </c>
      <c r="J84" s="347">
        <f t="shared" ca="1" si="11"/>
        <v>-2695213.2241199906</v>
      </c>
      <c r="K84" s="347">
        <f t="shared" ca="1" si="11"/>
        <v>-3421489.9821201982</v>
      </c>
      <c r="L84" s="347">
        <f t="shared" ca="1" si="11"/>
        <v>-4341916.4936587503</v>
      </c>
      <c r="M84" s="347">
        <f t="shared" ca="1" si="11"/>
        <v>-4869612.5502094114</v>
      </c>
      <c r="N84" s="347">
        <f t="shared" ca="1" si="11"/>
        <v>-4933396.0323197069</v>
      </c>
      <c r="O84" s="347">
        <f t="shared" ca="1" si="11"/>
        <v>-4964731.7464566221</v>
      </c>
      <c r="P84" s="347">
        <f t="shared" ca="1" si="11"/>
        <v>-4969513.1173390439</v>
      </c>
      <c r="Q84" s="347">
        <f t="shared" ca="1" si="11"/>
        <v>-4971861.1622198261</v>
      </c>
    </row>
    <row r="85" spans="2:17" hidden="1" outlineLevel="2">
      <c r="B85" s="6"/>
      <c r="C85" s="5" t="s">
        <v>416</v>
      </c>
      <c r="H85" s="454">
        <f ca="1">+SUMIF('Detailed Model (LCY)'!$J$4:$XFD$4,'Macro Model (LCY)'!H$3,'Detailed Model (LCY)'!$J165:$XFD165)</f>
        <v>0</v>
      </c>
      <c r="I85" s="454">
        <f ca="1">+SUMIF('Detailed Model (LCY)'!$J$4:$XFD$4,'Macro Model (LCY)'!I$3,'Detailed Model (LCY)'!$J165:$XFD165)</f>
        <v>0</v>
      </c>
      <c r="J85" s="454">
        <f ca="1">+SUMIF('Detailed Model (LCY)'!$J$4:$XFD$4,'Macro Model (LCY)'!J$3,'Detailed Model (LCY)'!$J165:$XFD165)</f>
        <v>0</v>
      </c>
      <c r="K85" s="454">
        <f ca="1">+SUMIF('Detailed Model (LCY)'!$J$4:$XFD$4,'Macro Model (LCY)'!K$3,'Detailed Model (LCY)'!$J165:$XFD165)</f>
        <v>0</v>
      </c>
      <c r="L85" s="454">
        <f ca="1">+SUMIF('Detailed Model (LCY)'!$J$4:$XFD$4,'Macro Model (LCY)'!L$3,'Detailed Model (LCY)'!$J165:$XFD165)</f>
        <v>0</v>
      </c>
      <c r="M85" s="454">
        <f ca="1">+SUMIF('Detailed Model (LCY)'!$J$4:$XFD$4,'Macro Model (LCY)'!M$3,'Detailed Model (LCY)'!$J165:$XFD165)</f>
        <v>0</v>
      </c>
      <c r="N85" s="454">
        <f ca="1">+SUMIF('Detailed Model (LCY)'!$J$4:$XFD$4,'Macro Model (LCY)'!N$3,'Detailed Model (LCY)'!$J165:$XFD165)</f>
        <v>0</v>
      </c>
      <c r="O85" s="454">
        <f ca="1">+SUMIF('Detailed Model (LCY)'!$J$4:$XFD$4,'Macro Model (LCY)'!O$3,'Detailed Model (LCY)'!$J165:$XFD165)</f>
        <v>0</v>
      </c>
      <c r="P85" s="454">
        <f ca="1">+SUMIF('Detailed Model (LCY)'!$J$4:$XFD$4,'Macro Model (LCY)'!P$3,'Detailed Model (LCY)'!$J165:$XFD165)</f>
        <v>0</v>
      </c>
      <c r="Q85" s="454">
        <f ca="1">+SUMIF('Detailed Model (LCY)'!$J$4:$XFD$4,'Macro Model (LCY)'!Q$3,'Detailed Model (LCY)'!$J165:$XFD165)</f>
        <v>0</v>
      </c>
    </row>
    <row r="86" spans="2:17" hidden="1" outlineLevel="2">
      <c r="B86" s="6"/>
      <c r="C86" s="5" t="s">
        <v>341</v>
      </c>
      <c r="D86" s="37"/>
      <c r="E86" s="37"/>
      <c r="F86" s="37"/>
      <c r="G86" s="37"/>
      <c r="H86" s="454">
        <f ca="1">+SUMIF('Detailed Model (LCY)'!$J$4:$XFD$4,'Macro Model (LCY)'!H$3,'Detailed Model (LCY)'!$J166:$XFD166)</f>
        <v>-108741.91130375752</v>
      </c>
      <c r="I86" s="454">
        <f ca="1">+SUMIF('Detailed Model (LCY)'!$J$4:$XFD$4,'Macro Model (LCY)'!I$3,'Detailed Model (LCY)'!$J166:$XFD166)</f>
        <v>-154585.46537274771</v>
      </c>
      <c r="J86" s="454">
        <f ca="1">+SUMIF('Detailed Model (LCY)'!$J$4:$XFD$4,'Macro Model (LCY)'!J$3,'Detailed Model (LCY)'!$J166:$XFD166)</f>
        <v>-205053.82692070832</v>
      </c>
      <c r="K86" s="454">
        <f ca="1">+SUMIF('Detailed Model (LCY)'!$J$4:$XFD$4,'Macro Model (LCY)'!K$3,'Detailed Model (LCY)'!$J166:$XFD166)</f>
        <v>-260232.33235992954</v>
      </c>
      <c r="L86" s="454">
        <f ca="1">+SUMIF('Detailed Model (LCY)'!$J$4:$XFD$4,'Macro Model (LCY)'!L$3,'Detailed Model (LCY)'!$J166:$XFD166)</f>
        <v>-329288.21146285825</v>
      </c>
      <c r="M86" s="454">
        <f ca="1">+SUMIF('Detailed Model (LCY)'!$J$4:$XFD$4,'Macro Model (LCY)'!M$3,'Detailed Model (LCY)'!$J166:$XFD166)</f>
        <v>-398701.41040066932</v>
      </c>
      <c r="N86" s="454">
        <f ca="1">+SUMIF('Detailed Model (LCY)'!$J$4:$XFD$4,'Macro Model (LCY)'!N$3,'Detailed Model (LCY)'!$J166:$XFD166)</f>
        <v>-430590.86318669986</v>
      </c>
      <c r="O86" s="454">
        <f ca="1">+SUMIF('Detailed Model (LCY)'!$J$4:$XFD$4,'Macro Model (LCY)'!O$3,'Detailed Model (LCY)'!$J166:$XFD166)</f>
        <v>-439641.03889614349</v>
      </c>
      <c r="P86" s="454">
        <f ca="1">+SUMIF('Detailed Model (LCY)'!$J$4:$XFD$4,'Macro Model (LCY)'!P$3,'Detailed Model (LCY)'!$J166:$XFD166)</f>
        <v>-441649.4135913183</v>
      </c>
      <c r="Q86" s="454">
        <f ca="1">+SUMIF('Detailed Model (LCY)'!$J$4:$XFD$4,'Macro Model (LCY)'!Q$3,'Detailed Model (LCY)'!$J166:$XFD166)</f>
        <v>-442301.10914173763</v>
      </c>
    </row>
    <row r="87" spans="2:17" hidden="1" outlineLevel="2">
      <c r="B87" s="6"/>
      <c r="C87" s="5" t="s">
        <v>339</v>
      </c>
      <c r="D87" s="37"/>
      <c r="E87" s="37"/>
      <c r="F87" s="37"/>
      <c r="G87" s="37"/>
      <c r="H87" s="454">
        <f ca="1">+SUMIF('Detailed Model (LCY)'!$J$4:$XFD$4,'Macro Model (LCY)'!H$3,'Detailed Model (LCY)'!$J167:$XFD167)</f>
        <v>-108741.91130375752</v>
      </c>
      <c r="I87" s="454">
        <f ca="1">+SUMIF('Detailed Model (LCY)'!$J$4:$XFD$4,'Macro Model (LCY)'!I$3,'Detailed Model (LCY)'!$J167:$XFD167)</f>
        <v>-154585.46537274771</v>
      </c>
      <c r="J87" s="454">
        <f ca="1">+SUMIF('Detailed Model (LCY)'!$J$4:$XFD$4,'Macro Model (LCY)'!J$3,'Detailed Model (LCY)'!$J167:$XFD167)</f>
        <v>-205053.82692070832</v>
      </c>
      <c r="K87" s="454">
        <f ca="1">+SUMIF('Detailed Model (LCY)'!$J$4:$XFD$4,'Macro Model (LCY)'!K$3,'Detailed Model (LCY)'!$J167:$XFD167)</f>
        <v>-260232.33235992954</v>
      </c>
      <c r="L87" s="454">
        <f ca="1">+SUMIF('Detailed Model (LCY)'!$J$4:$XFD$4,'Macro Model (LCY)'!L$3,'Detailed Model (LCY)'!$J167:$XFD167)</f>
        <v>-329288.21146285825</v>
      </c>
      <c r="M87" s="454">
        <f ca="1">+SUMIF('Detailed Model (LCY)'!$J$4:$XFD$4,'Macro Model (LCY)'!M$3,'Detailed Model (LCY)'!$J167:$XFD167)</f>
        <v>-398701.41040066932</v>
      </c>
      <c r="N87" s="454">
        <f ca="1">+SUMIF('Detailed Model (LCY)'!$J$4:$XFD$4,'Macro Model (LCY)'!N$3,'Detailed Model (LCY)'!$J167:$XFD167)</f>
        <v>-430590.86318669986</v>
      </c>
      <c r="O87" s="454">
        <f ca="1">+SUMIF('Detailed Model (LCY)'!$J$4:$XFD$4,'Macro Model (LCY)'!O$3,'Detailed Model (LCY)'!$J167:$XFD167)</f>
        <v>-439641.03889614349</v>
      </c>
      <c r="P87" s="454">
        <f ca="1">+SUMIF('Detailed Model (LCY)'!$J$4:$XFD$4,'Macro Model (LCY)'!P$3,'Detailed Model (LCY)'!$J167:$XFD167)</f>
        <v>-441649.4135913183</v>
      </c>
      <c r="Q87" s="454">
        <f ca="1">+SUMIF('Detailed Model (LCY)'!$J$4:$XFD$4,'Macro Model (LCY)'!Q$3,'Detailed Model (LCY)'!$J167:$XFD167)</f>
        <v>-442301.10914173763</v>
      </c>
    </row>
    <row r="88" spans="2:17" hidden="1" outlineLevel="2">
      <c r="B88" s="6"/>
      <c r="C88" s="5" t="s">
        <v>414</v>
      </c>
      <c r="D88" s="37"/>
      <c r="E88" s="37"/>
      <c r="F88" s="37"/>
      <c r="G88" s="37"/>
      <c r="H88" s="454">
        <f ca="1">+SUMIF('Detailed Model (LCY)'!$J$4:$XFD$4,'Macro Model (LCY)'!H$3,'Detailed Model (LCY)'!$J168:$XFD168)</f>
        <v>-326225.73391127249</v>
      </c>
      <c r="I88" s="454">
        <f ca="1">+SUMIF('Detailed Model (LCY)'!$J$4:$XFD$4,'Macro Model (LCY)'!I$3,'Detailed Model (LCY)'!$J168:$XFD168)</f>
        <v>-463756.39611824311</v>
      </c>
      <c r="J88" s="454">
        <f ca="1">+SUMIF('Detailed Model (LCY)'!$J$4:$XFD$4,'Macro Model (LCY)'!J$3,'Detailed Model (LCY)'!$J168:$XFD168)</f>
        <v>-615161.48076212499</v>
      </c>
      <c r="K88" s="454">
        <f ca="1">+SUMIF('Detailed Model (LCY)'!$J$4:$XFD$4,'Macro Model (LCY)'!K$3,'Detailed Model (LCY)'!$J168:$XFD168)</f>
        <v>-780696.99707978847</v>
      </c>
      <c r="L88" s="454">
        <f ca="1">+SUMIF('Detailed Model (LCY)'!$J$4:$XFD$4,'Macro Model (LCY)'!L$3,'Detailed Model (LCY)'!$J168:$XFD168)</f>
        <v>-987864.63438857452</v>
      </c>
      <c r="M88" s="454">
        <f ca="1">+SUMIF('Detailed Model (LCY)'!$J$4:$XFD$4,'Macro Model (LCY)'!M$3,'Detailed Model (LCY)'!$J168:$XFD168)</f>
        <v>-1196104.2312020077</v>
      </c>
      <c r="N88" s="454">
        <f ca="1">+SUMIF('Detailed Model (LCY)'!$J$4:$XFD$4,'Macro Model (LCY)'!N$3,'Detailed Model (LCY)'!$J168:$XFD168)</f>
        <v>-1291772.5895600994</v>
      </c>
      <c r="O88" s="454">
        <f ca="1">+SUMIF('Detailed Model (LCY)'!$J$4:$XFD$4,'Macro Model (LCY)'!O$3,'Detailed Model (LCY)'!$J168:$XFD168)</f>
        <v>-1318923.1166884303</v>
      </c>
      <c r="P88" s="454">
        <f ca="1">+SUMIF('Detailed Model (LCY)'!$J$4:$XFD$4,'Macro Model (LCY)'!P$3,'Detailed Model (LCY)'!$J168:$XFD168)</f>
        <v>-1324948.2407739549</v>
      </c>
      <c r="Q88" s="454">
        <f ca="1">+SUMIF('Detailed Model (LCY)'!$J$4:$XFD$4,'Macro Model (LCY)'!Q$3,'Detailed Model (LCY)'!$J168:$XFD168)</f>
        <v>-1326903.3274252128</v>
      </c>
    </row>
    <row r="89" spans="2:17" hidden="1" outlineLevel="2">
      <c r="B89" s="6"/>
      <c r="C89" s="69" t="s">
        <v>501</v>
      </c>
      <c r="D89" s="69"/>
      <c r="E89" s="69"/>
      <c r="F89" s="69"/>
      <c r="G89" s="69"/>
      <c r="H89" s="348">
        <f t="shared" ref="H89:Q89" ca="1" si="12">SUM(H84:H88)</f>
        <v>-2195455.7248087367</v>
      </c>
      <c r="I89" s="348">
        <f t="shared" ca="1" si="12"/>
        <v>-2867409.8249657038</v>
      </c>
      <c r="J89" s="348">
        <f t="shared" ca="1" si="12"/>
        <v>-3720482.3587235319</v>
      </c>
      <c r="K89" s="348">
        <f t="shared" ca="1" si="12"/>
        <v>-4722651.643919846</v>
      </c>
      <c r="L89" s="348">
        <f t="shared" ca="1" si="12"/>
        <v>-5988357.550973041</v>
      </c>
      <c r="M89" s="348">
        <f t="shared" ca="1" si="12"/>
        <v>-6863119.6022127569</v>
      </c>
      <c r="N89" s="348">
        <f t="shared" ca="1" si="12"/>
        <v>-7086350.3482532073</v>
      </c>
      <c r="O89" s="348">
        <f t="shared" ca="1" si="12"/>
        <v>-7162936.9409373393</v>
      </c>
      <c r="P89" s="348">
        <f t="shared" ca="1" si="12"/>
        <v>-7177760.1852956358</v>
      </c>
      <c r="Q89" s="348">
        <f t="shared" ca="1" si="12"/>
        <v>-7183366.7079285132</v>
      </c>
    </row>
    <row r="90" spans="2:17" hidden="1" outlineLevel="2">
      <c r="B90" s="6"/>
      <c r="C90" s="5" t="s">
        <v>338</v>
      </c>
      <c r="D90" s="37"/>
      <c r="E90" s="37"/>
      <c r="H90" s="454">
        <f>+SUMIF('Detailed Model (LCY)'!$J$4:$XFD$4,'Macro Model (LCY)'!H$3,'Detailed Model (LCY)'!$J171:$XFD171)</f>
        <v>-2400000</v>
      </c>
      <c r="I90" s="454">
        <f>+SUMIF('Detailed Model (LCY)'!$J$4:$XFD$4,'Macro Model (LCY)'!I$3,'Detailed Model (LCY)'!$J171:$XFD171)</f>
        <v>-2400000</v>
      </c>
      <c r="J90" s="454">
        <f>+SUMIF('Detailed Model (LCY)'!$J$4:$XFD$4,'Macro Model (LCY)'!J$3,'Detailed Model (LCY)'!$J171:$XFD171)</f>
        <v>-2400000</v>
      </c>
      <c r="K90" s="454">
        <f>+SUMIF('Detailed Model (LCY)'!$J$4:$XFD$4,'Macro Model (LCY)'!K$3,'Detailed Model (LCY)'!$J171:$XFD171)</f>
        <v>-2400000</v>
      </c>
      <c r="L90" s="454">
        <f>+SUMIF('Detailed Model (LCY)'!$J$4:$XFD$4,'Macro Model (LCY)'!L$3,'Detailed Model (LCY)'!$J171:$XFD171)</f>
        <v>-2400000</v>
      </c>
      <c r="M90" s="454">
        <f>+SUMIF('Detailed Model (LCY)'!$J$4:$XFD$4,'Macro Model (LCY)'!M$3,'Detailed Model (LCY)'!$J171:$XFD171)</f>
        <v>-2400000</v>
      </c>
      <c r="N90" s="454">
        <f>+SUMIF('Detailed Model (LCY)'!$J$4:$XFD$4,'Macro Model (LCY)'!N$3,'Detailed Model (LCY)'!$J171:$XFD171)</f>
        <v>-2400000</v>
      </c>
      <c r="O90" s="454">
        <f>+SUMIF('Detailed Model (LCY)'!$J$4:$XFD$4,'Macro Model (LCY)'!O$3,'Detailed Model (LCY)'!$J171:$XFD171)</f>
        <v>-2400000</v>
      </c>
      <c r="P90" s="454">
        <f>+SUMIF('Detailed Model (LCY)'!$J$4:$XFD$4,'Macro Model (LCY)'!P$3,'Detailed Model (LCY)'!$J171:$XFD171)</f>
        <v>-2400000</v>
      </c>
      <c r="Q90" s="454">
        <f>+SUMIF('Detailed Model (LCY)'!$J$4:$XFD$4,'Macro Model (LCY)'!Q$3,'Detailed Model (LCY)'!$J171:$XFD171)</f>
        <v>-2400000</v>
      </c>
    </row>
    <row r="91" spans="2:17" hidden="1" outlineLevel="2">
      <c r="B91" s="6"/>
      <c r="C91" s="5" t="s">
        <v>332</v>
      </c>
      <c r="D91" s="37"/>
      <c r="E91" s="37"/>
      <c r="H91" s="454">
        <f ca="1">+SUMIF('Detailed Model (LCY)'!$J$4:$XFD$4,'Macro Model (LCY)'!H$3,'Detailed Model (LCY)'!$J172:$XFD172)</f>
        <v>-652451.46782254498</v>
      </c>
      <c r="I91" s="454">
        <f ca="1">+SUMIF('Detailed Model (LCY)'!$J$4:$XFD$4,'Macro Model (LCY)'!I$3,'Detailed Model (LCY)'!$J172:$XFD172)</f>
        <v>-927512.79223648622</v>
      </c>
      <c r="J91" s="454">
        <f ca="1">+SUMIF('Detailed Model (LCY)'!$J$4:$XFD$4,'Macro Model (LCY)'!J$3,'Detailed Model (LCY)'!$J172:$XFD172)</f>
        <v>-1230322.96152425</v>
      </c>
      <c r="K91" s="454">
        <f ca="1">+SUMIF('Detailed Model (LCY)'!$J$4:$XFD$4,'Macro Model (LCY)'!K$3,'Detailed Model (LCY)'!$J172:$XFD172)</f>
        <v>-1040929.3294397182</v>
      </c>
      <c r="L91" s="454">
        <f ca="1">+SUMIF('Detailed Model (LCY)'!$J$4:$XFD$4,'Macro Model (LCY)'!L$3,'Detailed Model (LCY)'!$J172:$XFD172)</f>
        <v>-1317152.845851433</v>
      </c>
      <c r="M91" s="454">
        <f ca="1">+SUMIF('Detailed Model (LCY)'!$J$4:$XFD$4,'Macro Model (LCY)'!M$3,'Detailed Model (LCY)'!$J172:$XFD172)</f>
        <v>-2392208.4624040155</v>
      </c>
      <c r="N91" s="454">
        <f ca="1">+SUMIF('Detailed Model (LCY)'!$J$4:$XFD$4,'Macro Model (LCY)'!N$3,'Detailed Model (LCY)'!$J172:$XFD172)</f>
        <v>-2583545.1791201988</v>
      </c>
      <c r="O91" s="454">
        <f ca="1">+SUMIF('Detailed Model (LCY)'!$J$4:$XFD$4,'Macro Model (LCY)'!O$3,'Detailed Model (LCY)'!$J172:$XFD172)</f>
        <v>-2637846.2333768606</v>
      </c>
      <c r="P91" s="454">
        <f ca="1">+SUMIF('Detailed Model (LCY)'!$J$4:$XFD$4,'Macro Model (LCY)'!P$3,'Detailed Model (LCY)'!$J172:$XFD172)</f>
        <v>-2649896.4815479098</v>
      </c>
      <c r="Q91" s="454">
        <f ca="1">+SUMIF('Detailed Model (LCY)'!$J$4:$XFD$4,'Macro Model (LCY)'!Q$3,'Detailed Model (LCY)'!$J172:$XFD172)</f>
        <v>-2653806.6548504257</v>
      </c>
    </row>
    <row r="92" spans="2:17" hidden="1" outlineLevel="2">
      <c r="B92" s="6"/>
      <c r="C92" s="5" t="s">
        <v>333</v>
      </c>
      <c r="D92" s="37"/>
      <c r="E92" s="37"/>
      <c r="H92" s="454">
        <f ca="1">+SUMIF('Detailed Model (LCY)'!$J$4:$XFD$4,'Macro Model (LCY)'!H$3,'Detailed Model (LCY)'!$J173:$XFD173)</f>
        <v>-1087419.113037575</v>
      </c>
      <c r="I92" s="454">
        <f ca="1">+SUMIF('Detailed Model (LCY)'!$J$4:$XFD$4,'Macro Model (LCY)'!I$3,'Detailed Model (LCY)'!$J173:$XFD173)</f>
        <v>-1545854.6537274772</v>
      </c>
      <c r="J92" s="454">
        <f ca="1">+SUMIF('Detailed Model (LCY)'!$J$4:$XFD$4,'Macro Model (LCY)'!J$3,'Detailed Model (LCY)'!$J173:$XFD173)</f>
        <v>-2050538.2692070834</v>
      </c>
      <c r="K92" s="454">
        <f ca="1">+SUMIF('Detailed Model (LCY)'!$J$4:$XFD$4,'Macro Model (LCY)'!K$3,'Detailed Model (LCY)'!$J173:$XFD173)</f>
        <v>-2081858.6588794363</v>
      </c>
      <c r="L92" s="454">
        <f ca="1">+SUMIF('Detailed Model (LCY)'!$J$4:$XFD$4,'Macro Model (LCY)'!L$3,'Detailed Model (LCY)'!$J173:$XFD173)</f>
        <v>-2634305.691702866</v>
      </c>
      <c r="M92" s="454">
        <f ca="1">+SUMIF('Detailed Model (LCY)'!$J$4:$XFD$4,'Macro Model (LCY)'!M$3,'Detailed Model (LCY)'!$J173:$XFD173)</f>
        <v>-3189611.2832053546</v>
      </c>
      <c r="N92" s="454">
        <f ca="1">+SUMIF('Detailed Model (LCY)'!$J$4:$XFD$4,'Macro Model (LCY)'!N$3,'Detailed Model (LCY)'!$J173:$XFD173)</f>
        <v>-3444726.9054935989</v>
      </c>
      <c r="O92" s="454">
        <f ca="1">+SUMIF('Detailed Model (LCY)'!$J$4:$XFD$4,'Macro Model (LCY)'!O$3,'Detailed Model (LCY)'!$J173:$XFD173)</f>
        <v>-3517128.311169148</v>
      </c>
      <c r="P92" s="454">
        <f ca="1">+SUMIF('Detailed Model (LCY)'!$J$4:$XFD$4,'Macro Model (LCY)'!P$3,'Detailed Model (LCY)'!$J173:$XFD173)</f>
        <v>-3533195.3087305464</v>
      </c>
      <c r="Q92" s="454">
        <f ca="1">+SUMIF('Detailed Model (LCY)'!$J$4:$XFD$4,'Macro Model (LCY)'!Q$3,'Detailed Model (LCY)'!$J173:$XFD173)</f>
        <v>-3538408.873133901</v>
      </c>
    </row>
    <row r="93" spans="2:17" hidden="1" outlineLevel="2">
      <c r="B93" s="6"/>
      <c r="C93" s="8" t="s">
        <v>410</v>
      </c>
      <c r="D93" s="37"/>
      <c r="E93" s="37"/>
      <c r="H93" s="454">
        <f ca="1">+SUMIF('Detailed Model (LCY)'!$J$4:$XFD$4,'Macro Model (LCY)'!H$3,'Detailed Model (LCY)'!$J174:$XFD174)</f>
        <v>-3262257.3391127251</v>
      </c>
      <c r="I93" s="454">
        <f ca="1">+SUMIF('Detailed Model (LCY)'!$J$4:$XFD$4,'Macro Model (LCY)'!I$3,'Detailed Model (LCY)'!$J174:$XFD174)</f>
        <v>-4637563.9611824304</v>
      </c>
      <c r="J93" s="454">
        <f ca="1">+SUMIF('Detailed Model (LCY)'!$J$4:$XFD$4,'Macro Model (LCY)'!J$3,'Detailed Model (LCY)'!$J174:$XFD174)</f>
        <v>-6151614.8076212499</v>
      </c>
      <c r="K93" s="454">
        <f ca="1">+SUMIF('Detailed Model (LCY)'!$J$4:$XFD$4,'Macro Model (LCY)'!K$3,'Detailed Model (LCY)'!$J174:$XFD174)</f>
        <v>-7806969.9707978861</v>
      </c>
      <c r="L93" s="454">
        <f ca="1">+SUMIF('Detailed Model (LCY)'!$J$4:$XFD$4,'Macro Model (LCY)'!L$3,'Detailed Model (LCY)'!$J174:$XFD174)</f>
        <v>-9878646.3438857459</v>
      </c>
      <c r="M93" s="454">
        <f ca="1">+SUMIF('Detailed Model (LCY)'!$J$4:$XFD$4,'Macro Model (LCY)'!M$3,'Detailed Model (LCY)'!$J174:$XFD174)</f>
        <v>-11961042.312020078</v>
      </c>
      <c r="N93" s="454">
        <f ca="1">+SUMIF('Detailed Model (LCY)'!$J$4:$XFD$4,'Macro Model (LCY)'!N$3,'Detailed Model (LCY)'!$J174:$XFD174)</f>
        <v>-12917725.895600995</v>
      </c>
      <c r="O93" s="454">
        <f ca="1">+SUMIF('Detailed Model (LCY)'!$J$4:$XFD$4,'Macro Model (LCY)'!O$3,'Detailed Model (LCY)'!$J174:$XFD174)</f>
        <v>-13189231.166884301</v>
      </c>
      <c r="P93" s="454">
        <f ca="1">+SUMIF('Detailed Model (LCY)'!$J$4:$XFD$4,'Macro Model (LCY)'!P$3,'Detailed Model (LCY)'!$J174:$XFD174)</f>
        <v>-13249482.407739546</v>
      </c>
      <c r="Q93" s="454">
        <f ca="1">+SUMIF('Detailed Model (LCY)'!$J$4:$XFD$4,'Macro Model (LCY)'!Q$3,'Detailed Model (LCY)'!$J174:$XFD174)</f>
        <v>-13269033.274252128</v>
      </c>
    </row>
    <row r="94" spans="2:17" hidden="1" outlineLevel="2">
      <c r="C94" s="5" t="s">
        <v>336</v>
      </c>
      <c r="D94" s="37"/>
      <c r="H94" s="454">
        <f ca="1">+SUMIF('Detailed Model (LCY)'!$J$4:$XFD$4,'Macro Model (LCY)'!H$3,'Detailed Model (LCY)'!$J175:$XFD175)</f>
        <v>-226490.29356450899</v>
      </c>
      <c r="I94" s="454">
        <f ca="1">+SUMIF('Detailed Model (LCY)'!$J$4:$XFD$4,'Macro Model (LCY)'!I$3,'Detailed Model (LCY)'!$J175:$XFD175)</f>
        <v>-281502.55844729726</v>
      </c>
      <c r="J94" s="454">
        <f ca="1">+SUMIF('Detailed Model (LCY)'!$J$4:$XFD$4,'Macro Model (LCY)'!J$3,'Detailed Model (LCY)'!$J175:$XFD175)</f>
        <v>-342064.59230484994</v>
      </c>
      <c r="K94" s="454">
        <f ca="1">+SUMIF('Detailed Model (LCY)'!$J$4:$XFD$4,'Macro Model (LCY)'!K$3,'Detailed Model (LCY)'!$J175:$XFD175)</f>
        <v>-306209.09912393655</v>
      </c>
      <c r="L94" s="454">
        <f ca="1">+SUMIF('Detailed Model (LCY)'!$J$4:$XFD$4,'Macro Model (LCY)'!L$3,'Detailed Model (LCY)'!$J175:$XFD175)</f>
        <v>-368359.39031657239</v>
      </c>
      <c r="M94" s="454">
        <f ca="1">+SUMIF('Detailed Model (LCY)'!$J$4:$XFD$4,'Macro Model (LCY)'!M$3,'Detailed Model (LCY)'!$J175:$XFD175)</f>
        <v>-430831.26936060231</v>
      </c>
      <c r="N94" s="454">
        <f ca="1">+SUMIF('Detailed Model (LCY)'!$J$4:$XFD$4,'Macro Model (LCY)'!N$3,'Detailed Model (LCY)'!$J175:$XFD175)</f>
        <v>-459531.77686802985</v>
      </c>
      <c r="O94" s="454">
        <f ca="1">+SUMIF('Detailed Model (LCY)'!$J$4:$XFD$4,'Macro Model (LCY)'!O$3,'Detailed Model (LCY)'!$J175:$XFD175)</f>
        <v>-467676.93500652903</v>
      </c>
      <c r="P94" s="454">
        <f ca="1">+SUMIF('Detailed Model (LCY)'!$J$4:$XFD$4,'Macro Model (LCY)'!P$3,'Detailed Model (LCY)'!$J175:$XFD175)</f>
        <v>-469484.47223218641</v>
      </c>
      <c r="Q94" s="454">
        <f ca="1">+SUMIF('Detailed Model (LCY)'!$J$4:$XFD$4,'Macro Model (LCY)'!Q$3,'Detailed Model (LCY)'!$J175:$XFD175)</f>
        <v>-470070.9982275638</v>
      </c>
    </row>
    <row r="95" spans="2:17" hidden="1" outlineLevel="2">
      <c r="C95" s="5" t="s">
        <v>342</v>
      </c>
      <c r="D95" s="37"/>
      <c r="H95" s="454">
        <f>+SUMIF('Detailed Model (LCY)'!$J$4:$XFD$4,'Macro Model (LCY)'!H$3,'Detailed Model (LCY)'!$J176:$XFD176)</f>
        <v>-2400000</v>
      </c>
      <c r="I95" s="454">
        <f>+SUMIF('Detailed Model (LCY)'!$J$4:$XFD$4,'Macro Model (LCY)'!I$3,'Detailed Model (LCY)'!$J176:$XFD176)</f>
        <v>-2400000</v>
      </c>
      <c r="J95" s="454">
        <f>+SUMIF('Detailed Model (LCY)'!$J$4:$XFD$4,'Macro Model (LCY)'!J$3,'Detailed Model (LCY)'!$J176:$XFD176)</f>
        <v>-2400000</v>
      </c>
      <c r="K95" s="454">
        <f>+SUMIF('Detailed Model (LCY)'!$J$4:$XFD$4,'Macro Model (LCY)'!K$3,'Detailed Model (LCY)'!$J176:$XFD176)</f>
        <v>-2400000</v>
      </c>
      <c r="L95" s="454">
        <f>+SUMIF('Detailed Model (LCY)'!$J$4:$XFD$4,'Macro Model (LCY)'!L$3,'Detailed Model (LCY)'!$J176:$XFD176)</f>
        <v>-2400000</v>
      </c>
      <c r="M95" s="454">
        <f>+SUMIF('Detailed Model (LCY)'!$J$4:$XFD$4,'Macro Model (LCY)'!M$3,'Detailed Model (LCY)'!$J176:$XFD176)</f>
        <v>-2400000</v>
      </c>
      <c r="N95" s="454">
        <f>+SUMIF('Detailed Model (LCY)'!$J$4:$XFD$4,'Macro Model (LCY)'!N$3,'Detailed Model (LCY)'!$J176:$XFD176)</f>
        <v>-2400000</v>
      </c>
      <c r="O95" s="454">
        <f>+SUMIF('Detailed Model (LCY)'!$J$4:$XFD$4,'Macro Model (LCY)'!O$3,'Detailed Model (LCY)'!$J176:$XFD176)</f>
        <v>-2400000</v>
      </c>
      <c r="P95" s="454">
        <f>+SUMIF('Detailed Model (LCY)'!$J$4:$XFD$4,'Macro Model (LCY)'!P$3,'Detailed Model (LCY)'!$J176:$XFD176)</f>
        <v>-2400000</v>
      </c>
      <c r="Q95" s="454">
        <f>+SUMIF('Detailed Model (LCY)'!$J$4:$XFD$4,'Macro Model (LCY)'!Q$3,'Detailed Model (LCY)'!$J176:$XFD176)</f>
        <v>-2400000</v>
      </c>
    </row>
    <row r="96" spans="2:17" hidden="1" outlineLevel="2">
      <c r="C96" s="5" t="s">
        <v>230</v>
      </c>
      <c r="H96" s="454">
        <f ca="1">+SUMIF('Detailed Model (LCY)'!$J$4:$XFD$4,'Macro Model (LCY)'!H$3,'Detailed Model (LCY)'!$J177:$XFD177)</f>
        <v>-217483.82260751503</v>
      </c>
      <c r="I96" s="454">
        <f ca="1">+SUMIF('Detailed Model (LCY)'!$J$4:$XFD$4,'Macro Model (LCY)'!I$3,'Detailed Model (LCY)'!$J177:$XFD177)</f>
        <v>-309170.93074549543</v>
      </c>
      <c r="J96" s="454">
        <f ca="1">+SUMIF('Detailed Model (LCY)'!$J$4:$XFD$4,'Macro Model (LCY)'!J$3,'Detailed Model (LCY)'!$J177:$XFD177)</f>
        <v>-410107.65384141664</v>
      </c>
      <c r="K96" s="454">
        <f ca="1">+SUMIF('Detailed Model (LCY)'!$J$4:$XFD$4,'Macro Model (LCY)'!K$3,'Detailed Model (LCY)'!$J177:$XFD177)</f>
        <v>-520464.66471985908</v>
      </c>
      <c r="L96" s="454">
        <f ca="1">+SUMIF('Detailed Model (LCY)'!$J$4:$XFD$4,'Macro Model (LCY)'!L$3,'Detailed Model (LCY)'!$J177:$XFD177)</f>
        <v>-658576.4229257165</v>
      </c>
      <c r="M96" s="454">
        <f ca="1">+SUMIF('Detailed Model (LCY)'!$J$4:$XFD$4,'Macro Model (LCY)'!M$3,'Detailed Model (LCY)'!$J177:$XFD177)</f>
        <v>-797402.82080133865</v>
      </c>
      <c r="N96" s="454">
        <f ca="1">+SUMIF('Detailed Model (LCY)'!$J$4:$XFD$4,'Macro Model (LCY)'!N$3,'Detailed Model (LCY)'!$J177:$XFD177)</f>
        <v>-861181.72637339972</v>
      </c>
      <c r="O96" s="454">
        <f ca="1">+SUMIF('Detailed Model (LCY)'!$J$4:$XFD$4,'Macro Model (LCY)'!O$3,'Detailed Model (LCY)'!$J177:$XFD177)</f>
        <v>-879282.07779228699</v>
      </c>
      <c r="P96" s="454">
        <f ca="1">+SUMIF('Detailed Model (LCY)'!$J$4:$XFD$4,'Macro Model (LCY)'!P$3,'Detailed Model (LCY)'!$J177:$XFD177)</f>
        <v>-883298.8271826366</v>
      </c>
      <c r="Q96" s="454">
        <f ca="1">+SUMIF('Detailed Model (LCY)'!$J$4:$XFD$4,'Macro Model (LCY)'!Q$3,'Detailed Model (LCY)'!$J177:$XFD177)</f>
        <v>-884602.21828347526</v>
      </c>
    </row>
    <row r="97" spans="2:17" hidden="1" outlineLevel="2">
      <c r="C97" s="69" t="s">
        <v>413</v>
      </c>
      <c r="D97" s="55"/>
      <c r="E97" s="55"/>
      <c r="F97" s="55"/>
      <c r="G97" s="55"/>
      <c r="H97" s="240">
        <f t="shared" ref="H97:M97" ca="1" si="13">SUM(H90:H96)</f>
        <v>-10246102.036144869</v>
      </c>
      <c r="I97" s="240">
        <f t="shared" ca="1" si="13"/>
        <v>-12501604.896339187</v>
      </c>
      <c r="J97" s="240">
        <f t="shared" ca="1" si="13"/>
        <v>-14984648.28449885</v>
      </c>
      <c r="K97" s="240">
        <f t="shared" ca="1" si="13"/>
        <v>-16556431.722960835</v>
      </c>
      <c r="L97" s="240">
        <f t="shared" ca="1" si="13"/>
        <v>-19657040.694682337</v>
      </c>
      <c r="M97" s="240">
        <f t="shared" ca="1" si="13"/>
        <v>-23571096.147791389</v>
      </c>
      <c r="N97" s="240">
        <f ca="1">SUM(N90:N96)</f>
        <v>-25066711.483456224</v>
      </c>
      <c r="O97" s="240">
        <f ca="1">SUM(O90:O96)</f>
        <v>-25491164.724229127</v>
      </c>
      <c r="P97" s="240">
        <f ca="1">SUM(P90:P96)</f>
        <v>-25585357.497432824</v>
      </c>
      <c r="Q97" s="240">
        <f ca="1">SUM(Q90:Q96)</f>
        <v>-25615922.01874749</v>
      </c>
    </row>
    <row r="98" spans="2:17" hidden="1" outlineLevel="2">
      <c r="H98" s="342"/>
      <c r="I98" s="342"/>
      <c r="J98" s="342"/>
      <c r="K98" s="342"/>
      <c r="L98" s="342"/>
      <c r="M98" s="342"/>
      <c r="N98" s="342"/>
      <c r="O98" s="342"/>
      <c r="P98" s="342"/>
      <c r="Q98" s="342"/>
    </row>
    <row r="99" spans="2:17" outlineLevel="1" collapsed="1">
      <c r="C99" s="68" t="s">
        <v>147</v>
      </c>
      <c r="D99" s="68"/>
      <c r="E99" s="68"/>
      <c r="F99" s="68"/>
      <c r="G99" s="68"/>
      <c r="H99" s="64">
        <f t="shared" ref="H99:M99" ca="1" si="14">SUM(H89,H97)</f>
        <v>-12441557.760953605</v>
      </c>
      <c r="I99" s="64">
        <f t="shared" ca="1" si="14"/>
        <v>-15369014.721304892</v>
      </c>
      <c r="J99" s="64">
        <f t="shared" ca="1" si="14"/>
        <v>-18705130.64322238</v>
      </c>
      <c r="K99" s="64">
        <f t="shared" ca="1" si="14"/>
        <v>-21279083.366880681</v>
      </c>
      <c r="L99" s="64">
        <f t="shared" ca="1" si="14"/>
        <v>-25645398.24565538</v>
      </c>
      <c r="M99" s="64">
        <f t="shared" ca="1" si="14"/>
        <v>-30434215.750004146</v>
      </c>
      <c r="N99" s="64">
        <f ca="1">SUM(N89,N97)</f>
        <v>-32153061.83170943</v>
      </c>
      <c r="O99" s="64">
        <f ca="1">SUM(O89,O97)</f>
        <v>-32654101.665166467</v>
      </c>
      <c r="P99" s="64">
        <f ca="1">SUM(P89,P97)</f>
        <v>-32763117.682728462</v>
      </c>
      <c r="Q99" s="64">
        <f ca="1">SUM(Q89,Q97)</f>
        <v>-32799288.726676002</v>
      </c>
    </row>
    <row r="100" spans="2:17" outlineLevel="1">
      <c r="C100" s="37"/>
      <c r="H100" s="349"/>
      <c r="I100" s="349"/>
      <c r="J100" s="349"/>
      <c r="K100" s="349"/>
      <c r="L100" s="349"/>
      <c r="M100" s="349"/>
      <c r="N100" s="349"/>
      <c r="O100" s="349"/>
      <c r="P100" s="349"/>
      <c r="Q100" s="349"/>
    </row>
    <row r="101" spans="2:17" outlineLevel="1">
      <c r="C101" s="68" t="s">
        <v>7</v>
      </c>
      <c r="D101" s="68"/>
      <c r="E101" s="68"/>
      <c r="F101" s="56"/>
      <c r="G101" s="56"/>
      <c r="H101" s="94">
        <f t="shared" ref="H101:Q101" ca="1" si="15">+H33+H49+H62+H99+H43</f>
        <v>3729071.3496235888</v>
      </c>
      <c r="I101" s="94">
        <f t="shared" ca="1" si="15"/>
        <v>3510751.9453804954</v>
      </c>
      <c r="J101" s="94">
        <f t="shared" ca="1" si="15"/>
        <v>2555578.7995454315</v>
      </c>
      <c r="K101" s="94">
        <f t="shared" ca="1" si="15"/>
        <v>5875978.6227911245</v>
      </c>
      <c r="L101" s="94">
        <f t="shared" ca="1" si="15"/>
        <v>8729665.6832595319</v>
      </c>
      <c r="M101" s="94">
        <f t="shared" ca="1" si="15"/>
        <v>11110908.329367552</v>
      </c>
      <c r="N101" s="94">
        <f t="shared" ca="1" si="15"/>
        <v>12822255.72424357</v>
      </c>
      <c r="O101" s="94">
        <f t="shared" ca="1" si="15"/>
        <v>13361210.275258122</v>
      </c>
      <c r="P101" s="94">
        <f t="shared" ca="1" si="15"/>
        <v>13479616.669592546</v>
      </c>
      <c r="Q101" s="94">
        <f t="shared" ca="1" si="15"/>
        <v>13521737.743704107</v>
      </c>
    </row>
    <row r="102" spans="2:17" outlineLevel="1">
      <c r="B102" s="37"/>
      <c r="C102" s="212" t="s">
        <v>9</v>
      </c>
      <c r="D102" s="212"/>
      <c r="E102" s="212"/>
      <c r="F102" s="212"/>
      <c r="G102" s="212"/>
      <c r="H102" s="345">
        <f t="shared" ref="H102:Q102" ca="1" si="16">+H41+H49+H75+H99+H43</f>
        <v>11907620.21509877</v>
      </c>
      <c r="I102" s="345">
        <f t="shared" ca="1" si="16"/>
        <v>11929161.012883199</v>
      </c>
      <c r="J102" s="345">
        <f t="shared" ca="1" si="16"/>
        <v>12953750.035458611</v>
      </c>
      <c r="K102" s="345">
        <f t="shared" ca="1" si="16"/>
        <v>20188028.463657059</v>
      </c>
      <c r="L102" s="345">
        <f t="shared" ca="1" si="16"/>
        <v>26990823.431175575</v>
      </c>
      <c r="M102" s="345">
        <f t="shared" ca="1" si="16"/>
        <v>27499253.703795739</v>
      </c>
      <c r="N102" s="345">
        <f t="shared" ca="1" si="16"/>
        <v>25403919.307100255</v>
      </c>
      <c r="O102" s="345">
        <f t="shared" ca="1" si="16"/>
        <v>24996929.232346229</v>
      </c>
      <c r="P102" s="345">
        <f t="shared" ca="1" si="16"/>
        <v>24879504.035741709</v>
      </c>
      <c r="Q102" s="345">
        <f t="shared" ca="1" si="16"/>
        <v>24849184.127039734</v>
      </c>
    </row>
    <row r="103" spans="2:17" outlineLevel="1">
      <c r="B103" s="37"/>
      <c r="C103" s="62" t="s">
        <v>321</v>
      </c>
      <c r="D103" s="62"/>
      <c r="E103" s="62"/>
      <c r="F103" s="62"/>
      <c r="G103" s="62"/>
      <c r="H103" s="350">
        <f t="shared" ref="H103:Q103" ca="1" si="17">(H101-H49)/H33</f>
        <v>-5.8437847704654738E-2</v>
      </c>
      <c r="I103" s="350">
        <f t="shared" ca="1" si="17"/>
        <v>1.6520050709454899E-2</v>
      </c>
      <c r="J103" s="350">
        <f t="shared" ca="1" si="17"/>
        <v>6.2314828206879579E-2</v>
      </c>
      <c r="K103" s="350">
        <f t="shared" ca="1" si="17"/>
        <v>0.1128987041983701</v>
      </c>
      <c r="L103" s="350">
        <f t="shared" ca="1" si="17"/>
        <v>0.13255357129971521</v>
      </c>
      <c r="M103" s="350">
        <f t="shared" ca="1" si="17"/>
        <v>0.1393387136278475</v>
      </c>
      <c r="N103" s="350">
        <f t="shared" ca="1" si="17"/>
        <v>0.14889140504920526</v>
      </c>
      <c r="O103" s="350">
        <f t="shared" ca="1" si="17"/>
        <v>0.15195590371642315</v>
      </c>
      <c r="P103" s="350">
        <f t="shared" ca="1" si="17"/>
        <v>0.15260539530644499</v>
      </c>
      <c r="Q103" s="350">
        <f t="shared" ca="1" si="17"/>
        <v>0.15285670173812516</v>
      </c>
    </row>
    <row r="104" spans="2:17" outlineLevel="1">
      <c r="B104" s="37"/>
      <c r="C104" s="62" t="s">
        <v>322</v>
      </c>
      <c r="D104" s="62"/>
      <c r="E104" s="62"/>
      <c r="F104" s="62"/>
      <c r="G104" s="62"/>
      <c r="H104" s="351">
        <f t="shared" ref="H104:Q104" ca="1" si="18">(H102-H49)/H40</f>
        <v>0.19048333062183295</v>
      </c>
      <c r="I104" s="351">
        <f t="shared" ca="1" si="18"/>
        <v>0.19409807944790186</v>
      </c>
      <c r="J104" s="351">
        <f t="shared" ca="1" si="18"/>
        <v>0.21990531690541001</v>
      </c>
      <c r="K104" s="351">
        <f t="shared" ca="1" si="18"/>
        <v>0.26966027203320719</v>
      </c>
      <c r="L104" s="351">
        <f t="shared" ca="1" si="18"/>
        <v>0.28418346406130757</v>
      </c>
      <c r="M104" s="351">
        <f t="shared" ca="1" si="18"/>
        <v>0.25821234348198924</v>
      </c>
      <c r="N104" s="351">
        <f t="shared" ca="1" si="18"/>
        <v>0.23572859118626641</v>
      </c>
      <c r="O104" s="351">
        <f t="shared" ca="1" si="18"/>
        <v>0.23051768056022801</v>
      </c>
      <c r="P104" s="351">
        <f t="shared" ca="1" si="18"/>
        <v>0.22920252216671239</v>
      </c>
      <c r="Q104" s="351">
        <f t="shared" ca="1" si="18"/>
        <v>0.22881834210811583</v>
      </c>
    </row>
    <row r="105" spans="2:17" outlineLevel="1">
      <c r="H105" s="349"/>
      <c r="I105" s="349"/>
      <c r="J105" s="349"/>
      <c r="K105" s="349"/>
      <c r="L105" s="349"/>
      <c r="M105" s="349"/>
      <c r="N105" s="349"/>
      <c r="O105" s="349"/>
      <c r="P105" s="349"/>
      <c r="Q105" s="349"/>
    </row>
    <row r="106" spans="2:17" outlineLevel="1">
      <c r="C106" s="42" t="s">
        <v>79</v>
      </c>
      <c r="H106" s="454">
        <f>+SUMIF('Detailed Model (LCY)'!$J$4:$XFD$4,'Macro Model (LCY)'!H$3,'Detailed Model (LCY)'!$J184:$XFD184)</f>
        <v>-1350000</v>
      </c>
      <c r="I106" s="454">
        <f>+SUMIF('Detailed Model (LCY)'!$J$4:$XFD$4,'Macro Model (LCY)'!I$3,'Detailed Model (LCY)'!$J184:$XFD184)</f>
        <v>-911458.33333333349</v>
      </c>
      <c r="J106" s="454">
        <f>+SUMIF('Detailed Model (LCY)'!$J$4:$XFD$4,'Macro Model (LCY)'!J$3,'Detailed Model (LCY)'!$J184:$XFD184)</f>
        <v>-3205439.8148148148</v>
      </c>
      <c r="K106" s="454">
        <f>+SUMIF('Detailed Model (LCY)'!$J$4:$XFD$4,'Macro Model (LCY)'!K$3,'Detailed Model (LCY)'!$J184:$XFD184)</f>
        <v>-1921296.2962962969</v>
      </c>
      <c r="L106" s="454">
        <f>+SUMIF('Detailed Model (LCY)'!$J$4:$XFD$4,'Macro Model (LCY)'!L$3,'Detailed Model (LCY)'!$J184:$XFD184)</f>
        <v>-2766851.8518518521</v>
      </c>
      <c r="M106" s="454">
        <f>+SUMIF('Detailed Model (LCY)'!$J$4:$XFD$4,'Macro Model (LCY)'!M$3,'Detailed Model (LCY)'!$J184:$XFD184)</f>
        <v>-2900000.0000000014</v>
      </c>
      <c r="N106" s="454">
        <f>+SUMIF('Detailed Model (LCY)'!$J$4:$XFD$4,'Macro Model (LCY)'!N$3,'Detailed Model (LCY)'!$J184:$XFD184)</f>
        <v>-2846296.296296299</v>
      </c>
      <c r="O106" s="454">
        <f>+SUMIF('Detailed Model (LCY)'!$J$4:$XFD$4,'Macro Model (LCY)'!O$3,'Detailed Model (LCY)'!$J184:$XFD184)</f>
        <v>-2871296.2962963004</v>
      </c>
      <c r="P106" s="454">
        <f>+SUMIF('Detailed Model (LCY)'!$J$4:$XFD$4,'Macro Model (LCY)'!P$3,'Detailed Model (LCY)'!$J184:$XFD184)</f>
        <v>-2928703.7037037089</v>
      </c>
      <c r="Q106" s="454">
        <f>+SUMIF('Detailed Model (LCY)'!$J$4:$XFD$4,'Macro Model (LCY)'!Q$3,'Detailed Model (LCY)'!$J184:$XFD184)</f>
        <v>-3258611.111111118</v>
      </c>
    </row>
    <row r="107" spans="2:17" outlineLevel="1">
      <c r="C107" s="42" t="s">
        <v>402</v>
      </c>
      <c r="H107" s="454">
        <f>+SUMIF('Detailed Model (LCY)'!$J$4:$XFD$4,'Macro Model (LCY)'!H$3,'Detailed Model (LCY)'!$J185:$XFD185)</f>
        <v>0</v>
      </c>
      <c r="I107" s="454">
        <f>+SUMIF('Detailed Model (LCY)'!$J$4:$XFD$4,'Macro Model (LCY)'!I$3,'Detailed Model (LCY)'!$J185:$XFD185)</f>
        <v>0</v>
      </c>
      <c r="J107" s="454">
        <f>+SUMIF('Detailed Model (LCY)'!$J$4:$XFD$4,'Macro Model (LCY)'!J$3,'Detailed Model (LCY)'!$J185:$XFD185)</f>
        <v>0</v>
      </c>
      <c r="K107" s="454">
        <f>+SUMIF('Detailed Model (LCY)'!$J$4:$XFD$4,'Macro Model (LCY)'!K$3,'Detailed Model (LCY)'!$J185:$XFD185)</f>
        <v>0</v>
      </c>
      <c r="L107" s="454">
        <f>+SUMIF('Detailed Model (LCY)'!$J$4:$XFD$4,'Macro Model (LCY)'!L$3,'Detailed Model (LCY)'!$J185:$XFD185)</f>
        <v>0</v>
      </c>
      <c r="M107" s="454">
        <f>+SUMIF('Detailed Model (LCY)'!$J$4:$XFD$4,'Macro Model (LCY)'!M$3,'Detailed Model (LCY)'!$J185:$XFD185)</f>
        <v>0</v>
      </c>
      <c r="N107" s="454">
        <f>+SUMIF('Detailed Model (LCY)'!$J$4:$XFD$4,'Macro Model (LCY)'!N$3,'Detailed Model (LCY)'!$J185:$XFD185)</f>
        <v>0</v>
      </c>
      <c r="O107" s="454">
        <f>+SUMIF('Detailed Model (LCY)'!$J$4:$XFD$4,'Macro Model (LCY)'!O$3,'Detailed Model (LCY)'!$J185:$XFD185)</f>
        <v>0</v>
      </c>
      <c r="P107" s="454">
        <f>+SUMIF('Detailed Model (LCY)'!$J$4:$XFD$4,'Macro Model (LCY)'!P$3,'Detailed Model (LCY)'!$J185:$XFD185)</f>
        <v>0</v>
      </c>
      <c r="Q107" s="454">
        <f>+SUMIF('Detailed Model (LCY)'!$J$4:$XFD$4,'Macro Model (LCY)'!Q$3,'Detailed Model (LCY)'!$J185:$XFD185)</f>
        <v>0</v>
      </c>
    </row>
    <row r="108" spans="2:17" outlineLevel="1">
      <c r="C108" s="42" t="s">
        <v>89</v>
      </c>
      <c r="H108" s="454">
        <f>+SUMIF('Detailed Model (LCY)'!$J$4:$XFD$4,'Macro Model (LCY)'!H$3,'Detailed Model (LCY)'!$J186:$XFD186)</f>
        <v>-122376.86056509928</v>
      </c>
      <c r="I108" s="454">
        <f>+SUMIF('Detailed Model (LCY)'!$J$4:$XFD$4,'Macro Model (LCY)'!I$3,'Detailed Model (LCY)'!$J186:$XFD186)</f>
        <v>-319202.56067451142</v>
      </c>
      <c r="J108" s="454">
        <f>+SUMIF('Detailed Model (LCY)'!$J$4:$XFD$4,'Macro Model (LCY)'!J$3,'Detailed Model (LCY)'!$J186:$XFD186)</f>
        <v>-480078.44233080884</v>
      </c>
      <c r="K108" s="454">
        <f>+SUMIF('Detailed Model (LCY)'!$J$4:$XFD$4,'Macro Model (LCY)'!K$3,'Detailed Model (LCY)'!$J186:$XFD186)</f>
        <v>-611570.66760578135</v>
      </c>
      <c r="L108" s="454">
        <f>+SUMIF('Detailed Model (LCY)'!$J$4:$XFD$4,'Macro Model (LCY)'!L$3,'Detailed Model (LCY)'!$J186:$XFD186)</f>
        <v>-719046.10226853401</v>
      </c>
      <c r="M108" s="454">
        <f>+SUMIF('Detailed Model (LCY)'!$J$4:$XFD$4,'Macro Model (LCY)'!M$3,'Detailed Model (LCY)'!$J186:$XFD186)</f>
        <v>-806891.36484426865</v>
      </c>
      <c r="N108" s="454">
        <f>+SUMIF('Detailed Model (LCY)'!$J$4:$XFD$4,'Macro Model (LCY)'!N$3,'Detailed Model (LCY)'!$J186:$XFD186)</f>
        <v>-878691.86680282559</v>
      </c>
      <c r="O108" s="454">
        <f>+SUMIF('Detailed Model (LCY)'!$J$4:$XFD$4,'Macro Model (LCY)'!O$3,'Detailed Model (LCY)'!$J186:$XFD186)</f>
        <v>-937378.15141670813</v>
      </c>
      <c r="P108" s="454">
        <f>+SUMIF('Detailed Model (LCY)'!$J$4:$XFD$4,'Macro Model (LCY)'!P$3,'Detailed Model (LCY)'!$J186:$XFD186)</f>
        <v>-985345.50412086514</v>
      </c>
      <c r="Q108" s="454">
        <f>+SUMIF('Detailed Model (LCY)'!$J$4:$XFD$4,'Macro Model (LCY)'!Q$3,'Detailed Model (LCY)'!$J186:$XFD186)</f>
        <v>-1024551.716280711</v>
      </c>
    </row>
    <row r="109" spans="2:17" outlineLevel="1">
      <c r="C109" s="42"/>
      <c r="H109" s="150"/>
      <c r="I109" s="150"/>
      <c r="J109" s="150"/>
      <c r="K109" s="150"/>
      <c r="L109" s="150"/>
      <c r="M109" s="150"/>
      <c r="N109" s="150"/>
      <c r="O109" s="150"/>
      <c r="P109" s="150"/>
      <c r="Q109" s="150"/>
    </row>
    <row r="110" spans="2:17" outlineLevel="1">
      <c r="C110" s="68" t="s">
        <v>182</v>
      </c>
      <c r="D110" s="68"/>
      <c r="E110" s="68"/>
      <c r="F110" s="56"/>
      <c r="G110" s="56"/>
      <c r="H110" s="241">
        <f t="shared" ref="H110:Q110" ca="1" si="19">H101+H106+H107+H108</f>
        <v>2256694.4890584894</v>
      </c>
      <c r="I110" s="241">
        <f t="shared" ca="1" si="19"/>
        <v>2280091.0513726505</v>
      </c>
      <c r="J110" s="241">
        <f ca="1">J101+J106+J107+J108</f>
        <v>-1129939.4576001922</v>
      </c>
      <c r="K110" s="241">
        <f t="shared" ca="1" si="19"/>
        <v>3343111.6588890464</v>
      </c>
      <c r="L110" s="241">
        <f t="shared" ca="1" si="19"/>
        <v>5243767.7291391455</v>
      </c>
      <c r="M110" s="241">
        <f t="shared" ca="1" si="19"/>
        <v>7404016.9645232819</v>
      </c>
      <c r="N110" s="241">
        <f t="shared" ca="1" si="19"/>
        <v>9097267.5611444451</v>
      </c>
      <c r="O110" s="241">
        <f t="shared" ca="1" si="19"/>
        <v>9552535.8275451139</v>
      </c>
      <c r="P110" s="241">
        <f t="shared" ca="1" si="19"/>
        <v>9565567.4617679715</v>
      </c>
      <c r="Q110" s="241">
        <f t="shared" ca="1" si="19"/>
        <v>9238574.9163122773</v>
      </c>
    </row>
    <row r="111" spans="2:17" outlineLevel="1">
      <c r="C111" s="213" t="s">
        <v>183</v>
      </c>
      <c r="D111" s="213"/>
      <c r="E111" s="213"/>
      <c r="F111" s="213"/>
      <c r="G111" s="213"/>
      <c r="H111" s="352">
        <f t="shared" ref="H111:M111" ca="1" si="20">+H102+H106+H107+H108</f>
        <v>10435243.35453367</v>
      </c>
      <c r="I111" s="352">
        <f t="shared" ca="1" si="20"/>
        <v>10698500.118875355</v>
      </c>
      <c r="J111" s="352">
        <f t="shared" ca="1" si="20"/>
        <v>9268231.7783129867</v>
      </c>
      <c r="K111" s="352">
        <f t="shared" ca="1" si="20"/>
        <v>17655161.49975498</v>
      </c>
      <c r="L111" s="352">
        <f t="shared" ca="1" si="20"/>
        <v>23504925.477055188</v>
      </c>
      <c r="M111" s="352">
        <f t="shared" ca="1" si="20"/>
        <v>23792362.338951468</v>
      </c>
      <c r="N111" s="352">
        <f ca="1">+N102+N106+N107+N108</f>
        <v>21678931.14400113</v>
      </c>
      <c r="O111" s="352">
        <f ca="1">+O102+O106+O107+O108</f>
        <v>21188254.784633223</v>
      </c>
      <c r="P111" s="352">
        <f ca="1">+P102+P106+P107+P108</f>
        <v>20965454.827917136</v>
      </c>
      <c r="Q111" s="352">
        <f ca="1">+Q102+Q106+Q107+Q108</f>
        <v>20566021.299647905</v>
      </c>
    </row>
    <row r="112" spans="2:17" outlineLevel="1">
      <c r="C112" s="37"/>
      <c r="D112" s="37"/>
      <c r="E112" s="37"/>
      <c r="H112" s="353"/>
      <c r="I112" s="150"/>
      <c r="J112" s="150"/>
      <c r="K112" s="150"/>
      <c r="L112" s="150"/>
      <c r="M112" s="150"/>
      <c r="N112" s="150"/>
      <c r="O112" s="150"/>
      <c r="P112" s="150"/>
      <c r="Q112" s="150"/>
    </row>
    <row r="113" spans="1:17" outlineLevel="1">
      <c r="B113" s="6"/>
      <c r="C113" s="217" t="s">
        <v>464</v>
      </c>
      <c r="E113" s="244" t="s">
        <v>480</v>
      </c>
      <c r="F113" s="435" t="str">
        <f>_corporatetaxbasis</f>
        <v>Cash basis</v>
      </c>
      <c r="G113" s="554"/>
      <c r="H113" s="454">
        <f ca="1">+SUMIF('Detailed Model (LCY)'!$J$4:$XFD$4,'Macro Model (LCY)'!H$3,'Detailed Model (LCY)'!$J194:$XFD194)</f>
        <v>-1873864.5505814203</v>
      </c>
      <c r="I113" s="454">
        <f ca="1">+SUMIF('Detailed Model (LCY)'!$J$4:$XFD$4,'Macro Model (LCY)'!I$3,'Detailed Model (LCY)'!$J194:$XFD194)</f>
        <v>-1329658.3632504293</v>
      </c>
      <c r="J113" s="454">
        <f ca="1">+SUMIF('Detailed Model (LCY)'!$J$4:$XFD$4,'Macro Model (LCY)'!J$3,'Detailed Model (LCY)'!$J194:$XFD194)</f>
        <v>-210705.38752500829</v>
      </c>
      <c r="K113" s="454">
        <f ca="1">+SUMIF('Detailed Model (LCY)'!$J$4:$XFD$4,'Macro Model (LCY)'!K$3,'Detailed Model (LCY)'!$J194:$XFD194)</f>
        <v>-1762826.3308932309</v>
      </c>
      <c r="L113" s="454">
        <f ca="1">+SUMIF('Detailed Model (LCY)'!$J$4:$XFD$4,'Macro Model (LCY)'!L$3,'Detailed Model (LCY)'!$J194:$XFD194)</f>
        <v>-2610415.0565687753</v>
      </c>
      <c r="M113" s="454">
        <f ca="1">+SUMIF('Detailed Model (LCY)'!$J$4:$XFD$4,'Macro Model (LCY)'!M$3,'Detailed Model (LCY)'!$J194:$XFD194)</f>
        <v>-3570291.1008093958</v>
      </c>
      <c r="N113" s="454">
        <f ca="1">+SUMIF('Detailed Model (LCY)'!$J$4:$XFD$4,'Macro Model (LCY)'!N$3,'Detailed Model (LCY)'!$J194:$XFD194)</f>
        <v>-4281968.2610919653</v>
      </c>
      <c r="O113" s="454">
        <f ca="1">+SUMIF('Detailed Model (LCY)'!$J$4:$XFD$4,'Macro Model (LCY)'!O$3,'Detailed Model (LCY)'!$J194:$XFD194)</f>
        <v>-4474096.3643213799</v>
      </c>
      <c r="P113" s="454">
        <f ca="1">+SUMIF('Detailed Model (LCY)'!$J$4:$XFD$4,'Macro Model (LCY)'!P$3,'Detailed Model (LCY)'!$J194:$XFD194)</f>
        <v>-4481489.3383617615</v>
      </c>
      <c r="Q113" s="454">
        <f ca="1">+SUMIF('Detailed Model (LCY)'!$J$4:$XFD$4,'Macro Model (LCY)'!Q$3,'Detailed Model (LCY)'!$J194:$XFD194)</f>
        <v>-4351415.7410584278</v>
      </c>
    </row>
    <row r="114" spans="1:17" outlineLevel="1">
      <c r="C114" s="218"/>
      <c r="D114" s="213"/>
      <c r="E114" s="213"/>
      <c r="F114" s="213"/>
      <c r="G114" s="213"/>
      <c r="H114" s="352"/>
      <c r="I114" s="352"/>
      <c r="J114" s="352"/>
      <c r="K114" s="352"/>
      <c r="L114" s="352"/>
      <c r="M114" s="352"/>
      <c r="N114" s="352"/>
      <c r="O114" s="352"/>
      <c r="P114" s="352"/>
      <c r="Q114" s="352"/>
    </row>
    <row r="115" spans="1:17" outlineLevel="1">
      <c r="C115" s="121" t="s">
        <v>8</v>
      </c>
      <c r="D115" s="68"/>
      <c r="E115" s="68"/>
      <c r="F115" s="56"/>
      <c r="G115" s="56"/>
      <c r="H115" s="241">
        <f t="shared" ref="H115:Q115" ca="1" si="21">+H110+H113</f>
        <v>382829.93847706914</v>
      </c>
      <c r="I115" s="241">
        <f t="shared" ca="1" si="21"/>
        <v>950432.68812222127</v>
      </c>
      <c r="J115" s="241">
        <f t="shared" ca="1" si="21"/>
        <v>-1340644.8451252005</v>
      </c>
      <c r="K115" s="241">
        <f t="shared" ca="1" si="21"/>
        <v>1580285.3279958155</v>
      </c>
      <c r="L115" s="241">
        <f t="shared" ca="1" si="21"/>
        <v>2633352.6725703701</v>
      </c>
      <c r="M115" s="241">
        <f t="shared" ca="1" si="21"/>
        <v>3833725.8637138861</v>
      </c>
      <c r="N115" s="241">
        <f t="shared" ca="1" si="21"/>
        <v>4815299.3000524798</v>
      </c>
      <c r="O115" s="241">
        <f t="shared" ca="1" si="21"/>
        <v>5078439.4632237339</v>
      </c>
      <c r="P115" s="241">
        <f t="shared" ca="1" si="21"/>
        <v>5084078.12340621</v>
      </c>
      <c r="Q115" s="241">
        <f t="shared" ca="1" si="21"/>
        <v>4887159.1752538495</v>
      </c>
    </row>
    <row r="116" spans="1:17" ht="14.4" outlineLevel="1" thickBot="1">
      <c r="C116" s="219" t="s">
        <v>10</v>
      </c>
      <c r="D116" s="214"/>
      <c r="E116" s="214"/>
      <c r="F116" s="214"/>
      <c r="G116" s="214"/>
      <c r="H116" s="354">
        <f t="shared" ref="H116:Q116" ca="1" si="22">+H111+H113</f>
        <v>8561378.8039522506</v>
      </c>
      <c r="I116" s="354">
        <f t="shared" ca="1" si="22"/>
        <v>9368841.7556249257</v>
      </c>
      <c r="J116" s="354">
        <f t="shared" ca="1" si="22"/>
        <v>9057526.3907879777</v>
      </c>
      <c r="K116" s="354">
        <f t="shared" ca="1" si="22"/>
        <v>15892335.168861749</v>
      </c>
      <c r="L116" s="354">
        <f t="shared" ca="1" si="22"/>
        <v>20894510.420486413</v>
      </c>
      <c r="M116" s="354">
        <f t="shared" ca="1" si="22"/>
        <v>20222071.238142073</v>
      </c>
      <c r="N116" s="354">
        <f t="shared" ca="1" si="22"/>
        <v>17396962.882909164</v>
      </c>
      <c r="O116" s="354">
        <f t="shared" ca="1" si="22"/>
        <v>16714158.420311842</v>
      </c>
      <c r="P116" s="354">
        <f t="shared" ca="1" si="22"/>
        <v>16483965.489555374</v>
      </c>
      <c r="Q116" s="354">
        <f t="shared" ca="1" si="22"/>
        <v>16214605.558589477</v>
      </c>
    </row>
    <row r="117" spans="1:17" ht="14.4" outlineLevel="1" thickTop="1">
      <c r="C117" s="62" t="s">
        <v>323</v>
      </c>
      <c r="F117" s="37"/>
      <c r="G117" s="37"/>
      <c r="H117" s="205">
        <f ca="1">(H115-H49)/H45</f>
        <v>-0.23352941873018776</v>
      </c>
      <c r="I117" s="205">
        <f t="shared" ref="I117:Q117" ca="1" si="23">(I115-I49)/I45</f>
        <v>-7.2921604810299731E-2</v>
      </c>
      <c r="J117" s="205">
        <f t="shared" ca="1" si="23"/>
        <v>-3.5959078447435455E-2</v>
      </c>
      <c r="K117" s="205">
        <f t="shared" ca="1" si="23"/>
        <v>3.339926758968445E-2</v>
      </c>
      <c r="L117" s="205">
        <f t="shared" ca="1" si="23"/>
        <v>4.3984082013730656E-2</v>
      </c>
      <c r="M117" s="205">
        <f t="shared" ca="1" si="23"/>
        <v>5.2885421772741685E-2</v>
      </c>
      <c r="N117" s="205">
        <f t="shared" ca="1" si="23"/>
        <v>6.1506521421020928E-2</v>
      </c>
      <c r="O117" s="205">
        <f t="shared" ca="1" si="23"/>
        <v>6.3532324274961027E-2</v>
      </c>
      <c r="P117" s="205">
        <f t="shared" ca="1" si="23"/>
        <v>6.3313634793160364E-2</v>
      </c>
      <c r="Q117" s="205">
        <f t="shared" ca="1" si="23"/>
        <v>6.0771666424382711E-2</v>
      </c>
    </row>
    <row r="118" spans="1:17" outlineLevel="1">
      <c r="C118" s="62" t="s">
        <v>324</v>
      </c>
      <c r="F118" s="37"/>
      <c r="G118" s="37"/>
      <c r="H118" s="205">
        <f ca="1">(H116-H49)/H46</f>
        <v>0.11436582230706113</v>
      </c>
      <c r="I118" s="205">
        <f t="shared" ref="I118:Q118" ca="1" si="24">(I116-I49)/I46</f>
        <v>0.16284955529014053</v>
      </c>
      <c r="J118" s="205">
        <f t="shared" ca="1" si="24"/>
        <v>0.17964954495968485</v>
      </c>
      <c r="K118" s="205">
        <f t="shared" ca="1" si="24"/>
        <v>0.24416123386079103</v>
      </c>
      <c r="L118" s="205">
        <f t="shared" ca="1" si="24"/>
        <v>0.25293596190712431</v>
      </c>
      <c r="M118" s="205">
        <f t="shared" ca="1" si="24"/>
        <v>0.22124575915147379</v>
      </c>
      <c r="N118" s="205">
        <f t="shared" ca="1" si="24"/>
        <v>0.19061053370056391</v>
      </c>
      <c r="O118" s="205">
        <f t="shared" ca="1" si="24"/>
        <v>0.18263608707815945</v>
      </c>
      <c r="P118" s="205">
        <f t="shared" ca="1" si="24"/>
        <v>0.18009563062938982</v>
      </c>
      <c r="Q118" s="205">
        <f t="shared" ca="1" si="24"/>
        <v>0.17712033172548572</v>
      </c>
    </row>
    <row r="119" spans="1:17" outlineLevel="1">
      <c r="C119" s="42"/>
      <c r="D119" s="37"/>
      <c r="E119" s="37"/>
      <c r="F119" s="528"/>
      <c r="G119" s="528"/>
      <c r="H119" s="122"/>
      <c r="I119" s="122"/>
      <c r="J119" s="122"/>
      <c r="K119" s="122"/>
      <c r="L119" s="122"/>
      <c r="M119" s="122"/>
      <c r="N119" s="122"/>
      <c r="O119" s="122"/>
      <c r="P119" s="122"/>
      <c r="Q119" s="122"/>
    </row>
    <row r="120" spans="1:17" outlineLevel="1">
      <c r="C120" s="533" t="s">
        <v>549</v>
      </c>
      <c r="D120" s="37"/>
      <c r="E120" s="37"/>
      <c r="F120" s="528">
        <f ca="1">SUM(H120:Q120)</f>
        <v>0</v>
      </c>
      <c r="G120" s="528"/>
      <c r="H120" s="528">
        <f ca="1">IF(ABS(H101-SUMIF('Detailed Model (LCY)'!$J$4:$XFD$4,H$3,'Detailed Model (LCY)'!$J181:$XFD181))&lt;tolerance,0,1)</f>
        <v>0</v>
      </c>
      <c r="I120" s="528">
        <f ca="1">IF(ABS(I101-SUMIF('Detailed Model (LCY)'!$J$4:$XFD$4,I$3,'Detailed Model (LCY)'!$J181:$XFD181))&lt;tolerance,0,1)</f>
        <v>0</v>
      </c>
      <c r="J120" s="528">
        <f ca="1">IF(ABS(J101-SUMIF('Detailed Model (LCY)'!$J$4:$XFD$4,J$3,'Detailed Model (LCY)'!$J181:$XFD181))&lt;tolerance,0,1)</f>
        <v>0</v>
      </c>
      <c r="K120" s="528">
        <f ca="1">IF(ABS(K101-SUMIF('Detailed Model (LCY)'!$J$4:$XFD$4,K$3,'Detailed Model (LCY)'!$J181:$XFD181))&lt;tolerance,0,1)</f>
        <v>0</v>
      </c>
      <c r="L120" s="528">
        <f ca="1">IF(ABS(L101-SUMIF('Detailed Model (LCY)'!$J$4:$XFD$4,L$3,'Detailed Model (LCY)'!$J181:$XFD181))&lt;tolerance,0,1)</f>
        <v>0</v>
      </c>
      <c r="M120" s="528">
        <f ca="1">IF(ABS(M101-SUMIF('Detailed Model (LCY)'!$J$4:$XFD$4,M$3,'Detailed Model (LCY)'!$J181:$XFD181))&lt;tolerance,0,1)</f>
        <v>0</v>
      </c>
      <c r="N120" s="528">
        <f ca="1">IF(ABS(N101-SUMIF('Detailed Model (LCY)'!$J$4:$XFD$4,N$3,'Detailed Model (LCY)'!$J181:$XFD181))&lt;tolerance,0,1)</f>
        <v>0</v>
      </c>
      <c r="O120" s="528">
        <f ca="1">IF(ABS(O101-SUMIF('Detailed Model (LCY)'!$J$4:$XFD$4,O$3,'Detailed Model (LCY)'!$J181:$XFD181))&lt;tolerance,0,1)</f>
        <v>0</v>
      </c>
      <c r="P120" s="528">
        <f ca="1">IF(ABS(P101-SUMIF('Detailed Model (LCY)'!$J$4:$XFD$4,P$3,'Detailed Model (LCY)'!$J181:$XFD181))&lt;tolerance,0,1)</f>
        <v>0</v>
      </c>
      <c r="Q120" s="528">
        <f ca="1">IF(ABS(Q101-SUMIF('Detailed Model (LCY)'!$J$4:$XFD$4,Q$3,'Detailed Model (LCY)'!$J181:$XFD181))&lt;tolerance,0,1)</f>
        <v>0</v>
      </c>
    </row>
    <row r="121" spans="1:17" outlineLevel="1">
      <c r="C121" s="533" t="s">
        <v>550</v>
      </c>
      <c r="D121" s="37"/>
      <c r="E121" s="37"/>
      <c r="F121" s="528">
        <f ca="1">SUM(H121:Q121)</f>
        <v>0</v>
      </c>
      <c r="G121" s="528"/>
      <c r="H121" s="528">
        <f ca="1">IF(ABS(H102-SUMIF('Detailed Model (LCY)'!$J$4:$XFD$4,H$3,'Detailed Model (LCY)'!$J182:$XFD182))&lt;tolerance,0,1)</f>
        <v>0</v>
      </c>
      <c r="I121" s="528">
        <f ca="1">IF(ABS(I102-SUMIF('Detailed Model (LCY)'!$J$4:$XFD$4,I$3,'Detailed Model (LCY)'!$J182:$XFD182))&lt;tolerance,0,1)</f>
        <v>0</v>
      </c>
      <c r="J121" s="528">
        <f ca="1">IF(ABS(J102-SUMIF('Detailed Model (LCY)'!$J$4:$XFD$4,J$3,'Detailed Model (LCY)'!$J182:$XFD182))&lt;tolerance,0,1)</f>
        <v>0</v>
      </c>
      <c r="K121" s="528">
        <f ca="1">IF(ABS(K102-SUMIF('Detailed Model (LCY)'!$J$4:$XFD$4,K$3,'Detailed Model (LCY)'!$J182:$XFD182))&lt;tolerance,0,1)</f>
        <v>0</v>
      </c>
      <c r="L121" s="528">
        <f ca="1">IF(ABS(L102-SUMIF('Detailed Model (LCY)'!$J$4:$XFD$4,L$3,'Detailed Model (LCY)'!$J182:$XFD182))&lt;tolerance,0,1)</f>
        <v>0</v>
      </c>
      <c r="M121" s="528">
        <f ca="1">IF(ABS(M102-SUMIF('Detailed Model (LCY)'!$J$4:$XFD$4,M$3,'Detailed Model (LCY)'!$J182:$XFD182))&lt;tolerance,0,1)</f>
        <v>0</v>
      </c>
      <c r="N121" s="528">
        <f ca="1">IF(ABS(N102-SUMIF('Detailed Model (LCY)'!$J$4:$XFD$4,N$3,'Detailed Model (LCY)'!$J182:$XFD182))&lt;tolerance,0,1)</f>
        <v>0</v>
      </c>
      <c r="O121" s="528">
        <f ca="1">IF(ABS(O102-SUMIF('Detailed Model (LCY)'!$J$4:$XFD$4,O$3,'Detailed Model (LCY)'!$J182:$XFD182))&lt;tolerance,0,1)</f>
        <v>0</v>
      </c>
      <c r="P121" s="528">
        <f ca="1">IF(ABS(P102-SUMIF('Detailed Model (LCY)'!$J$4:$XFD$4,P$3,'Detailed Model (LCY)'!$J182:$XFD182))&lt;tolerance,0,1)</f>
        <v>0</v>
      </c>
      <c r="Q121" s="528">
        <f ca="1">IF(ABS(Q102-SUMIF('Detailed Model (LCY)'!$J$4:$XFD$4,Q$3,'Detailed Model (LCY)'!$J182:$XFD182))&lt;tolerance,0,1)</f>
        <v>0</v>
      </c>
    </row>
    <row r="122" spans="1:17" outlineLevel="1">
      <c r="C122" s="533" t="s">
        <v>551</v>
      </c>
      <c r="D122" s="37"/>
      <c r="E122" s="37"/>
      <c r="F122" s="528">
        <f ca="1">SUM(H122:Q122)</f>
        <v>0</v>
      </c>
      <c r="G122" s="528"/>
      <c r="H122" s="528">
        <f ca="1">IF(ABS(H115-SUMIF('Detailed Model (LCY)'!$J$4:$XFD$4,H$3,'Detailed Model (LCY)'!$J196:$XFD196))&lt;tolerance,0,1)</f>
        <v>0</v>
      </c>
      <c r="I122" s="528">
        <f ca="1">IF(ABS(I115-SUMIF('Detailed Model (LCY)'!$J$4:$XFD$4,I$3,'Detailed Model (LCY)'!$J196:$XFD196))&lt;tolerance,0,1)</f>
        <v>0</v>
      </c>
      <c r="J122" s="528">
        <f ca="1">IF(ABS(J115-SUMIF('Detailed Model (LCY)'!$J$4:$XFD$4,J$3,'Detailed Model (LCY)'!$J196:$XFD196))&lt;tolerance,0,1)</f>
        <v>0</v>
      </c>
      <c r="K122" s="528">
        <f ca="1">IF(ABS(K115-SUMIF('Detailed Model (LCY)'!$J$4:$XFD$4,K$3,'Detailed Model (LCY)'!$J196:$XFD196))&lt;tolerance,0,1)</f>
        <v>0</v>
      </c>
      <c r="L122" s="528">
        <f ca="1">IF(ABS(L115-SUMIF('Detailed Model (LCY)'!$J$4:$XFD$4,L$3,'Detailed Model (LCY)'!$J196:$XFD196))&lt;tolerance,0,1)</f>
        <v>0</v>
      </c>
      <c r="M122" s="528">
        <f ca="1">IF(ABS(M115-SUMIF('Detailed Model (LCY)'!$J$4:$XFD$4,M$3,'Detailed Model (LCY)'!$J196:$XFD196))&lt;tolerance,0,1)</f>
        <v>0</v>
      </c>
      <c r="N122" s="528">
        <f ca="1">IF(ABS(N115-SUMIF('Detailed Model (LCY)'!$J$4:$XFD$4,N$3,'Detailed Model (LCY)'!$J196:$XFD196))&lt;tolerance,0,1)</f>
        <v>0</v>
      </c>
      <c r="O122" s="528">
        <f ca="1">IF(ABS(O115-SUMIF('Detailed Model (LCY)'!$J$4:$XFD$4,O$3,'Detailed Model (LCY)'!$J196:$XFD196))&lt;tolerance,0,1)</f>
        <v>0</v>
      </c>
      <c r="P122" s="528">
        <f ca="1">IF(ABS(P115-SUMIF('Detailed Model (LCY)'!$J$4:$XFD$4,P$3,'Detailed Model (LCY)'!$J196:$XFD196))&lt;tolerance,0,1)</f>
        <v>0</v>
      </c>
      <c r="Q122" s="528">
        <f ca="1">IF(ABS(Q115-SUMIF('Detailed Model (LCY)'!$J$4:$XFD$4,Q$3,'Detailed Model (LCY)'!$J196:$XFD196))&lt;tolerance,0,1)</f>
        <v>0</v>
      </c>
    </row>
    <row r="123" spans="1:17" outlineLevel="1">
      <c r="C123" s="533" t="s">
        <v>552</v>
      </c>
      <c r="D123" s="37"/>
      <c r="E123" s="37"/>
      <c r="F123" s="528">
        <f ca="1">SUM(H123:Q123)</f>
        <v>0</v>
      </c>
      <c r="G123" s="528"/>
      <c r="H123" s="528">
        <f ca="1">IF(ABS(H116-SUMIF('Detailed Model (LCY)'!$J$4:$XFD$4,H$3,'Detailed Model (LCY)'!$J197:$XFD197))&lt;tolerance,0,1)</f>
        <v>0</v>
      </c>
      <c r="I123" s="528">
        <f ca="1">IF(ABS(I116-SUMIF('Detailed Model (LCY)'!$J$4:$XFD$4,I$3,'Detailed Model (LCY)'!$J197:$XFD197))&lt;tolerance,0,1)</f>
        <v>0</v>
      </c>
      <c r="J123" s="528">
        <f ca="1">IF(ABS(J116-SUMIF('Detailed Model (LCY)'!$J$4:$XFD$4,J$3,'Detailed Model (LCY)'!$J197:$XFD197))&lt;tolerance,0,1)</f>
        <v>0</v>
      </c>
      <c r="K123" s="528">
        <f ca="1">IF(ABS(K116-SUMIF('Detailed Model (LCY)'!$J$4:$XFD$4,K$3,'Detailed Model (LCY)'!$J197:$XFD197))&lt;tolerance,0,1)</f>
        <v>0</v>
      </c>
      <c r="L123" s="528">
        <f ca="1">IF(ABS(L116-SUMIF('Detailed Model (LCY)'!$J$4:$XFD$4,L$3,'Detailed Model (LCY)'!$J197:$XFD197))&lt;tolerance,0,1)</f>
        <v>0</v>
      </c>
      <c r="M123" s="528">
        <f ca="1">IF(ABS(M116-SUMIF('Detailed Model (LCY)'!$J$4:$XFD$4,M$3,'Detailed Model (LCY)'!$J197:$XFD197))&lt;tolerance,0,1)</f>
        <v>0</v>
      </c>
      <c r="N123" s="528">
        <f ca="1">IF(ABS(N116-SUMIF('Detailed Model (LCY)'!$J$4:$XFD$4,N$3,'Detailed Model (LCY)'!$J197:$XFD197))&lt;tolerance,0,1)</f>
        <v>0</v>
      </c>
      <c r="O123" s="528">
        <f ca="1">IF(ABS(O116-SUMIF('Detailed Model (LCY)'!$J$4:$XFD$4,O$3,'Detailed Model (LCY)'!$J197:$XFD197))&lt;tolerance,0,1)</f>
        <v>0</v>
      </c>
      <c r="P123" s="528">
        <f ca="1">IF(ABS(P116-SUMIF('Detailed Model (LCY)'!$J$4:$XFD$4,P$3,'Detailed Model (LCY)'!$J197:$XFD197))&lt;tolerance,0,1)</f>
        <v>0</v>
      </c>
      <c r="Q123" s="528">
        <f ca="1">IF(ABS(Q116-SUMIF('Detailed Model (LCY)'!$J$4:$XFD$4,Q$3,'Detailed Model (LCY)'!$J197:$XFD197))&lt;tolerance,0,1)</f>
        <v>0</v>
      </c>
    </row>
    <row r="124" spans="1:17">
      <c r="C124" s="42"/>
      <c r="D124" s="37"/>
      <c r="E124" s="37"/>
      <c r="F124" s="37"/>
      <c r="G124" s="37"/>
      <c r="H124" s="122"/>
      <c r="I124" s="122"/>
      <c r="J124" s="122"/>
      <c r="K124" s="122"/>
      <c r="L124" s="122"/>
      <c r="M124" s="122"/>
      <c r="N124" s="122"/>
      <c r="O124" s="122"/>
      <c r="P124" s="122"/>
      <c r="Q124" s="122"/>
    </row>
    <row r="125" spans="1:17">
      <c r="B125" s="6" t="s">
        <v>485</v>
      </c>
      <c r="H125" s="454"/>
      <c r="I125" s="454"/>
      <c r="J125" s="430"/>
      <c r="K125" s="430"/>
      <c r="L125" s="430"/>
      <c r="M125" s="430"/>
      <c r="N125" s="430"/>
      <c r="O125" s="430"/>
      <c r="P125" s="430"/>
      <c r="Q125" s="430"/>
    </row>
    <row r="126" spans="1:17" ht="14.4" outlineLevel="1">
      <c r="A126"/>
      <c r="C126" s="85" t="s">
        <v>11</v>
      </c>
      <c r="D126" s="85"/>
      <c r="E126" s="85"/>
      <c r="F126" s="85"/>
      <c r="G126" s="85"/>
      <c r="H126" s="461">
        <f>INDEX('Detailed Model (LCY)'!$C$1:$DY$322,MATCH('Macro Model (LCY)'!$C126,'Detailed Model (LCY)'!$C$1:$C$322,0),MATCH('Macro Model (LCY)'!H$1,'Detailed Model (LCY)'!$C$1:$DY$1,0))</f>
        <v>300000</v>
      </c>
      <c r="I126" s="461">
        <f ca="1">INDEX('Detailed Model (LCY)'!$C$1:$DY$322,MATCH('Macro Model (LCY)'!$C126,'Detailed Model (LCY)'!$C$1:$C$322,0),MATCH('Macro Model (LCY)'!I$1,'Detailed Model (LCY)'!$C$1:$DY$1,0))</f>
        <v>10518825.749797761</v>
      </c>
      <c r="J126" s="461">
        <f ca="1">INDEX('Detailed Model (LCY)'!$C$1:$DY$322,MATCH('Macro Model (LCY)'!$C126,'Detailed Model (LCY)'!$C$1:$C$322,0),MATCH('Macro Model (LCY)'!J$1,'Detailed Model (LCY)'!$C$1:$DY$1,0))</f>
        <v>1678623.1536511392</v>
      </c>
      <c r="K126" s="461">
        <f ca="1">INDEX('Detailed Model (LCY)'!$C$1:$DY$322,MATCH('Macro Model (LCY)'!$C126,'Detailed Model (LCY)'!$C$1:$C$322,0),MATCH('Macro Model (LCY)'!K$1,'Detailed Model (LCY)'!$C$1:$DY$1,0))</f>
        <v>22225514.746453486</v>
      </c>
      <c r="L126" s="461">
        <f ca="1">INDEX('Detailed Model (LCY)'!$C$1:$DY$322,MATCH('Macro Model (LCY)'!$C126,'Detailed Model (LCY)'!$C$1:$C$322,0),MATCH('Macro Model (LCY)'!L$1,'Detailed Model (LCY)'!$C$1:$DY$1,0))</f>
        <v>11623984.694787119</v>
      </c>
      <c r="M126" s="461">
        <f ca="1">INDEX('Detailed Model (LCY)'!$C$1:$DY$322,MATCH('Macro Model (LCY)'!$C126,'Detailed Model (LCY)'!$C$1:$C$322,0),MATCH('Macro Model (LCY)'!M$1,'Detailed Model (LCY)'!$C$1:$DY$1,0))</f>
        <v>11482247.507261027</v>
      </c>
      <c r="N126" s="461">
        <f ca="1">INDEX('Detailed Model (LCY)'!$C$1:$DY$322,MATCH('Macro Model (LCY)'!$C126,'Detailed Model (LCY)'!$C$1:$C$322,0),MATCH('Macro Model (LCY)'!N$1,'Detailed Model (LCY)'!$C$1:$DY$1,0))</f>
        <v>11292638.28908148</v>
      </c>
      <c r="O126" s="461">
        <f ca="1">INDEX('Detailed Model (LCY)'!$C$1:$DY$322,MATCH('Macro Model (LCY)'!$C126,'Detailed Model (LCY)'!$C$1:$C$322,0),MATCH('Macro Model (LCY)'!O$1,'Detailed Model (LCY)'!$C$1:$DY$1,0))</f>
        <v>11944376.135893073</v>
      </c>
      <c r="P126" s="461">
        <f ca="1">INDEX('Detailed Model (LCY)'!$C$1:$DY$322,MATCH('Macro Model (LCY)'!$C126,'Detailed Model (LCY)'!$C$1:$C$322,0),MATCH('Macro Model (LCY)'!P$1,'Detailed Model (LCY)'!$C$1:$DY$1,0))</f>
        <v>16707983.451476024</v>
      </c>
      <c r="Q126" s="461">
        <f ca="1">INDEX('Detailed Model (LCY)'!$C$1:$DY$322,MATCH('Macro Model (LCY)'!$C126,'Detailed Model (LCY)'!$C$1:$C$322,0),MATCH('Macro Model (LCY)'!Q$1,'Detailed Model (LCY)'!$C$1:$DY$1,0))</f>
        <v>19418349.827443976</v>
      </c>
    </row>
    <row r="127" spans="1:17" ht="14.4" outlineLevel="1">
      <c r="A127"/>
      <c r="H127" s="430"/>
      <c r="I127" s="430"/>
      <c r="J127" s="430"/>
      <c r="K127" s="430"/>
      <c r="L127" s="430"/>
      <c r="M127" s="430"/>
      <c r="N127" s="430"/>
      <c r="O127" s="430"/>
      <c r="P127" s="430"/>
      <c r="Q127" s="430"/>
    </row>
    <row r="128" spans="1:17" ht="14.4" outlineLevel="1">
      <c r="A128"/>
      <c r="C128" s="5" t="s">
        <v>116</v>
      </c>
      <c r="H128" s="454"/>
      <c r="I128" s="454"/>
      <c r="J128" s="454"/>
      <c r="K128" s="454"/>
      <c r="L128" s="454"/>
      <c r="M128" s="454"/>
      <c r="N128" s="454"/>
      <c r="O128" s="454"/>
      <c r="P128" s="454"/>
      <c r="Q128" s="454"/>
    </row>
    <row r="129" spans="1:17" ht="14.4" outlineLevel="1">
      <c r="A129"/>
      <c r="C129" s="5" t="s">
        <v>5</v>
      </c>
      <c r="D129" s="5" t="s">
        <v>8</v>
      </c>
      <c r="H129" s="454">
        <f ca="1">+SUMIF('Detailed Model (LCY)'!$J$4:$XFD$4,'Macro Model (LCY)'!H$3,'Detailed Model (LCY)'!$J204:$XFD204)</f>
        <v>382829.93847706268</v>
      </c>
      <c r="I129" s="454">
        <f ca="1">+SUMIF('Detailed Model (LCY)'!$J$4:$XFD$4,'Macro Model (LCY)'!I$3,'Detailed Model (LCY)'!$J204:$XFD204)</f>
        <v>950432.68812221626</v>
      </c>
      <c r="J129" s="454">
        <f ca="1">+SUMIF('Detailed Model (LCY)'!$J$4:$XFD$4,'Macro Model (LCY)'!J$3,'Detailed Model (LCY)'!$J204:$XFD204)</f>
        <v>-1340644.8451252037</v>
      </c>
      <c r="K129" s="454">
        <f ca="1">+SUMIF('Detailed Model (LCY)'!$J$4:$XFD$4,'Macro Model (LCY)'!K$3,'Detailed Model (LCY)'!$J204:$XFD204)</f>
        <v>1580285.3279958114</v>
      </c>
      <c r="L129" s="454">
        <f ca="1">+SUMIF('Detailed Model (LCY)'!$J$4:$XFD$4,'Macro Model (LCY)'!L$3,'Detailed Model (LCY)'!$J204:$XFD204)</f>
        <v>2633352.6725703944</v>
      </c>
      <c r="M129" s="454">
        <f ca="1">+SUMIF('Detailed Model (LCY)'!$J$4:$XFD$4,'Macro Model (LCY)'!M$3,'Detailed Model (LCY)'!$J204:$XFD204)</f>
        <v>3833725.8637138871</v>
      </c>
      <c r="N129" s="454">
        <f ca="1">+SUMIF('Detailed Model (LCY)'!$J$4:$XFD$4,'Macro Model (LCY)'!N$3,'Detailed Model (LCY)'!$J204:$XFD204)</f>
        <v>4815299.3000524752</v>
      </c>
      <c r="O129" s="454">
        <f ca="1">+SUMIF('Detailed Model (LCY)'!$J$4:$XFD$4,'Macro Model (LCY)'!O$3,'Detailed Model (LCY)'!$J204:$XFD204)</f>
        <v>5078439.463223746</v>
      </c>
      <c r="P129" s="454">
        <f ca="1">+SUMIF('Detailed Model (LCY)'!$J$4:$XFD$4,'Macro Model (LCY)'!P$3,'Detailed Model (LCY)'!$J204:$XFD204)</f>
        <v>5084078.1234062202</v>
      </c>
      <c r="Q129" s="454">
        <f ca="1">+SUMIF('Detailed Model (LCY)'!$J$4:$XFD$4,'Macro Model (LCY)'!Q$3,'Detailed Model (LCY)'!$J204:$XFD204)</f>
        <v>4887159.1752538402</v>
      </c>
    </row>
    <row r="130" spans="1:17" ht="14.4" outlineLevel="1">
      <c r="A130"/>
      <c r="C130" s="5" t="s">
        <v>5</v>
      </c>
      <c r="D130" s="5" t="s">
        <v>89</v>
      </c>
      <c r="H130" s="454">
        <f ca="1">+SUMIF('Detailed Model (LCY)'!$J$4:$XFD$4,'Macro Model (LCY)'!H$3,'Detailed Model (LCY)'!$J205:$XFD205)</f>
        <v>8723004.3506710902</v>
      </c>
      <c r="I130" s="454">
        <f ca="1">+SUMIF('Detailed Model (LCY)'!$J$4:$XFD$4,'Macro Model (LCY)'!I$3,'Detailed Model (LCY)'!$J205:$XFD205)</f>
        <v>12545884.143579621</v>
      </c>
      <c r="J130" s="454">
        <f ca="1">+SUMIF('Detailed Model (LCY)'!$J$4:$XFD$4,'Macro Model (LCY)'!J$3,'Detailed Model (LCY)'!$J205:$XFD205)</f>
        <v>16501882.985146323</v>
      </c>
      <c r="K130" s="454">
        <f ca="1">+SUMIF('Detailed Model (LCY)'!$J$4:$XFD$4,'Macro Model (LCY)'!K$3,'Detailed Model (LCY)'!$J205:$XFD205)</f>
        <v>20771478.197921164</v>
      </c>
      <c r="L130" s="454">
        <f ca="1">+SUMIF('Detailed Model (LCY)'!$J$4:$XFD$4,'Macro Model (LCY)'!L$3,'Detailed Model (LCY)'!$J205:$XFD205)</f>
        <v>26214566.07569145</v>
      </c>
      <c r="M130" s="454">
        <f ca="1">+SUMIF('Detailed Model (LCY)'!$J$4:$XFD$4,'Macro Model (LCY)'!M$3,'Detailed Model (LCY)'!$J205:$XFD205)</f>
        <v>31752932.812866978</v>
      </c>
      <c r="N130" s="454">
        <f ca="1">+SUMIF('Detailed Model (LCY)'!$J$4:$XFD$4,'Macro Model (LCY)'!N$3,'Detailed Model (LCY)'!$J205:$XFD205)</f>
        <v>34192622.16297707</v>
      </c>
      <c r="O130" s="454">
        <f ca="1">+SUMIF('Detailed Model (LCY)'!$J$4:$XFD$4,'Macro Model (LCY)'!O$3,'Detailed Model (LCY)'!$J205:$XFD205)</f>
        <v>34856800.555745445</v>
      </c>
      <c r="P130" s="454">
        <f ca="1">+SUMIF('Detailed Model (LCY)'!$J$4:$XFD$4,'Macro Model (LCY)'!P$3,'Detailed Model (LCY)'!$J205:$XFD205)</f>
        <v>35042504.532039531</v>
      </c>
      <c r="Q130" s="454">
        <f ca="1">+SUMIF('Detailed Model (LCY)'!$J$4:$XFD$4,'Macro Model (LCY)'!Q$3,'Detailed Model (LCY)'!$J205:$XFD205)</f>
        <v>35121908.72621654</v>
      </c>
    </row>
    <row r="131" spans="1:17" ht="14.4" outlineLevel="1">
      <c r="A131"/>
      <c r="C131" s="5" t="s">
        <v>6</v>
      </c>
      <c r="D131" s="5" t="s">
        <v>458</v>
      </c>
      <c r="H131" s="454">
        <f ca="1">+SUMIF('Detailed Model (LCY)'!$J$4:$XFD$4,'Macro Model (LCY)'!H$3,'Detailed Model (LCY)'!$J206:$XFD206)</f>
        <v>-12687008.539350394</v>
      </c>
      <c r="I131" s="454">
        <f ca="1">+SUMIF('Detailed Model (LCY)'!$J$4:$XFD$4,'Macro Model (LCY)'!I$3,'Detailed Model (LCY)'!$J206:$XFD206)</f>
        <v>-16136519.427848462</v>
      </c>
      <c r="J131" s="454">
        <f ca="1">+SUMIF('Detailed Model (LCY)'!$J$4:$XFD$4,'Macro Model (LCY)'!J$3,'Detailed Model (LCY)'!$J206:$XFD206)</f>
        <v>-20636568.76944099</v>
      </c>
      <c r="K131" s="454">
        <f ca="1">+SUMIF('Detailed Model (LCY)'!$J$4:$XFD$4,'Macro Model (LCY)'!K$3,'Detailed Model (LCY)'!$J206:$XFD206)</f>
        <v>-26197738.022027794</v>
      </c>
      <c r="L131" s="454">
        <f ca="1">+SUMIF('Detailed Model (LCY)'!$J$4:$XFD$4,'Macro Model (LCY)'!L$3,'Detailed Model (LCY)'!$J206:$XFD206)</f>
        <v>-32900767.046899047</v>
      </c>
      <c r="M131" s="454">
        <f ca="1">+SUMIF('Detailed Model (LCY)'!$J$4:$XFD$4,'Macro Model (LCY)'!M$3,'Detailed Model (LCY)'!$J206:$XFD206)</f>
        <v>-35242934.561427087</v>
      </c>
      <c r="N131" s="454">
        <f ca="1">+SUMIF('Detailed Model (LCY)'!$J$4:$XFD$4,'Macro Model (LCY)'!N$3,'Detailed Model (LCY)'!$J206:$XFD206)</f>
        <v>-35600628.060662396</v>
      </c>
      <c r="O131" s="454">
        <f ca="1">+SUMIF('Detailed Model (LCY)'!$J$4:$XFD$4,'Macro Model (LCY)'!O$3,'Detailed Model (LCY)'!$J206:$XFD206)</f>
        <v>-35749410.481164016</v>
      </c>
      <c r="P131" s="454">
        <f ca="1">+SUMIF('Detailed Model (LCY)'!$J$4:$XFD$4,'Macro Model (LCY)'!P$3,'Detailed Model (LCY)'!$J206:$XFD206)</f>
        <v>-35771771.835033357</v>
      </c>
      <c r="Q131" s="454">
        <f ca="1">+SUMIF('Detailed Model (LCY)'!$J$4:$XFD$4,'Macro Model (LCY)'!Q$3,'Detailed Model (LCY)'!$J206:$XFD206)</f>
        <v>-35784073.328016818</v>
      </c>
    </row>
    <row r="132" spans="1:17" s="37" customFormat="1" ht="14.4" outlineLevel="1">
      <c r="A132"/>
      <c r="B132" s="5"/>
      <c r="C132" s="68" t="s">
        <v>117</v>
      </c>
      <c r="D132" s="68"/>
      <c r="E132" s="68"/>
      <c r="F132" s="68"/>
      <c r="G132" s="68"/>
      <c r="H132" s="90">
        <f t="shared" ref="H132:M132" ca="1" si="25">SUM(H129:H131)</f>
        <v>-3581174.2502022404</v>
      </c>
      <c r="I132" s="90">
        <f t="shared" ca="1" si="25"/>
        <v>-2640202.5961466245</v>
      </c>
      <c r="J132" s="90">
        <f t="shared" ca="1" si="25"/>
        <v>-5475330.6294198707</v>
      </c>
      <c r="K132" s="90">
        <f t="shared" ca="1" si="25"/>
        <v>-3845974.4961108193</v>
      </c>
      <c r="L132" s="90">
        <f t="shared" ca="1" si="25"/>
        <v>-4052848.2986372001</v>
      </c>
      <c r="M132" s="90">
        <f t="shared" ca="1" si="25"/>
        <v>343724.11515378207</v>
      </c>
      <c r="N132" s="90">
        <f ca="1">SUM(N129:N131)</f>
        <v>3407293.4023671523</v>
      </c>
      <c r="O132" s="90">
        <f ca="1">SUM(O129:O131)</f>
        <v>4185829.5378051773</v>
      </c>
      <c r="P132" s="90">
        <f ca="1">SUM(P129:P131)</f>
        <v>4354810.8204123974</v>
      </c>
      <c r="Q132" s="90">
        <f ca="1">SUM(Q129:Q131)</f>
        <v>4224994.5734535605</v>
      </c>
    </row>
    <row r="133" spans="1:17" ht="14.4" outlineLevel="1">
      <c r="A133"/>
      <c r="F133" s="37"/>
      <c r="G133" s="37"/>
      <c r="H133" s="355"/>
      <c r="I133" s="355"/>
      <c r="J133" s="355"/>
      <c r="K133" s="355"/>
      <c r="L133" s="355"/>
      <c r="M133" s="355"/>
      <c r="N133" s="355"/>
      <c r="O133" s="355"/>
      <c r="P133" s="355"/>
      <c r="Q133" s="355"/>
    </row>
    <row r="134" spans="1:17" ht="14.4" outlineLevel="1">
      <c r="A134"/>
      <c r="C134" s="5" t="s">
        <v>118</v>
      </c>
      <c r="H134" s="150"/>
      <c r="I134" s="150"/>
      <c r="J134" s="150"/>
      <c r="K134" s="150"/>
      <c r="L134" s="150"/>
      <c r="M134" s="150"/>
      <c r="N134" s="150"/>
      <c r="O134" s="150"/>
      <c r="P134" s="150"/>
      <c r="Q134" s="150"/>
    </row>
    <row r="135" spans="1:17" ht="14.4" outlineLevel="1">
      <c r="A135"/>
      <c r="C135" s="37" t="s">
        <v>6</v>
      </c>
      <c r="D135" s="5" t="s">
        <v>408</v>
      </c>
      <c r="H135" s="454">
        <f>+SUMIF('Detailed Model (LCY)'!$J$4:$XFD$4,'Macro Model (LCY)'!H$3,'Detailed Model (LCY)'!$J210:$XFD210)</f>
        <v>-1200000</v>
      </c>
      <c r="I135" s="454">
        <f>+SUMIF('Detailed Model (LCY)'!$J$4:$XFD$4,'Macro Model (LCY)'!I$3,'Detailed Model (LCY)'!$J210:$XFD210)</f>
        <v>-1200000</v>
      </c>
      <c r="J135" s="454">
        <f>+SUMIF('Detailed Model (LCY)'!$J$4:$XFD$4,'Macro Model (LCY)'!J$3,'Detailed Model (LCY)'!$J210:$XFD210)</f>
        <v>-1200000</v>
      </c>
      <c r="K135" s="454">
        <f>+SUMIF('Detailed Model (LCY)'!$J$4:$XFD$4,'Macro Model (LCY)'!K$3,'Detailed Model (LCY)'!$J210:$XFD210)</f>
        <v>-1200000</v>
      </c>
      <c r="L135" s="454">
        <f>+SUMIF('Detailed Model (LCY)'!$J$4:$XFD$4,'Macro Model (LCY)'!L$3,'Detailed Model (LCY)'!$J210:$XFD210)</f>
        <v>-1200000</v>
      </c>
      <c r="M135" s="454">
        <f>+SUMIF('Detailed Model (LCY)'!$J$4:$XFD$4,'Macro Model (LCY)'!M$3,'Detailed Model (LCY)'!$J210:$XFD210)</f>
        <v>-1200000</v>
      </c>
      <c r="N135" s="454">
        <f>+SUMIF('Detailed Model (LCY)'!$J$4:$XFD$4,'Macro Model (LCY)'!N$3,'Detailed Model (LCY)'!$J210:$XFD210)</f>
        <v>-1200000</v>
      </c>
      <c r="O135" s="454">
        <f>+SUMIF('Detailed Model (LCY)'!$J$4:$XFD$4,'Macro Model (LCY)'!O$3,'Detailed Model (LCY)'!$J210:$XFD210)</f>
        <v>-1200000</v>
      </c>
      <c r="P135" s="454">
        <f>+SUMIF('Detailed Model (LCY)'!$J$4:$XFD$4,'Macro Model (LCY)'!P$3,'Detailed Model (LCY)'!$J210:$XFD210)</f>
        <v>-1200000</v>
      </c>
      <c r="Q135" s="454">
        <f>+SUMIF('Detailed Model (LCY)'!$J$4:$XFD$4,'Macro Model (LCY)'!Q$3,'Detailed Model (LCY)'!$J210:$XFD210)</f>
        <v>-1200000</v>
      </c>
    </row>
    <row r="136" spans="1:17" ht="14.4" outlineLevel="1">
      <c r="A136"/>
      <c r="C136" s="68" t="s">
        <v>119</v>
      </c>
      <c r="D136" s="56"/>
      <c r="E136" s="56"/>
      <c r="F136" s="56"/>
      <c r="G136" s="56"/>
      <c r="H136" s="356">
        <f t="shared" ref="H136:M136" si="26">+H135</f>
        <v>-1200000</v>
      </c>
      <c r="I136" s="356">
        <f t="shared" si="26"/>
        <v>-1200000</v>
      </c>
      <c r="J136" s="356">
        <f t="shared" si="26"/>
        <v>-1200000</v>
      </c>
      <c r="K136" s="356">
        <f t="shared" si="26"/>
        <v>-1200000</v>
      </c>
      <c r="L136" s="356">
        <f t="shared" si="26"/>
        <v>-1200000</v>
      </c>
      <c r="M136" s="356">
        <f t="shared" si="26"/>
        <v>-1200000</v>
      </c>
      <c r="N136" s="356">
        <f>+N135</f>
        <v>-1200000</v>
      </c>
      <c r="O136" s="356">
        <f>+O135</f>
        <v>-1200000</v>
      </c>
      <c r="P136" s="356">
        <f>+P135</f>
        <v>-1200000</v>
      </c>
      <c r="Q136" s="356">
        <f>+Q135</f>
        <v>-1200000</v>
      </c>
    </row>
    <row r="137" spans="1:17" ht="14.4" outlineLevel="1">
      <c r="A137"/>
      <c r="C137" s="37"/>
      <c r="H137" s="355"/>
      <c r="I137" s="355"/>
      <c r="J137" s="355"/>
      <c r="K137" s="355"/>
      <c r="L137" s="355"/>
      <c r="M137" s="355"/>
      <c r="N137" s="355"/>
      <c r="O137" s="355"/>
      <c r="P137" s="355"/>
      <c r="Q137" s="355"/>
    </row>
    <row r="138" spans="1:17" ht="14.4" outlineLevel="1">
      <c r="A138"/>
      <c r="C138" s="5" t="s">
        <v>120</v>
      </c>
      <c r="H138" s="454"/>
      <c r="I138" s="454"/>
      <c r="J138" s="454"/>
      <c r="K138" s="454"/>
      <c r="L138" s="454"/>
      <c r="M138" s="454"/>
      <c r="N138" s="454"/>
      <c r="O138" s="454"/>
      <c r="P138" s="454"/>
      <c r="Q138" s="454"/>
    </row>
    <row r="139" spans="1:17" ht="14.4" outlineLevel="1">
      <c r="A139"/>
      <c r="C139" s="5" t="s">
        <v>5</v>
      </c>
      <c r="D139" s="5" t="s">
        <v>90</v>
      </c>
      <c r="H139" s="454">
        <f>+SUMIF('Detailed Model (LCY)'!$J$4:$XFD$4,'Macro Model (LCY)'!H$3,'Detailed Model (LCY)'!$J214:$XFD214)</f>
        <v>5000000</v>
      </c>
      <c r="I139" s="454">
        <f>+SUMIF('Detailed Model (LCY)'!$J$4:$XFD$4,'Macro Model (LCY)'!I$3,'Detailed Model (LCY)'!$J214:$XFD214)</f>
        <v>0</v>
      </c>
      <c r="J139" s="454">
        <f>+SUMIF('Detailed Model (LCY)'!$J$4:$XFD$4,'Macro Model (LCY)'!J$3,'Detailed Model (LCY)'!$J214:$XFD214)</f>
        <v>10000000</v>
      </c>
      <c r="K139" s="454">
        <f>+SUMIF('Detailed Model (LCY)'!$J$4:$XFD$4,'Macro Model (LCY)'!K$3,'Detailed Model (LCY)'!$J214:$XFD214)</f>
        <v>0</v>
      </c>
      <c r="L139" s="454">
        <f>+SUMIF('Detailed Model (LCY)'!$J$4:$XFD$4,'Macro Model (LCY)'!L$3,'Detailed Model (LCY)'!$J214:$XFD214)</f>
        <v>0</v>
      </c>
      <c r="M139" s="454">
        <f>+SUMIF('Detailed Model (LCY)'!$J$4:$XFD$4,'Macro Model (LCY)'!M$3,'Detailed Model (LCY)'!$J214:$XFD214)</f>
        <v>0</v>
      </c>
      <c r="N139" s="454">
        <f>+SUMIF('Detailed Model (LCY)'!$J$4:$XFD$4,'Macro Model (LCY)'!N$3,'Detailed Model (LCY)'!$J214:$XFD214)</f>
        <v>0</v>
      </c>
      <c r="O139" s="454">
        <f>+SUMIF('Detailed Model (LCY)'!$J$4:$XFD$4,'Macro Model (LCY)'!O$3,'Detailed Model (LCY)'!$J214:$XFD214)</f>
        <v>0</v>
      </c>
      <c r="P139" s="454">
        <f>+SUMIF('Detailed Model (LCY)'!$J$4:$XFD$4,'Macro Model (LCY)'!P$3,'Detailed Model (LCY)'!$J214:$XFD214)</f>
        <v>0</v>
      </c>
      <c r="Q139" s="454">
        <f>+SUMIF('Detailed Model (LCY)'!$J$4:$XFD$4,'Macro Model (LCY)'!Q$3,'Detailed Model (LCY)'!$J214:$XFD214)</f>
        <v>0</v>
      </c>
    </row>
    <row r="140" spans="1:17" ht="14.4" outlineLevel="1">
      <c r="A140"/>
      <c r="C140" s="5" t="s">
        <v>5</v>
      </c>
      <c r="D140" s="5" t="s">
        <v>91</v>
      </c>
      <c r="H140" s="454">
        <f>+SUMIF('Detailed Model (LCY)'!$J$4:$XFD$4,'Macro Model (LCY)'!H$3,'Detailed Model (LCY)'!$J215:$XFD215)</f>
        <v>10000000</v>
      </c>
      <c r="I140" s="454">
        <f>+SUMIF('Detailed Model (LCY)'!$J$4:$XFD$4,'Macro Model (LCY)'!I$3,'Detailed Model (LCY)'!$J215:$XFD215)</f>
        <v>0</v>
      </c>
      <c r="J140" s="454">
        <f>+SUMIF('Detailed Model (LCY)'!$J$4:$XFD$4,'Macro Model (LCY)'!J$3,'Detailed Model (LCY)'!$J215:$XFD215)</f>
        <v>25000000</v>
      </c>
      <c r="K140" s="454">
        <f>+SUMIF('Detailed Model (LCY)'!$J$4:$XFD$4,'Macro Model (LCY)'!K$3,'Detailed Model (LCY)'!$J215:$XFD215)</f>
        <v>0</v>
      </c>
      <c r="L140" s="454">
        <f>+SUMIF('Detailed Model (LCY)'!$J$4:$XFD$4,'Macro Model (LCY)'!L$3,'Detailed Model (LCY)'!$J215:$XFD215)</f>
        <v>12000000</v>
      </c>
      <c r="M140" s="454">
        <f>+SUMIF('Detailed Model (LCY)'!$J$4:$XFD$4,'Macro Model (LCY)'!M$3,'Detailed Model (LCY)'!$J215:$XFD215)</f>
        <v>10000000</v>
      </c>
      <c r="N140" s="454">
        <f>+SUMIF('Detailed Model (LCY)'!$J$4:$XFD$4,'Macro Model (LCY)'!N$3,'Detailed Model (LCY)'!$J215:$XFD215)</f>
        <v>10000000</v>
      </c>
      <c r="O140" s="454">
        <f>+SUMIF('Detailed Model (LCY)'!$J$4:$XFD$4,'Macro Model (LCY)'!O$3,'Detailed Model (LCY)'!$J215:$XFD215)</f>
        <v>10000000</v>
      </c>
      <c r="P140" s="454">
        <f>+SUMIF('Detailed Model (LCY)'!$J$4:$XFD$4,'Macro Model (LCY)'!P$3,'Detailed Model (LCY)'!$J215:$XFD215)</f>
        <v>10000000</v>
      </c>
      <c r="Q140" s="454">
        <f>+SUMIF('Detailed Model (LCY)'!$J$4:$XFD$4,'Macro Model (LCY)'!Q$3,'Detailed Model (LCY)'!$J215:$XFD215)</f>
        <v>13000000</v>
      </c>
    </row>
    <row r="141" spans="1:17" ht="14.4" outlineLevel="1">
      <c r="A141"/>
      <c r="C141" s="5" t="s">
        <v>6</v>
      </c>
      <c r="D141" s="5" t="s">
        <v>459</v>
      </c>
      <c r="H141" s="454">
        <f>+SUMIF('Detailed Model (LCY)'!$J$4:$XFD$4,'Macro Model (LCY)'!H$3,'Detailed Model (LCY)'!$J216:$XFD216)</f>
        <v>0</v>
      </c>
      <c r="I141" s="454">
        <f>+SUMIF('Detailed Model (LCY)'!$J$4:$XFD$4,'Macro Model (LCY)'!I$3,'Detailed Model (LCY)'!$J216:$XFD216)</f>
        <v>-4999999.9999999991</v>
      </c>
      <c r="J141" s="454">
        <f>+SUMIF('Detailed Model (LCY)'!$J$4:$XFD$4,'Macro Model (LCY)'!J$3,'Detailed Model (LCY)'!$J216:$XFD216)</f>
        <v>-7777777.777777778</v>
      </c>
      <c r="K141" s="454">
        <f>+SUMIF('Detailed Model (LCY)'!$J$4:$XFD$4,'Macro Model (LCY)'!K$3,'Detailed Model (LCY)'!$J216:$XFD216)</f>
        <v>-5555555.555555556</v>
      </c>
      <c r="L141" s="454">
        <f>+SUMIF('Detailed Model (LCY)'!$J$4:$XFD$4,'Macro Model (LCY)'!L$3,'Detailed Model (LCY)'!$J216:$XFD216)</f>
        <v>-6888888.8888888881</v>
      </c>
      <c r="M141" s="454">
        <f>+SUMIF('Detailed Model (LCY)'!$J$4:$XFD$4,'Macro Model (LCY)'!M$3,'Detailed Model (LCY)'!$J216:$XFD216)</f>
        <v>-9333333.3333333321</v>
      </c>
      <c r="N141" s="454">
        <f>+SUMIF('Detailed Model (LCY)'!$J$4:$XFD$4,'Macro Model (LCY)'!N$3,'Detailed Model (LCY)'!$J216:$XFD216)</f>
        <v>-11555555.555555558</v>
      </c>
      <c r="O141" s="454">
        <f>+SUMIF('Detailed Model (LCY)'!$J$4:$XFD$4,'Macro Model (LCY)'!O$3,'Detailed Model (LCY)'!$J216:$XFD216)</f>
        <v>-8222222.2222222229</v>
      </c>
      <c r="P141" s="454">
        <f>+SUMIF('Detailed Model (LCY)'!$J$4:$XFD$4,'Macro Model (LCY)'!P$3,'Detailed Model (LCY)'!$J216:$XFD216)</f>
        <v>-10444444.444444444</v>
      </c>
      <c r="Q141" s="454">
        <f>+SUMIF('Detailed Model (LCY)'!$J$4:$XFD$4,'Macro Model (LCY)'!Q$3,'Detailed Model (LCY)'!$J216:$XFD216)</f>
        <v>-10333333.333333332</v>
      </c>
    </row>
    <row r="142" spans="1:17" ht="14.4" outlineLevel="1">
      <c r="A142"/>
      <c r="C142" s="5" t="s">
        <v>5</v>
      </c>
      <c r="D142" s="5" t="s">
        <v>403</v>
      </c>
      <c r="H142" s="454">
        <f>+SUMIF('Detailed Model (LCY)'!$J$4:$XFD$4,'Macro Model (LCY)'!H$3,'Detailed Model (LCY)'!$J217:$XFD217)</f>
        <v>0</v>
      </c>
      <c r="I142" s="454">
        <f>+SUMIF('Detailed Model (LCY)'!$J$4:$XFD$4,'Macro Model (LCY)'!I$3,'Detailed Model (LCY)'!$J217:$XFD217)</f>
        <v>0</v>
      </c>
      <c r="J142" s="454">
        <f>+SUMIF('Detailed Model (LCY)'!$J$4:$XFD$4,'Macro Model (LCY)'!J$3,'Detailed Model (LCY)'!$J217:$XFD217)</f>
        <v>0</v>
      </c>
      <c r="K142" s="454">
        <f>+SUMIF('Detailed Model (LCY)'!$J$4:$XFD$4,'Macro Model (LCY)'!K$3,'Detailed Model (LCY)'!$J217:$XFD217)</f>
        <v>0</v>
      </c>
      <c r="L142" s="454">
        <f>+SUMIF('Detailed Model (LCY)'!$J$4:$XFD$4,'Macro Model (LCY)'!L$3,'Detailed Model (LCY)'!$J217:$XFD217)</f>
        <v>0</v>
      </c>
      <c r="M142" s="454">
        <f>+SUMIF('Detailed Model (LCY)'!$J$4:$XFD$4,'Macro Model (LCY)'!M$3,'Detailed Model (LCY)'!$J217:$XFD217)</f>
        <v>0</v>
      </c>
      <c r="N142" s="454">
        <f>+SUMIF('Detailed Model (LCY)'!$J$4:$XFD$4,'Macro Model (LCY)'!N$3,'Detailed Model (LCY)'!$J217:$XFD217)</f>
        <v>0</v>
      </c>
      <c r="O142" s="454">
        <f>+SUMIF('Detailed Model (LCY)'!$J$4:$XFD$4,'Macro Model (LCY)'!O$3,'Detailed Model (LCY)'!$J217:$XFD217)</f>
        <v>0</v>
      </c>
      <c r="P142" s="454">
        <f>+SUMIF('Detailed Model (LCY)'!$J$4:$XFD$4,'Macro Model (LCY)'!P$3,'Detailed Model (LCY)'!$J217:$XFD217)</f>
        <v>0</v>
      </c>
      <c r="Q142" s="454">
        <f>+SUMIF('Detailed Model (LCY)'!$J$4:$XFD$4,'Macro Model (LCY)'!Q$3,'Detailed Model (LCY)'!$J217:$XFD217)</f>
        <v>0</v>
      </c>
    </row>
    <row r="143" spans="1:17" ht="14.4" outlineLevel="1">
      <c r="A143"/>
      <c r="C143" s="68" t="s">
        <v>121</v>
      </c>
      <c r="D143" s="56"/>
      <c r="E143" s="56"/>
      <c r="F143" s="56"/>
      <c r="G143" s="56"/>
      <c r="H143" s="241">
        <f t="shared" ref="H143:M143" si="27">+SUM(H139:H142)</f>
        <v>15000000</v>
      </c>
      <c r="I143" s="241">
        <f t="shared" si="27"/>
        <v>-4999999.9999999991</v>
      </c>
      <c r="J143" s="241">
        <f t="shared" si="27"/>
        <v>27222222.222222224</v>
      </c>
      <c r="K143" s="241">
        <f t="shared" si="27"/>
        <v>-5555555.555555556</v>
      </c>
      <c r="L143" s="241">
        <f t="shared" si="27"/>
        <v>5111111.1111111119</v>
      </c>
      <c r="M143" s="241">
        <f t="shared" si="27"/>
        <v>666666.66666666791</v>
      </c>
      <c r="N143" s="241">
        <f>+SUM(N139:N142)</f>
        <v>-1555555.5555555578</v>
      </c>
      <c r="O143" s="241">
        <f>+SUM(O139:O142)</f>
        <v>1777777.7777777771</v>
      </c>
      <c r="P143" s="241">
        <f>+SUM(P139:P142)</f>
        <v>-444444.44444444403</v>
      </c>
      <c r="Q143" s="241">
        <f>+SUM(Q139:Q142)</f>
        <v>2666666.6666666679</v>
      </c>
    </row>
    <row r="144" spans="1:17" ht="14.4" outlineLevel="1">
      <c r="A144"/>
      <c r="C144" s="68"/>
      <c r="D144" s="56"/>
      <c r="E144" s="56"/>
      <c r="F144" s="56"/>
      <c r="G144" s="56"/>
      <c r="H144" s="357"/>
      <c r="I144" s="357"/>
      <c r="J144" s="357"/>
      <c r="K144" s="357"/>
      <c r="L144" s="357"/>
      <c r="M144" s="357"/>
      <c r="N144" s="357"/>
      <c r="O144" s="357"/>
      <c r="P144" s="357"/>
      <c r="Q144" s="357"/>
    </row>
    <row r="145" spans="1:17" ht="15" outlineLevel="1" thickBot="1">
      <c r="A145"/>
      <c r="C145" s="77" t="s">
        <v>14</v>
      </c>
      <c r="D145" s="77"/>
      <c r="E145" s="77"/>
      <c r="F145" s="77"/>
      <c r="G145" s="77"/>
      <c r="H145" s="361">
        <f t="shared" ref="H145:M145" ca="1" si="28">+H126+H132+H136+H143</f>
        <v>10518825.74979776</v>
      </c>
      <c r="I145" s="361">
        <f t="shared" ca="1" si="28"/>
        <v>1678623.1536511378</v>
      </c>
      <c r="J145" s="361">
        <f t="shared" ca="1" si="28"/>
        <v>22225514.746453494</v>
      </c>
      <c r="K145" s="361">
        <f t="shared" ca="1" si="28"/>
        <v>11623984.694787111</v>
      </c>
      <c r="L145" s="361">
        <f t="shared" ca="1" si="28"/>
        <v>11482247.50726103</v>
      </c>
      <c r="M145" s="361">
        <f t="shared" ca="1" si="28"/>
        <v>11292638.289081477</v>
      </c>
      <c r="N145" s="361">
        <f ca="1">+N126+N132+N136+N143</f>
        <v>11944376.135893075</v>
      </c>
      <c r="O145" s="361">
        <f ca="1">+O126+O132+O136+O143</f>
        <v>16707983.451476026</v>
      </c>
      <c r="P145" s="361">
        <f ca="1">+P126+P132+P136+P143</f>
        <v>19418349.827443976</v>
      </c>
      <c r="Q145" s="361">
        <f ca="1">+Q126+Q132+Q136+Q143</f>
        <v>25110011.067564204</v>
      </c>
    </row>
    <row r="146" spans="1:17" ht="15" outlineLevel="1" thickTop="1">
      <c r="A146"/>
      <c r="C146" s="62" t="s">
        <v>365</v>
      </c>
      <c r="D146" s="37"/>
      <c r="E146" s="37"/>
      <c r="H146" s="150">
        <f ca="1">H132+H136</f>
        <v>-4781174.2502022404</v>
      </c>
      <c r="I146" s="150">
        <f t="shared" ref="I146:M146" ca="1" si="29">I132+I136</f>
        <v>-3840202.5961466245</v>
      </c>
      <c r="J146" s="150">
        <f t="shared" ca="1" si="29"/>
        <v>-6675330.6294198707</v>
      </c>
      <c r="K146" s="150">
        <f t="shared" ca="1" si="29"/>
        <v>-5045974.4961108193</v>
      </c>
      <c r="L146" s="150">
        <f t="shared" ca="1" si="29"/>
        <v>-5252848.2986372001</v>
      </c>
      <c r="M146" s="150">
        <f t="shared" ca="1" si="29"/>
        <v>-856275.88484621793</v>
      </c>
      <c r="N146" s="150">
        <f ca="1">N132+N136</f>
        <v>2207293.4023671523</v>
      </c>
      <c r="O146" s="150">
        <f ca="1">O132+O136</f>
        <v>2985829.5378051773</v>
      </c>
      <c r="P146" s="150">
        <f ca="1">P132+P136</f>
        <v>3154810.8204123974</v>
      </c>
      <c r="Q146" s="150">
        <f ca="1">Q132+Q136</f>
        <v>3024994.5734535605</v>
      </c>
    </row>
    <row r="147" spans="1:17" ht="14.4" outlineLevel="1">
      <c r="A147"/>
      <c r="C147" s="62" t="s">
        <v>366</v>
      </c>
      <c r="D147" s="37"/>
      <c r="E147" s="37"/>
      <c r="G147" s="592">
        <f>'Model Assumptions'!F118</f>
        <v>300000</v>
      </c>
      <c r="H147" s="150">
        <f ca="1">G147+H146</f>
        <v>-4481174.2502022404</v>
      </c>
      <c r="I147" s="150">
        <f ca="1">H147+I146</f>
        <v>-8321376.846348865</v>
      </c>
      <c r="J147" s="150">
        <f ca="1">I147+J146</f>
        <v>-14996707.475768736</v>
      </c>
      <c r="K147" s="150">
        <f t="shared" ref="K147:Q147" ca="1" si="30">J147+K146</f>
        <v>-20042681.971879557</v>
      </c>
      <c r="L147" s="150">
        <f t="shared" ca="1" si="30"/>
        <v>-25295530.270516757</v>
      </c>
      <c r="M147" s="150">
        <f t="shared" ca="1" si="30"/>
        <v>-26151806.155362975</v>
      </c>
      <c r="N147" s="150">
        <f t="shared" ca="1" si="30"/>
        <v>-23944512.752995823</v>
      </c>
      <c r="O147" s="150">
        <f t="shared" ca="1" si="30"/>
        <v>-20958683.215190645</v>
      </c>
      <c r="P147" s="150">
        <f t="shared" ca="1" si="30"/>
        <v>-17803872.394778248</v>
      </c>
      <c r="Q147" s="150">
        <f t="shared" ca="1" si="30"/>
        <v>-14778877.821324687</v>
      </c>
    </row>
    <row r="148" spans="1:17" ht="14.4" outlineLevel="1">
      <c r="A148"/>
      <c r="C148" s="37"/>
      <c r="D148" s="37"/>
      <c r="E148" s="37"/>
      <c r="H148" s="150"/>
      <c r="I148" s="150"/>
      <c r="J148" s="150"/>
      <c r="K148" s="150"/>
      <c r="L148" s="150"/>
      <c r="M148" s="150"/>
      <c r="N148" s="150"/>
      <c r="O148" s="150"/>
      <c r="P148" s="150"/>
      <c r="Q148" s="150"/>
    </row>
    <row r="149" spans="1:17" ht="14.4" outlineLevel="1">
      <c r="A149"/>
      <c r="C149" s="69" t="s">
        <v>247</v>
      </c>
      <c r="D149" s="69"/>
      <c r="E149" s="69"/>
      <c r="F149" s="55"/>
      <c r="G149" s="55"/>
      <c r="H149" s="235">
        <f t="shared" ref="H149:M149" ca="1" si="31">H132-H106+H135</f>
        <v>-3431174.2502022404</v>
      </c>
      <c r="I149" s="235">
        <f t="shared" ca="1" si="31"/>
        <v>-2928744.262813291</v>
      </c>
      <c r="J149" s="235">
        <f t="shared" ca="1" si="31"/>
        <v>-3469890.8146050558</v>
      </c>
      <c r="K149" s="235">
        <f t="shared" ca="1" si="31"/>
        <v>-3124678.1998145226</v>
      </c>
      <c r="L149" s="235">
        <f t="shared" ca="1" si="31"/>
        <v>-2485996.446785348</v>
      </c>
      <c r="M149" s="235">
        <f t="shared" ca="1" si="31"/>
        <v>2043724.1151537835</v>
      </c>
      <c r="N149" s="235">
        <f ca="1">N132-N106+N135</f>
        <v>5053589.6986634508</v>
      </c>
      <c r="O149" s="235">
        <f ca="1">O132-O106+O135</f>
        <v>5857125.8341014776</v>
      </c>
      <c r="P149" s="235">
        <f ca="1">P132-P106+P135</f>
        <v>6083514.5241161063</v>
      </c>
      <c r="Q149" s="235">
        <f ca="1">Q132-Q106+Q135</f>
        <v>6283605.684564678</v>
      </c>
    </row>
    <row r="150" spans="1:17" ht="14.4" outlineLevel="1">
      <c r="A150"/>
      <c r="C150" s="85" t="s">
        <v>248</v>
      </c>
      <c r="D150" s="85"/>
      <c r="E150" s="85"/>
      <c r="F150" s="120"/>
      <c r="G150" s="120"/>
      <c r="H150" s="358">
        <f t="shared" ref="H150:M150" ca="1" si="32">H132+H136+H140+H141</f>
        <v>5218825.7497977596</v>
      </c>
      <c r="I150" s="358">
        <f t="shared" ca="1" si="32"/>
        <v>-8840202.5961466245</v>
      </c>
      <c r="J150" s="358">
        <f t="shared" ca="1" si="32"/>
        <v>10546891.592802351</v>
      </c>
      <c r="K150" s="358">
        <f t="shared" ca="1" si="32"/>
        <v>-10601530.051666375</v>
      </c>
      <c r="L150" s="358">
        <f t="shared" ca="1" si="32"/>
        <v>-141737.18752608821</v>
      </c>
      <c r="M150" s="358">
        <f t="shared" ca="1" si="32"/>
        <v>-189609.21817955002</v>
      </c>
      <c r="N150" s="358">
        <f ca="1">N132+N136+N140+N141</f>
        <v>651737.84681159444</v>
      </c>
      <c r="O150" s="358">
        <f ca="1">O132+O136+O140+O141</f>
        <v>4763607.3155829543</v>
      </c>
      <c r="P150" s="358">
        <f ca="1">P132+P136+P140+P141</f>
        <v>2710366.3759679534</v>
      </c>
      <c r="Q150" s="358">
        <f ca="1">Q132+Q136+Q140+Q141</f>
        <v>5691661.2401202284</v>
      </c>
    </row>
    <row r="151" spans="1:17" ht="14.4">
      <c r="A151"/>
      <c r="C151" s="37"/>
      <c r="D151" s="37"/>
      <c r="E151" s="37"/>
      <c r="H151" s="150"/>
      <c r="I151" s="150"/>
      <c r="J151" s="150"/>
      <c r="K151" s="150"/>
      <c r="L151" s="150"/>
      <c r="M151" s="150"/>
      <c r="N151" s="150"/>
      <c r="O151" s="150"/>
      <c r="P151" s="150"/>
      <c r="Q151" s="150"/>
    </row>
    <row r="152" spans="1:17">
      <c r="B152" s="6" t="s">
        <v>486</v>
      </c>
      <c r="C152" s="37"/>
      <c r="D152" s="37"/>
      <c r="E152" s="37"/>
      <c r="H152" s="150"/>
      <c r="I152" s="150"/>
      <c r="J152" s="150"/>
      <c r="K152" s="150"/>
      <c r="L152" s="150"/>
      <c r="M152" s="150"/>
      <c r="N152" s="150"/>
      <c r="O152" s="150"/>
      <c r="P152" s="150"/>
      <c r="Q152" s="150"/>
    </row>
    <row r="153" spans="1:17" outlineLevel="1">
      <c r="C153" s="85" t="s">
        <v>11</v>
      </c>
      <c r="D153" s="85"/>
      <c r="E153" s="85"/>
      <c r="F153" s="120"/>
      <c r="G153" s="120"/>
      <c r="H153" s="461">
        <f>INDEX('Detailed Model (LCY)'!$C$1:$DY$322,MATCH('Macro Model (LCY)'!$C153,'Detailed Model (LCY)'!$C$1:$C$322,0),MATCH('Macro Model (LCY)'!H$1,'Detailed Model (LCY)'!$C$1:$DY$1,0))</f>
        <v>300000</v>
      </c>
      <c r="I153" s="461">
        <f ca="1">INDEX('Detailed Model (LCY)'!$C$1:$DY$322,MATCH('Macro Model (LCY)'!$C153,'Detailed Model (LCY)'!$C$1:$C$322,0),MATCH('Macro Model (LCY)'!I$1,'Detailed Model (LCY)'!$C$1:$DY$1,0))</f>
        <v>10518825.749797761</v>
      </c>
      <c r="J153" s="461">
        <f ca="1">INDEX('Detailed Model (LCY)'!$C$1:$DY$322,MATCH('Macro Model (LCY)'!$C153,'Detailed Model (LCY)'!$C$1:$C$322,0),MATCH('Macro Model (LCY)'!J$1,'Detailed Model (LCY)'!$C$1:$DY$1,0))</f>
        <v>1678623.1536511392</v>
      </c>
      <c r="K153" s="461">
        <f ca="1">INDEX('Detailed Model (LCY)'!$C$1:$DY$322,MATCH('Macro Model (LCY)'!$C153,'Detailed Model (LCY)'!$C$1:$C$322,0),MATCH('Macro Model (LCY)'!K$1,'Detailed Model (LCY)'!$C$1:$DY$1,0))</f>
        <v>22225514.746453486</v>
      </c>
      <c r="L153" s="461">
        <f ca="1">INDEX('Detailed Model (LCY)'!$C$1:$DY$322,MATCH('Macro Model (LCY)'!$C153,'Detailed Model (LCY)'!$C$1:$C$322,0),MATCH('Macro Model (LCY)'!L$1,'Detailed Model (LCY)'!$C$1:$DY$1,0))</f>
        <v>11623984.694787119</v>
      </c>
      <c r="M153" s="461">
        <f ca="1">INDEX('Detailed Model (LCY)'!$C$1:$DY$322,MATCH('Macro Model (LCY)'!$C153,'Detailed Model (LCY)'!$C$1:$C$322,0),MATCH('Macro Model (LCY)'!M$1,'Detailed Model (LCY)'!$C$1:$DY$1,0))</f>
        <v>11482247.507261027</v>
      </c>
      <c r="N153" s="461">
        <f ca="1">INDEX('Detailed Model (LCY)'!$C$1:$DY$322,MATCH('Macro Model (LCY)'!$C153,'Detailed Model (LCY)'!$C$1:$C$322,0),MATCH('Macro Model (LCY)'!N$1,'Detailed Model (LCY)'!$C$1:$DY$1,0))</f>
        <v>11292638.28908148</v>
      </c>
      <c r="O153" s="461">
        <f ca="1">INDEX('Detailed Model (LCY)'!$C$1:$DY$322,MATCH('Macro Model (LCY)'!$C153,'Detailed Model (LCY)'!$C$1:$C$322,0),MATCH('Macro Model (LCY)'!O$1,'Detailed Model (LCY)'!$C$1:$DY$1,0))</f>
        <v>11944376.135893073</v>
      </c>
      <c r="P153" s="461">
        <f ca="1">INDEX('Detailed Model (LCY)'!$C$1:$DY$322,MATCH('Macro Model (LCY)'!$C153,'Detailed Model (LCY)'!$C$1:$C$322,0),MATCH('Macro Model (LCY)'!P$1,'Detailed Model (LCY)'!$C$1:$DY$1,0))</f>
        <v>16707983.451476024</v>
      </c>
      <c r="Q153" s="461">
        <f ca="1">INDEX('Detailed Model (LCY)'!$C$1:$DY$322,MATCH('Macro Model (LCY)'!$C153,'Detailed Model (LCY)'!$C$1:$C$322,0),MATCH('Macro Model (LCY)'!Q$1,'Detailed Model (LCY)'!$C$1:$DY$1,0))</f>
        <v>19418349.827443976</v>
      </c>
    </row>
    <row r="154" spans="1:17" outlineLevel="1">
      <c r="C154" s="37"/>
      <c r="E154" s="37"/>
      <c r="H154" s="150"/>
      <c r="I154" s="150"/>
      <c r="J154" s="150"/>
      <c r="K154" s="150"/>
      <c r="L154" s="150"/>
      <c r="M154" s="150"/>
      <c r="N154" s="150"/>
      <c r="O154" s="150"/>
      <c r="P154" s="150"/>
      <c r="Q154" s="150"/>
    </row>
    <row r="155" spans="1:17" outlineLevel="1">
      <c r="C155" s="5" t="s">
        <v>241</v>
      </c>
      <c r="E155" s="37"/>
      <c r="H155" s="454">
        <f ca="1">+SUMIF('Detailed Model (LCY)'!$J$4:$XFD$4,'Macro Model (LCY)'!H$3,'Detailed Model (LCY)'!$J228:$XFD228)</f>
        <v>21748382.260751501</v>
      </c>
      <c r="I155" s="454">
        <f ca="1">+SUMIF('Detailed Model (LCY)'!$J$4:$XFD$4,'Macro Model (LCY)'!I$3,'Detailed Model (LCY)'!$J228:$XFD228)</f>
        <v>30917093.074549545</v>
      </c>
      <c r="J155" s="454">
        <f ca="1">+SUMIF('Detailed Model (LCY)'!$J$4:$XFD$4,'Macro Model (LCY)'!J$3,'Detailed Model (LCY)'!$J228:$XFD228)</f>
        <v>41010765.384141661</v>
      </c>
      <c r="K155" s="454">
        <f ca="1">+SUMIF('Detailed Model (LCY)'!$J$4:$XFD$4,'Macro Model (LCY)'!K$3,'Detailed Model (LCY)'!$J228:$XFD228)</f>
        <v>52046466.471985914</v>
      </c>
      <c r="L155" s="454">
        <f ca="1">+SUMIF('Detailed Model (LCY)'!$J$4:$XFD$4,'Macro Model (LCY)'!L$3,'Detailed Model (LCY)'!$J228:$XFD228)</f>
        <v>65857642.292571634</v>
      </c>
      <c r="M155" s="454">
        <f ca="1">+SUMIF('Detailed Model (LCY)'!$J$4:$XFD$4,'Macro Model (LCY)'!M$3,'Detailed Model (LCY)'!$J228:$XFD228)</f>
        <v>79740282.08013387</v>
      </c>
      <c r="N155" s="454">
        <f ca="1">+SUMIF('Detailed Model (LCY)'!$J$4:$XFD$4,'Macro Model (LCY)'!N$3,'Detailed Model (LCY)'!$J228:$XFD228)</f>
        <v>86118172.637339965</v>
      </c>
      <c r="O155" s="454">
        <f ca="1">+SUMIF('Detailed Model (LCY)'!$J$4:$XFD$4,'Macro Model (LCY)'!O$3,'Detailed Model (LCY)'!$J228:$XFD228)</f>
        <v>87928207.779228687</v>
      </c>
      <c r="P155" s="454">
        <f ca="1">+SUMIF('Detailed Model (LCY)'!$J$4:$XFD$4,'Macro Model (LCY)'!P$3,'Detailed Model (LCY)'!$J228:$XFD228)</f>
        <v>88329882.718263656</v>
      </c>
      <c r="Q155" s="454">
        <f ca="1">+SUMIF('Detailed Model (LCY)'!$J$4:$XFD$4,'Macro Model (LCY)'!Q$3,'Detailed Model (LCY)'!$J228:$XFD228)</f>
        <v>88460221.828347534</v>
      </c>
    </row>
    <row r="156" spans="1:17" outlineLevel="1">
      <c r="C156" s="5" t="s">
        <v>235</v>
      </c>
      <c r="E156" s="37"/>
      <c r="H156" s="454">
        <f>+SUMIF('Detailed Model (LCY)'!$J$4:$XFD$4,'Macro Model (LCY)'!H$3,'Detailed Model (LCY)'!$J229:$XFD229)</f>
        <v>5000000</v>
      </c>
      <c r="I156" s="454">
        <f>+SUMIF('Detailed Model (LCY)'!$J$4:$XFD$4,'Macro Model (LCY)'!I$3,'Detailed Model (LCY)'!$J229:$XFD229)</f>
        <v>3000000</v>
      </c>
      <c r="J156" s="454">
        <f>+SUMIF('Detailed Model (LCY)'!$J$4:$XFD$4,'Macro Model (LCY)'!J$3,'Detailed Model (LCY)'!$J229:$XFD229)</f>
        <v>0</v>
      </c>
      <c r="K156" s="454">
        <f>+SUMIF('Detailed Model (LCY)'!$J$4:$XFD$4,'Macro Model (LCY)'!K$3,'Detailed Model (LCY)'!$J229:$XFD229)</f>
        <v>0</v>
      </c>
      <c r="L156" s="454">
        <f>+SUMIF('Detailed Model (LCY)'!$J$4:$XFD$4,'Macro Model (LCY)'!L$3,'Detailed Model (LCY)'!$J229:$XFD229)</f>
        <v>0</v>
      </c>
      <c r="M156" s="454">
        <f>+SUMIF('Detailed Model (LCY)'!$J$4:$XFD$4,'Macro Model (LCY)'!M$3,'Detailed Model (LCY)'!$J229:$XFD229)</f>
        <v>0</v>
      </c>
      <c r="N156" s="454">
        <f>+SUMIF('Detailed Model (LCY)'!$J$4:$XFD$4,'Macro Model (LCY)'!N$3,'Detailed Model (LCY)'!$J229:$XFD229)</f>
        <v>0</v>
      </c>
      <c r="O156" s="454">
        <f>+SUMIF('Detailed Model (LCY)'!$J$4:$XFD$4,'Macro Model (LCY)'!O$3,'Detailed Model (LCY)'!$J229:$XFD229)</f>
        <v>0</v>
      </c>
      <c r="P156" s="454">
        <f>+SUMIF('Detailed Model (LCY)'!$J$4:$XFD$4,'Macro Model (LCY)'!P$3,'Detailed Model (LCY)'!$J229:$XFD229)</f>
        <v>0</v>
      </c>
      <c r="Q156" s="454">
        <f>+SUMIF('Detailed Model (LCY)'!$J$4:$XFD$4,'Macro Model (LCY)'!Q$3,'Detailed Model (LCY)'!$J229:$XFD229)</f>
        <v>0</v>
      </c>
    </row>
    <row r="157" spans="1:17" outlineLevel="1">
      <c r="C157" s="5" t="s">
        <v>236</v>
      </c>
      <c r="E157" s="37"/>
      <c r="H157" s="454">
        <f>+SUMIF('Detailed Model (LCY)'!$J$4:$XFD$4,'Macro Model (LCY)'!H$3,'Detailed Model (LCY)'!$J230:$XFD230)</f>
        <v>5000000</v>
      </c>
      <c r="I157" s="454">
        <f>+SUMIF('Detailed Model (LCY)'!$J$4:$XFD$4,'Macro Model (LCY)'!I$3,'Detailed Model (LCY)'!$J230:$XFD230)</f>
        <v>0</v>
      </c>
      <c r="J157" s="454">
        <f>+SUMIF('Detailed Model (LCY)'!$J$4:$XFD$4,'Macro Model (LCY)'!J$3,'Detailed Model (LCY)'!$J230:$XFD230)</f>
        <v>10000000</v>
      </c>
      <c r="K157" s="454">
        <f>+SUMIF('Detailed Model (LCY)'!$J$4:$XFD$4,'Macro Model (LCY)'!K$3,'Detailed Model (LCY)'!$J230:$XFD230)</f>
        <v>0</v>
      </c>
      <c r="L157" s="454">
        <f>+SUMIF('Detailed Model (LCY)'!$J$4:$XFD$4,'Macro Model (LCY)'!L$3,'Detailed Model (LCY)'!$J230:$XFD230)</f>
        <v>0</v>
      </c>
      <c r="M157" s="454">
        <f>+SUMIF('Detailed Model (LCY)'!$J$4:$XFD$4,'Macro Model (LCY)'!M$3,'Detailed Model (LCY)'!$J230:$XFD230)</f>
        <v>0</v>
      </c>
      <c r="N157" s="454">
        <f>+SUMIF('Detailed Model (LCY)'!$J$4:$XFD$4,'Macro Model (LCY)'!N$3,'Detailed Model (LCY)'!$J230:$XFD230)</f>
        <v>0</v>
      </c>
      <c r="O157" s="454">
        <f>+SUMIF('Detailed Model (LCY)'!$J$4:$XFD$4,'Macro Model (LCY)'!O$3,'Detailed Model (LCY)'!$J230:$XFD230)</f>
        <v>0</v>
      </c>
      <c r="P157" s="454">
        <f>+SUMIF('Detailed Model (LCY)'!$J$4:$XFD$4,'Macro Model (LCY)'!P$3,'Detailed Model (LCY)'!$J230:$XFD230)</f>
        <v>0</v>
      </c>
      <c r="Q157" s="454">
        <f>+SUMIF('Detailed Model (LCY)'!$J$4:$XFD$4,'Macro Model (LCY)'!Q$3,'Detailed Model (LCY)'!$J230:$XFD230)</f>
        <v>0</v>
      </c>
    </row>
    <row r="158" spans="1:17" outlineLevel="1">
      <c r="C158" s="9" t="s">
        <v>237</v>
      </c>
      <c r="E158" s="37"/>
      <c r="H158" s="454">
        <f>+SUMIF('Detailed Model (LCY)'!$J$4:$XFD$4,'Macro Model (LCY)'!H$3,'Detailed Model (LCY)'!$J231:$XFD231)</f>
        <v>10000000</v>
      </c>
      <c r="I158" s="454">
        <f>+SUMIF('Detailed Model (LCY)'!$J$4:$XFD$4,'Macro Model (LCY)'!I$3,'Detailed Model (LCY)'!$J231:$XFD231)</f>
        <v>0</v>
      </c>
      <c r="J158" s="454">
        <f>+SUMIF('Detailed Model (LCY)'!$J$4:$XFD$4,'Macro Model (LCY)'!J$3,'Detailed Model (LCY)'!$J231:$XFD231)</f>
        <v>25000000</v>
      </c>
      <c r="K158" s="454">
        <f>+SUMIF('Detailed Model (LCY)'!$J$4:$XFD$4,'Macro Model (LCY)'!K$3,'Detailed Model (LCY)'!$J231:$XFD231)</f>
        <v>0</v>
      </c>
      <c r="L158" s="454">
        <f>+SUMIF('Detailed Model (LCY)'!$J$4:$XFD$4,'Macro Model (LCY)'!L$3,'Detailed Model (LCY)'!$J231:$XFD231)</f>
        <v>12000000</v>
      </c>
      <c r="M158" s="454">
        <f>+SUMIF('Detailed Model (LCY)'!$J$4:$XFD$4,'Macro Model (LCY)'!M$3,'Detailed Model (LCY)'!$J231:$XFD231)</f>
        <v>10000000</v>
      </c>
      <c r="N158" s="454">
        <f>+SUMIF('Detailed Model (LCY)'!$J$4:$XFD$4,'Macro Model (LCY)'!N$3,'Detailed Model (LCY)'!$J231:$XFD231)</f>
        <v>10000000</v>
      </c>
      <c r="O158" s="454">
        <f>+SUMIF('Detailed Model (LCY)'!$J$4:$XFD$4,'Macro Model (LCY)'!O$3,'Detailed Model (LCY)'!$J231:$XFD231)</f>
        <v>10000000</v>
      </c>
      <c r="P158" s="454">
        <f>+SUMIF('Detailed Model (LCY)'!$J$4:$XFD$4,'Macro Model (LCY)'!P$3,'Detailed Model (LCY)'!$J231:$XFD231)</f>
        <v>10000000</v>
      </c>
      <c r="Q158" s="454">
        <f>+SUMIF('Detailed Model (LCY)'!$J$4:$XFD$4,'Macro Model (LCY)'!Q$3,'Detailed Model (LCY)'!$J231:$XFD231)</f>
        <v>13000000</v>
      </c>
    </row>
    <row r="159" spans="1:17" outlineLevel="1">
      <c r="E159" s="37"/>
      <c r="H159" s="150"/>
      <c r="I159" s="150"/>
      <c r="J159" s="150"/>
      <c r="K159" s="150"/>
      <c r="L159" s="150"/>
      <c r="M159" s="150"/>
      <c r="N159" s="150"/>
      <c r="O159" s="150"/>
      <c r="P159" s="150"/>
      <c r="Q159" s="150"/>
    </row>
    <row r="160" spans="1:17" outlineLevel="1">
      <c r="C160" s="5" t="s">
        <v>483</v>
      </c>
      <c r="E160" s="37"/>
      <c r="H160" s="454">
        <f ca="1">+SUMIF('Detailed Model (LCY)'!$J$4:$XFD$4,'Macro Model (LCY)'!H$3,'Detailed Model (LCY)'!$J233:$XFD233)</f>
        <v>-1977125.6600683201</v>
      </c>
      <c r="I160" s="454">
        <f ca="1">+SUMIF('Detailed Model (LCY)'!$J$4:$XFD$4,'Macro Model (LCY)'!I$3,'Detailed Model (LCY)'!$J233:$XFD233)</f>
        <v>-2810644.8249590513</v>
      </c>
      <c r="J160" s="454">
        <f ca="1">+SUMIF('Detailed Model (LCY)'!$J$4:$XFD$4,'Macro Model (LCY)'!J$3,'Detailed Model (LCY)'!$J233:$XFD233)</f>
        <v>-3728251.3985583354</v>
      </c>
      <c r="K160" s="454">
        <f ca="1">+SUMIF('Detailed Model (LCY)'!$J$4:$XFD$4,'Macro Model (LCY)'!K$3,'Detailed Model (LCY)'!$J233:$XFD233)</f>
        <v>-4731496.9519987237</v>
      </c>
      <c r="L160" s="454">
        <f ca="1">+SUMIF('Detailed Model (LCY)'!$J$4:$XFD$4,'Macro Model (LCY)'!L$3,'Detailed Model (LCY)'!$J233:$XFD233)</f>
        <v>-5987058.3902337914</v>
      </c>
      <c r="M160" s="454">
        <f ca="1">+SUMIF('Detailed Model (LCY)'!$J$4:$XFD$4,'Macro Model (LCY)'!M$3,'Detailed Model (LCY)'!$J233:$XFD233)</f>
        <v>-7249116.5527394479</v>
      </c>
      <c r="N160" s="454">
        <f ca="1">+SUMIF('Detailed Model (LCY)'!$J$4:$XFD$4,'Macro Model (LCY)'!N$3,'Detailed Model (LCY)'!$J233:$XFD233)</f>
        <v>-7828924.7852127301</v>
      </c>
      <c r="O160" s="454">
        <f ca="1">+SUMIF('Detailed Model (LCY)'!$J$4:$XFD$4,'Macro Model (LCY)'!O$3,'Detailed Model (LCY)'!$J233:$XFD233)</f>
        <v>-7993473.4344753418</v>
      </c>
      <c r="P160" s="454">
        <f ca="1">+SUMIF('Detailed Model (LCY)'!$J$4:$XFD$4,'Macro Model (LCY)'!P$3,'Detailed Model (LCY)'!$J233:$XFD233)</f>
        <v>-8029989.3380239736</v>
      </c>
      <c r="Q160" s="454">
        <f ca="1">+SUMIF('Detailed Model (LCY)'!$J$4:$XFD$4,'Macro Model (LCY)'!Q$3,'Detailed Model (LCY)'!$J233:$XFD233)</f>
        <v>-8041838.3480316</v>
      </c>
    </row>
    <row r="161" spans="2:17" outlineLevel="1">
      <c r="C161" s="5" t="s">
        <v>92</v>
      </c>
      <c r="E161" s="37"/>
      <c r="H161" s="454">
        <f>+SUMIF('Detailed Model (LCY)'!$J$4:$XFD$4,'Macro Model (LCY)'!H$3,'Detailed Model (LCY)'!$J234:$XFD234)</f>
        <v>0</v>
      </c>
      <c r="I161" s="454">
        <f>+SUMIF('Detailed Model (LCY)'!$J$4:$XFD$4,'Macro Model (LCY)'!I$3,'Detailed Model (LCY)'!$J234:$XFD234)</f>
        <v>-4999999.9999999991</v>
      </c>
      <c r="J161" s="454">
        <f>+SUMIF('Detailed Model (LCY)'!$J$4:$XFD$4,'Macro Model (LCY)'!J$3,'Detailed Model (LCY)'!$J234:$XFD234)</f>
        <v>-7777777.777777778</v>
      </c>
      <c r="K161" s="454">
        <f>+SUMIF('Detailed Model (LCY)'!$J$4:$XFD$4,'Macro Model (LCY)'!K$3,'Detailed Model (LCY)'!$J234:$XFD234)</f>
        <v>-5555555.555555556</v>
      </c>
      <c r="L161" s="454">
        <f>+SUMIF('Detailed Model (LCY)'!$J$4:$XFD$4,'Macro Model (LCY)'!L$3,'Detailed Model (LCY)'!$J234:$XFD234)</f>
        <v>-6888888.8888888881</v>
      </c>
      <c r="M161" s="454">
        <f>+SUMIF('Detailed Model (LCY)'!$J$4:$XFD$4,'Macro Model (LCY)'!M$3,'Detailed Model (LCY)'!$J234:$XFD234)</f>
        <v>-9333333.3333333321</v>
      </c>
      <c r="N161" s="454">
        <f>+SUMIF('Detailed Model (LCY)'!$J$4:$XFD$4,'Macro Model (LCY)'!N$3,'Detailed Model (LCY)'!$J234:$XFD234)</f>
        <v>-11555555.555555558</v>
      </c>
      <c r="O161" s="454">
        <f>+SUMIF('Detailed Model (LCY)'!$J$4:$XFD$4,'Macro Model (LCY)'!O$3,'Detailed Model (LCY)'!$J234:$XFD234)</f>
        <v>-8222222.2222222229</v>
      </c>
      <c r="P161" s="454">
        <f>+SUMIF('Detailed Model (LCY)'!$J$4:$XFD$4,'Macro Model (LCY)'!P$3,'Detailed Model (LCY)'!$J234:$XFD234)</f>
        <v>-10444444.444444444</v>
      </c>
      <c r="Q161" s="454">
        <f>+SUMIF('Detailed Model (LCY)'!$J$4:$XFD$4,'Macro Model (LCY)'!Q$3,'Detailed Model (LCY)'!$J234:$XFD234)</f>
        <v>-10333333.333333332</v>
      </c>
    </row>
    <row r="162" spans="2:17" outlineLevel="1">
      <c r="C162" s="5" t="s">
        <v>238</v>
      </c>
      <c r="E162" s="37"/>
      <c r="H162" s="454">
        <f ca="1">+SUMIF('Detailed Model (LCY)'!$J$4:$XFD$4,'Macro Model (LCY)'!H$3,'Detailed Model (LCY)'!$J235:$XFD235)</f>
        <v>-12441557.760953607</v>
      </c>
      <c r="I162" s="454">
        <f ca="1">+SUMIF('Detailed Model (LCY)'!$J$4:$XFD$4,'Macro Model (LCY)'!I$3,'Detailed Model (LCY)'!$J235:$XFD235)</f>
        <v>-15369014.72130489</v>
      </c>
      <c r="J162" s="454">
        <f ca="1">+SUMIF('Detailed Model (LCY)'!$J$4:$XFD$4,'Macro Model (LCY)'!J$3,'Detailed Model (LCY)'!$J235:$XFD235)</f>
        <v>-18705130.64322238</v>
      </c>
      <c r="K162" s="454">
        <f ca="1">+SUMIF('Detailed Model (LCY)'!$J$4:$XFD$4,'Macro Model (LCY)'!K$3,'Detailed Model (LCY)'!$J235:$XFD235)</f>
        <v>-21279083.366880678</v>
      </c>
      <c r="L162" s="454">
        <f ca="1">+SUMIF('Detailed Model (LCY)'!$J$4:$XFD$4,'Macro Model (LCY)'!L$3,'Detailed Model (LCY)'!$J235:$XFD235)</f>
        <v>-25645398.245655369</v>
      </c>
      <c r="M162" s="454">
        <f ca="1">+SUMIF('Detailed Model (LCY)'!$J$4:$XFD$4,'Macro Model (LCY)'!M$3,'Detailed Model (LCY)'!$J235:$XFD235)</f>
        <v>-30434215.750004146</v>
      </c>
      <c r="N162" s="454">
        <f ca="1">+SUMIF('Detailed Model (LCY)'!$J$4:$XFD$4,'Macro Model (LCY)'!N$3,'Detailed Model (LCY)'!$J235:$XFD235)</f>
        <v>-32153061.831709426</v>
      </c>
      <c r="O162" s="454">
        <f ca="1">+SUMIF('Detailed Model (LCY)'!$J$4:$XFD$4,'Macro Model (LCY)'!O$3,'Detailed Model (LCY)'!$J235:$XFD235)</f>
        <v>-32654101.66516646</v>
      </c>
      <c r="P162" s="454">
        <f ca="1">+SUMIF('Detailed Model (LCY)'!$J$4:$XFD$4,'Macro Model (LCY)'!P$3,'Detailed Model (LCY)'!$J235:$XFD235)</f>
        <v>-32763117.682728458</v>
      </c>
      <c r="Q162" s="454">
        <f ca="1">+SUMIF('Detailed Model (LCY)'!$J$4:$XFD$4,'Macro Model (LCY)'!Q$3,'Detailed Model (LCY)'!$J235:$XFD235)</f>
        <v>-32799288.726676002</v>
      </c>
    </row>
    <row r="163" spans="2:17" outlineLevel="1">
      <c r="C163" s="5" t="s">
        <v>93</v>
      </c>
      <c r="E163" s="37"/>
      <c r="H163" s="454">
        <f ca="1">+SUMIF('Detailed Model (LCY)'!$J$4:$XFD$4,'Macro Model (LCY)'!H$3,'Detailed Model (LCY)'!$J236:$XFD236)</f>
        <v>-12687008.539350394</v>
      </c>
      <c r="I163" s="454">
        <f ca="1">+SUMIF('Detailed Model (LCY)'!$J$4:$XFD$4,'Macro Model (LCY)'!I$3,'Detailed Model (LCY)'!$J236:$XFD236)</f>
        <v>-16136519.427848462</v>
      </c>
      <c r="J163" s="454">
        <f ca="1">+SUMIF('Detailed Model (LCY)'!$J$4:$XFD$4,'Macro Model (LCY)'!J$3,'Detailed Model (LCY)'!$J236:$XFD236)</f>
        <v>-20636568.76944099</v>
      </c>
      <c r="K163" s="454">
        <f ca="1">+SUMIF('Detailed Model (LCY)'!$J$4:$XFD$4,'Macro Model (LCY)'!K$3,'Detailed Model (LCY)'!$J236:$XFD236)</f>
        <v>-26197738.022027794</v>
      </c>
      <c r="L163" s="454">
        <f ca="1">+SUMIF('Detailed Model (LCY)'!$J$4:$XFD$4,'Macro Model (LCY)'!L$3,'Detailed Model (LCY)'!$J236:$XFD236)</f>
        <v>-32900767.046899047</v>
      </c>
      <c r="M163" s="454">
        <f ca="1">+SUMIF('Detailed Model (LCY)'!$J$4:$XFD$4,'Macro Model (LCY)'!M$3,'Detailed Model (LCY)'!$J236:$XFD236)</f>
        <v>-35242934.561427087</v>
      </c>
      <c r="N163" s="454">
        <f ca="1">+SUMIF('Detailed Model (LCY)'!$J$4:$XFD$4,'Macro Model (LCY)'!N$3,'Detailed Model (LCY)'!$J236:$XFD236)</f>
        <v>-35600628.060662396</v>
      </c>
      <c r="O163" s="454">
        <f ca="1">+SUMIF('Detailed Model (LCY)'!$J$4:$XFD$4,'Macro Model (LCY)'!O$3,'Detailed Model (LCY)'!$J236:$XFD236)</f>
        <v>-35749410.481164016</v>
      </c>
      <c r="P163" s="454">
        <f ca="1">+SUMIF('Detailed Model (LCY)'!$J$4:$XFD$4,'Macro Model (LCY)'!P$3,'Detailed Model (LCY)'!$J236:$XFD236)</f>
        <v>-35771771.835033357</v>
      </c>
      <c r="Q163" s="454">
        <f ca="1">+SUMIF('Detailed Model (LCY)'!$J$4:$XFD$4,'Macro Model (LCY)'!Q$3,'Detailed Model (LCY)'!$J236:$XFD236)</f>
        <v>-35784073.328016818</v>
      </c>
    </row>
    <row r="164" spans="2:17" outlineLevel="1">
      <c r="C164" s="5" t="s">
        <v>94</v>
      </c>
      <c r="E164" s="37"/>
      <c r="H164" s="454">
        <f>+SUMIF('Detailed Model (LCY)'!$J$4:$XFD$4,'Macro Model (LCY)'!H$3,'Detailed Model (LCY)'!$J237:$XFD237)</f>
        <v>-1200000</v>
      </c>
      <c r="I164" s="454">
        <f>+SUMIF('Detailed Model (LCY)'!$J$4:$XFD$4,'Macro Model (LCY)'!I$3,'Detailed Model (LCY)'!$J237:$XFD237)</f>
        <v>-1200000</v>
      </c>
      <c r="J164" s="454">
        <f>+SUMIF('Detailed Model (LCY)'!$J$4:$XFD$4,'Macro Model (LCY)'!J$3,'Detailed Model (LCY)'!$J237:$XFD237)</f>
        <v>-1200000</v>
      </c>
      <c r="K164" s="454">
        <f>+SUMIF('Detailed Model (LCY)'!$J$4:$XFD$4,'Macro Model (LCY)'!K$3,'Detailed Model (LCY)'!$J237:$XFD237)</f>
        <v>-1200000</v>
      </c>
      <c r="L164" s="454">
        <f>+SUMIF('Detailed Model (LCY)'!$J$4:$XFD$4,'Macro Model (LCY)'!L$3,'Detailed Model (LCY)'!$J237:$XFD237)</f>
        <v>-1200000</v>
      </c>
      <c r="M164" s="454">
        <f>+SUMIF('Detailed Model (LCY)'!$J$4:$XFD$4,'Macro Model (LCY)'!M$3,'Detailed Model (LCY)'!$J237:$XFD237)</f>
        <v>-1200000</v>
      </c>
      <c r="N164" s="454">
        <f>+SUMIF('Detailed Model (LCY)'!$J$4:$XFD$4,'Macro Model (LCY)'!N$3,'Detailed Model (LCY)'!$J237:$XFD237)</f>
        <v>-1200000</v>
      </c>
      <c r="O164" s="454">
        <f>+SUMIF('Detailed Model (LCY)'!$J$4:$XFD$4,'Macro Model (LCY)'!O$3,'Detailed Model (LCY)'!$J237:$XFD237)</f>
        <v>-1200000</v>
      </c>
      <c r="P164" s="454">
        <f>+SUMIF('Detailed Model (LCY)'!$J$4:$XFD$4,'Macro Model (LCY)'!P$3,'Detailed Model (LCY)'!$J237:$XFD237)</f>
        <v>-1200000</v>
      </c>
      <c r="Q164" s="454">
        <f>+SUMIF('Detailed Model (LCY)'!$J$4:$XFD$4,'Macro Model (LCY)'!Q$3,'Detailed Model (LCY)'!$J237:$XFD237)</f>
        <v>-1200000</v>
      </c>
    </row>
    <row r="165" spans="2:17" outlineLevel="1">
      <c r="C165" s="5" t="s">
        <v>239</v>
      </c>
      <c r="E165" s="37"/>
      <c r="H165" s="454">
        <f>+SUMIF('Detailed Model (LCY)'!$J$4:$XFD$4,'Macro Model (LCY)'!H$3,'Detailed Model (LCY)'!$J238:$XFD238)</f>
        <v>-1350000</v>
      </c>
      <c r="I165" s="454">
        <f>+SUMIF('Detailed Model (LCY)'!$J$4:$XFD$4,'Macro Model (LCY)'!I$3,'Detailed Model (LCY)'!$J238:$XFD238)</f>
        <v>-911458.33333333349</v>
      </c>
      <c r="J165" s="454">
        <f>+SUMIF('Detailed Model (LCY)'!$J$4:$XFD$4,'Macro Model (LCY)'!J$3,'Detailed Model (LCY)'!$J238:$XFD238)</f>
        <v>-3205439.8148148148</v>
      </c>
      <c r="K165" s="454">
        <f>+SUMIF('Detailed Model (LCY)'!$J$4:$XFD$4,'Macro Model (LCY)'!K$3,'Detailed Model (LCY)'!$J238:$XFD238)</f>
        <v>-1921296.2962962969</v>
      </c>
      <c r="L165" s="454">
        <f>+SUMIF('Detailed Model (LCY)'!$J$4:$XFD$4,'Macro Model (LCY)'!L$3,'Detailed Model (LCY)'!$J238:$XFD238)</f>
        <v>-2766851.8518518521</v>
      </c>
      <c r="M165" s="454">
        <f>+SUMIF('Detailed Model (LCY)'!$J$4:$XFD$4,'Macro Model (LCY)'!M$3,'Detailed Model (LCY)'!$J238:$XFD238)</f>
        <v>-2900000.0000000014</v>
      </c>
      <c r="N165" s="454">
        <f>+SUMIF('Detailed Model (LCY)'!$J$4:$XFD$4,'Macro Model (LCY)'!N$3,'Detailed Model (LCY)'!$J238:$XFD238)</f>
        <v>-2846296.296296299</v>
      </c>
      <c r="O165" s="454">
        <f>+SUMIF('Detailed Model (LCY)'!$J$4:$XFD$4,'Macro Model (LCY)'!O$3,'Detailed Model (LCY)'!$J238:$XFD238)</f>
        <v>-2871296.2962963004</v>
      </c>
      <c r="P165" s="454">
        <f>+SUMIF('Detailed Model (LCY)'!$J$4:$XFD$4,'Macro Model (LCY)'!P$3,'Detailed Model (LCY)'!$J238:$XFD238)</f>
        <v>-2928703.7037037089</v>
      </c>
      <c r="Q165" s="454">
        <f>+SUMIF('Detailed Model (LCY)'!$J$4:$XFD$4,'Macro Model (LCY)'!Q$3,'Detailed Model (LCY)'!$J238:$XFD238)</f>
        <v>-3258611.111111118</v>
      </c>
    </row>
    <row r="166" spans="2:17" outlineLevel="1">
      <c r="C166" s="5" t="s">
        <v>240</v>
      </c>
      <c r="E166" s="37"/>
      <c r="H166" s="454">
        <f ca="1">+SUMIF('Detailed Model (LCY)'!$J$4:$XFD$4,'Macro Model (LCY)'!H$3,'Detailed Model (LCY)'!$J239:$XFD239)</f>
        <v>-1873864.5505814203</v>
      </c>
      <c r="I166" s="454">
        <f ca="1">+SUMIF('Detailed Model (LCY)'!$J$4:$XFD$4,'Macro Model (LCY)'!I$3,'Detailed Model (LCY)'!$J239:$XFD239)</f>
        <v>-1329658.3632504293</v>
      </c>
      <c r="J166" s="454">
        <f ca="1">+SUMIF('Detailed Model (LCY)'!$J$4:$XFD$4,'Macro Model (LCY)'!J$3,'Detailed Model (LCY)'!$J239:$XFD239)</f>
        <v>-210705.38752500829</v>
      </c>
      <c r="K166" s="454">
        <f ca="1">+SUMIF('Detailed Model (LCY)'!$J$4:$XFD$4,'Macro Model (LCY)'!K$3,'Detailed Model (LCY)'!$J239:$XFD239)</f>
        <v>-1762826.3308932309</v>
      </c>
      <c r="L166" s="454">
        <f ca="1">+SUMIF('Detailed Model (LCY)'!$J$4:$XFD$4,'Macro Model (LCY)'!L$3,'Detailed Model (LCY)'!$J239:$XFD239)</f>
        <v>-2610415.0565687753</v>
      </c>
      <c r="M166" s="454">
        <f ca="1">+SUMIF('Detailed Model (LCY)'!$J$4:$XFD$4,'Macro Model (LCY)'!M$3,'Detailed Model (LCY)'!$J239:$XFD239)</f>
        <v>-3570291.1008093958</v>
      </c>
      <c r="N166" s="454">
        <f ca="1">+SUMIF('Detailed Model (LCY)'!$J$4:$XFD$4,'Macro Model (LCY)'!N$3,'Detailed Model (LCY)'!$J239:$XFD239)</f>
        <v>-4281968.2610919653</v>
      </c>
      <c r="O166" s="454">
        <f ca="1">+SUMIF('Detailed Model (LCY)'!$J$4:$XFD$4,'Macro Model (LCY)'!O$3,'Detailed Model (LCY)'!$J239:$XFD239)</f>
        <v>-4474096.3643213799</v>
      </c>
      <c r="P166" s="454">
        <f ca="1">+SUMIF('Detailed Model (LCY)'!$J$4:$XFD$4,'Macro Model (LCY)'!P$3,'Detailed Model (LCY)'!$J239:$XFD239)</f>
        <v>-4481489.3383617615</v>
      </c>
      <c r="Q166" s="454">
        <f ca="1">+SUMIF('Detailed Model (LCY)'!$J$4:$XFD$4,'Macro Model (LCY)'!Q$3,'Detailed Model (LCY)'!$J239:$XFD239)</f>
        <v>-4351415.7410584278</v>
      </c>
    </row>
    <row r="167" spans="2:17" outlineLevel="1">
      <c r="C167" s="37"/>
      <c r="E167" s="37"/>
      <c r="H167" s="150"/>
      <c r="I167" s="150"/>
      <c r="J167" s="150"/>
      <c r="K167" s="150"/>
      <c r="L167" s="150"/>
      <c r="M167" s="150"/>
      <c r="N167" s="150"/>
      <c r="O167" s="150"/>
      <c r="P167" s="150"/>
      <c r="Q167" s="150"/>
    </row>
    <row r="168" spans="2:17" ht="14.4" outlineLevel="1" thickBot="1">
      <c r="C168" s="77" t="s">
        <v>14</v>
      </c>
      <c r="D168" s="77"/>
      <c r="E168" s="77"/>
      <c r="F168" s="77"/>
      <c r="G168" s="77"/>
      <c r="H168" s="361">
        <f t="shared" ref="H168:Q168" ca="1" si="33">SUM(H153:H166)</f>
        <v>10518825.749797763</v>
      </c>
      <c r="I168" s="361">
        <f t="shared" ca="1" si="33"/>
        <v>1678623.1536511332</v>
      </c>
      <c r="J168" s="361">
        <f t="shared" ca="1" si="33"/>
        <v>22225514.746453505</v>
      </c>
      <c r="K168" s="361">
        <f t="shared" ca="1" si="33"/>
        <v>11623984.694787122</v>
      </c>
      <c r="L168" s="361">
        <f t="shared" ca="1" si="33"/>
        <v>11482247.507261021</v>
      </c>
      <c r="M168" s="361">
        <f t="shared" ca="1" si="33"/>
        <v>11292638.289081497</v>
      </c>
      <c r="N168" s="361">
        <f t="shared" ca="1" si="33"/>
        <v>11944376.13589308</v>
      </c>
      <c r="O168" s="361">
        <f t="shared" ca="1" si="33"/>
        <v>16707983.451476038</v>
      </c>
      <c r="P168" s="361">
        <f t="shared" ca="1" si="33"/>
        <v>19418349.827443972</v>
      </c>
      <c r="Q168" s="361">
        <f t="shared" ca="1" si="33"/>
        <v>25110011.067564216</v>
      </c>
    </row>
    <row r="169" spans="2:17" ht="14.4" thickTop="1">
      <c r="C169" s="37"/>
      <c r="D169" s="37"/>
      <c r="E169" s="37"/>
      <c r="H169" s="150"/>
      <c r="I169" s="150"/>
      <c r="J169" s="150"/>
      <c r="K169" s="150"/>
      <c r="L169" s="150"/>
      <c r="M169" s="150"/>
      <c r="N169" s="150"/>
      <c r="O169" s="150"/>
      <c r="P169" s="150"/>
      <c r="Q169" s="150"/>
    </row>
    <row r="170" spans="2:17">
      <c r="B170" s="6" t="s">
        <v>242</v>
      </c>
      <c r="C170" s="37"/>
      <c r="D170" s="37"/>
      <c r="E170" s="37"/>
      <c r="H170" s="150"/>
      <c r="I170" s="150"/>
      <c r="J170" s="150"/>
      <c r="K170" s="150"/>
      <c r="L170" s="150"/>
      <c r="M170" s="150"/>
      <c r="N170" s="150"/>
      <c r="O170" s="150"/>
      <c r="P170" s="150"/>
      <c r="Q170" s="150"/>
    </row>
    <row r="171" spans="2:17" outlineLevel="1">
      <c r="C171" s="9" t="s">
        <v>243</v>
      </c>
      <c r="D171" s="37"/>
      <c r="E171" s="37"/>
      <c r="H171" s="150">
        <f t="shared" ref="H171:M171" si="34">H173+H175</f>
        <v>20000000</v>
      </c>
      <c r="I171" s="150">
        <f t="shared" si="34"/>
        <v>3000000</v>
      </c>
      <c r="J171" s="150">
        <f t="shared" si="34"/>
        <v>35000000</v>
      </c>
      <c r="K171" s="150">
        <f t="shared" si="34"/>
        <v>0</v>
      </c>
      <c r="L171" s="150">
        <f t="shared" si="34"/>
        <v>12000000</v>
      </c>
      <c r="M171" s="150">
        <f t="shared" si="34"/>
        <v>10000000</v>
      </c>
      <c r="N171" s="150">
        <f>N173+N175</f>
        <v>10000000</v>
      </c>
      <c r="O171" s="150">
        <f>O173+O175</f>
        <v>10000000</v>
      </c>
      <c r="P171" s="150">
        <f>P173+P175</f>
        <v>10000000</v>
      </c>
      <c r="Q171" s="150">
        <f>Q173+Q175</f>
        <v>13000000</v>
      </c>
    </row>
    <row r="172" spans="2:17" outlineLevel="1">
      <c r="C172" s="207" t="s">
        <v>244</v>
      </c>
      <c r="D172" s="85"/>
      <c r="E172" s="85"/>
      <c r="F172" s="120"/>
      <c r="G172" s="120"/>
      <c r="H172" s="359">
        <f>SUM($H171:H171)</f>
        <v>20000000</v>
      </c>
      <c r="I172" s="359">
        <f>SUM($H171:I171)</f>
        <v>23000000</v>
      </c>
      <c r="J172" s="359">
        <f>SUM($H171:J171)</f>
        <v>58000000</v>
      </c>
      <c r="K172" s="359">
        <f>SUM($H171:K171)</f>
        <v>58000000</v>
      </c>
      <c r="L172" s="359">
        <f>SUM($H171:L171)</f>
        <v>70000000</v>
      </c>
      <c r="M172" s="359">
        <f>SUM($H171:M171)</f>
        <v>80000000</v>
      </c>
      <c r="N172" s="359">
        <f>SUM($H171:N171)</f>
        <v>90000000</v>
      </c>
      <c r="O172" s="359">
        <f>SUM($H171:O171)</f>
        <v>100000000</v>
      </c>
      <c r="P172" s="359">
        <f>SUM($H171:P171)</f>
        <v>110000000</v>
      </c>
      <c r="Q172" s="359">
        <f>SUM($H171:Q171)</f>
        <v>123000000</v>
      </c>
    </row>
    <row r="173" spans="2:17" outlineLevel="1">
      <c r="C173" s="206" t="s">
        <v>245</v>
      </c>
      <c r="D173" s="85"/>
      <c r="E173" s="85"/>
      <c r="F173" s="120"/>
      <c r="G173" s="120"/>
      <c r="H173" s="462">
        <f>+SUMIF('Detailed Model (LCY)'!$J$4:$XFD$4,'Macro Model (LCY)'!H$3,'Detailed Model (LCY)'!$J215:$XFD215)</f>
        <v>10000000</v>
      </c>
      <c r="I173" s="462">
        <f>+SUMIF('Detailed Model (LCY)'!$J$4:$XFD$4,'Macro Model (LCY)'!I$3,'Detailed Model (LCY)'!$J215:$XFD215)</f>
        <v>0</v>
      </c>
      <c r="J173" s="462">
        <f>+SUMIF('Detailed Model (LCY)'!$J$4:$XFD$4,'Macro Model (LCY)'!J$3,'Detailed Model (LCY)'!$J215:$XFD215)</f>
        <v>25000000</v>
      </c>
      <c r="K173" s="462">
        <f>+SUMIF('Detailed Model (LCY)'!$J$4:$XFD$4,'Macro Model (LCY)'!K$3,'Detailed Model (LCY)'!$J215:$XFD215)</f>
        <v>0</v>
      </c>
      <c r="L173" s="462">
        <f>+SUMIF('Detailed Model (LCY)'!$J$4:$XFD$4,'Macro Model (LCY)'!L$3,'Detailed Model (LCY)'!$J215:$XFD215)</f>
        <v>12000000</v>
      </c>
      <c r="M173" s="462">
        <f>+SUMIF('Detailed Model (LCY)'!$J$4:$XFD$4,'Macro Model (LCY)'!M$3,'Detailed Model (LCY)'!$J215:$XFD215)</f>
        <v>10000000</v>
      </c>
      <c r="N173" s="462">
        <f>+SUMIF('Detailed Model (LCY)'!$J$4:$XFD$4,'Macro Model (LCY)'!N$3,'Detailed Model (LCY)'!$J215:$XFD215)</f>
        <v>10000000</v>
      </c>
      <c r="O173" s="462">
        <f>+SUMIF('Detailed Model (LCY)'!$J$4:$XFD$4,'Macro Model (LCY)'!O$3,'Detailed Model (LCY)'!$J215:$XFD215)</f>
        <v>10000000</v>
      </c>
      <c r="P173" s="462">
        <f>+SUMIF('Detailed Model (LCY)'!$J$4:$XFD$4,'Macro Model (LCY)'!P$3,'Detailed Model (LCY)'!$J215:$XFD215)</f>
        <v>10000000</v>
      </c>
      <c r="Q173" s="462">
        <f>+SUMIF('Detailed Model (LCY)'!$J$4:$XFD$4,'Macro Model (LCY)'!Q$3,'Detailed Model (LCY)'!$J215:$XFD215)</f>
        <v>13000000</v>
      </c>
    </row>
    <row r="174" spans="2:17" outlineLevel="1">
      <c r="C174" s="208" t="s">
        <v>244</v>
      </c>
      <c r="D174" s="68"/>
      <c r="E174" s="68"/>
      <c r="F174" s="56"/>
      <c r="H174" s="143">
        <f>SUM($H173:H173)</f>
        <v>10000000</v>
      </c>
      <c r="I174" s="143">
        <f>SUM($H173:I173)</f>
        <v>10000000</v>
      </c>
      <c r="J174" s="143">
        <f>SUM($H173:J173)</f>
        <v>35000000</v>
      </c>
      <c r="K174" s="143">
        <f>SUM($H173:K173)</f>
        <v>35000000</v>
      </c>
      <c r="L174" s="143">
        <f>SUM($H173:L173)</f>
        <v>47000000</v>
      </c>
      <c r="M174" s="143">
        <f>SUM($H173:M173)</f>
        <v>57000000</v>
      </c>
      <c r="N174" s="143">
        <f>SUM($H173:N173)</f>
        <v>67000000</v>
      </c>
      <c r="O174" s="143">
        <f>SUM($H173:O173)</f>
        <v>77000000</v>
      </c>
      <c r="P174" s="143">
        <f>SUM($H173:P173)</f>
        <v>87000000</v>
      </c>
      <c r="Q174" s="143">
        <f>SUM($H173:Q173)</f>
        <v>100000000</v>
      </c>
    </row>
    <row r="175" spans="2:17" outlineLevel="1">
      <c r="C175" s="121" t="s">
        <v>246</v>
      </c>
      <c r="D175" s="68"/>
      <c r="E175" s="68"/>
      <c r="F175" s="56"/>
      <c r="G175" s="56"/>
      <c r="H175" s="463">
        <f>+SUMIF('Detailed Model (LCY)'!$J$4:$XFD$4,'Macro Model (LCY)'!H$3,'Detailed Model (LCY)'!$J214:$XFD214)+SUMIF('Detailed Model (LCY)'!$J$4:$XFD$4,'Macro Model (LCY)'!H$3,'Detailed Model (LCY)'!$J131:$XFD131)</f>
        <v>10000000</v>
      </c>
      <c r="I175" s="463">
        <f>+SUMIF('Detailed Model (LCY)'!$J$4:$XFD$4,'Macro Model (LCY)'!I$3,'Detailed Model (LCY)'!$J214:$XFD214)+SUMIF('Detailed Model (LCY)'!$J$4:$XFD$4,'Macro Model (LCY)'!I$3,'Detailed Model (LCY)'!$J131:$XFD131)</f>
        <v>3000000</v>
      </c>
      <c r="J175" s="463">
        <f>+SUMIF('Detailed Model (LCY)'!$J$4:$XFD$4,'Macro Model (LCY)'!J$3,'Detailed Model (LCY)'!$J214:$XFD214)+SUMIF('Detailed Model (LCY)'!$J$4:$XFD$4,'Macro Model (LCY)'!J$3,'Detailed Model (LCY)'!$J131:$XFD131)</f>
        <v>10000000</v>
      </c>
      <c r="K175" s="463">
        <f>+SUMIF('Detailed Model (LCY)'!$J$4:$XFD$4,'Macro Model (LCY)'!K$3,'Detailed Model (LCY)'!$J214:$XFD214)+SUMIF('Detailed Model (LCY)'!$J$4:$XFD$4,'Macro Model (LCY)'!K$3,'Detailed Model (LCY)'!$J131:$XFD131)</f>
        <v>0</v>
      </c>
      <c r="L175" s="463">
        <f>+SUMIF('Detailed Model (LCY)'!$J$4:$XFD$4,'Macro Model (LCY)'!L$3,'Detailed Model (LCY)'!$J214:$XFD214)+SUMIF('Detailed Model (LCY)'!$J$4:$XFD$4,'Macro Model (LCY)'!L$3,'Detailed Model (LCY)'!$J131:$XFD131)</f>
        <v>0</v>
      </c>
      <c r="M175" s="463">
        <f>+SUMIF('Detailed Model (LCY)'!$J$4:$XFD$4,'Macro Model (LCY)'!M$3,'Detailed Model (LCY)'!$J214:$XFD214)+SUMIF('Detailed Model (LCY)'!$J$4:$XFD$4,'Macro Model (LCY)'!M$3,'Detailed Model (LCY)'!$J131:$XFD131)</f>
        <v>0</v>
      </c>
      <c r="N175" s="463">
        <f>+SUMIF('Detailed Model (LCY)'!$J$4:$XFD$4,'Macro Model (LCY)'!N$3,'Detailed Model (LCY)'!$J214:$XFD214)+SUMIF('Detailed Model (LCY)'!$J$4:$XFD$4,'Macro Model (LCY)'!N$3,'Detailed Model (LCY)'!$J131:$XFD131)</f>
        <v>0</v>
      </c>
      <c r="O175" s="463">
        <f>+SUMIF('Detailed Model (LCY)'!$J$4:$XFD$4,'Macro Model (LCY)'!O$3,'Detailed Model (LCY)'!$J214:$XFD214)+SUMIF('Detailed Model (LCY)'!$J$4:$XFD$4,'Macro Model (LCY)'!O$3,'Detailed Model (LCY)'!$J131:$XFD131)</f>
        <v>0</v>
      </c>
      <c r="P175" s="463">
        <f>+SUMIF('Detailed Model (LCY)'!$J$4:$XFD$4,'Macro Model (LCY)'!P$3,'Detailed Model (LCY)'!$J214:$XFD214)+SUMIF('Detailed Model (LCY)'!$J$4:$XFD$4,'Macro Model (LCY)'!P$3,'Detailed Model (LCY)'!$J131:$XFD131)</f>
        <v>0</v>
      </c>
      <c r="Q175" s="463">
        <f>+SUMIF('Detailed Model (LCY)'!$J$4:$XFD$4,'Macro Model (LCY)'!Q$3,'Detailed Model (LCY)'!$J214:$XFD214)+SUMIF('Detailed Model (LCY)'!$J$4:$XFD$4,'Macro Model (LCY)'!Q$3,'Detailed Model (LCY)'!$J131:$XFD131)</f>
        <v>0</v>
      </c>
    </row>
    <row r="176" spans="2:17" outlineLevel="1">
      <c r="C176" s="208" t="s">
        <v>244</v>
      </c>
      <c r="D176" s="68"/>
      <c r="E176" s="68"/>
      <c r="F176" s="56"/>
      <c r="G176" s="56"/>
      <c r="H176" s="360">
        <f>SUM($H175:H175)</f>
        <v>10000000</v>
      </c>
      <c r="I176" s="360">
        <f>SUM($H175:I175)</f>
        <v>13000000</v>
      </c>
      <c r="J176" s="360">
        <f>SUM($H175:J175)</f>
        <v>23000000</v>
      </c>
      <c r="K176" s="360">
        <f>SUM($H175:K175)</f>
        <v>23000000</v>
      </c>
      <c r="L176" s="360">
        <f>SUM($H175:L175)</f>
        <v>23000000</v>
      </c>
      <c r="M176" s="360">
        <f>SUM($H175:M175)</f>
        <v>23000000</v>
      </c>
      <c r="N176" s="360">
        <f>SUM($H175:N175)</f>
        <v>23000000</v>
      </c>
      <c r="O176" s="360">
        <f>SUM($H175:O175)</f>
        <v>23000000</v>
      </c>
      <c r="P176" s="360">
        <f>SUM($H175:P175)</f>
        <v>23000000</v>
      </c>
      <c r="Q176" s="360">
        <f>SUM($H175:Q175)</f>
        <v>23000000</v>
      </c>
    </row>
    <row r="177" spans="2:20" outlineLevel="1">
      <c r="C177" s="9"/>
      <c r="D177" s="37"/>
      <c r="E177" s="37"/>
      <c r="H177" s="353"/>
      <c r="I177" s="353"/>
      <c r="J177" s="353"/>
      <c r="K177" s="353"/>
      <c r="L177" s="353"/>
      <c r="M177" s="353"/>
      <c r="N177" s="353"/>
      <c r="O177" s="353"/>
      <c r="P177" s="353"/>
      <c r="Q177" s="353"/>
    </row>
    <row r="178" spans="2:20">
      <c r="C178" s="37"/>
      <c r="D178" s="37"/>
      <c r="E178" s="37"/>
      <c r="H178" s="150"/>
      <c r="I178" s="150"/>
      <c r="J178" s="150"/>
      <c r="K178" s="150"/>
      <c r="L178" s="150"/>
      <c r="M178" s="150"/>
      <c r="N178" s="150"/>
      <c r="O178" s="150"/>
      <c r="P178" s="150"/>
      <c r="Q178" s="150"/>
    </row>
    <row r="179" spans="2:20">
      <c r="B179" s="6" t="s">
        <v>102</v>
      </c>
      <c r="D179" s="390" t="s">
        <v>461</v>
      </c>
      <c r="E179" s="62" t="s">
        <v>478</v>
      </c>
      <c r="H179" s="150"/>
      <c r="I179" s="150"/>
      <c r="J179" s="150"/>
      <c r="K179" s="150"/>
      <c r="L179" s="150"/>
      <c r="M179" s="150"/>
      <c r="N179" s="150"/>
      <c r="O179" s="150"/>
      <c r="P179" s="150"/>
      <c r="Q179" s="150"/>
    </row>
    <row r="180" spans="2:20" outlineLevel="1">
      <c r="C180" s="14"/>
      <c r="H180" s="150"/>
      <c r="I180" s="150"/>
      <c r="J180" s="150"/>
      <c r="K180" s="150"/>
      <c r="L180" s="150"/>
      <c r="M180" s="150"/>
      <c r="N180" s="150"/>
      <c r="O180" s="150"/>
      <c r="P180" s="150"/>
      <c r="Q180" s="150"/>
    </row>
    <row r="181" spans="2:20" outlineLevel="1">
      <c r="C181" s="14" t="s">
        <v>111</v>
      </c>
      <c r="D181" s="30"/>
      <c r="E181" s="30"/>
      <c r="H181" s="92"/>
      <c r="I181" s="92"/>
      <c r="J181" s="92"/>
      <c r="K181" s="92"/>
      <c r="L181" s="92"/>
      <c r="M181" s="92"/>
      <c r="N181" s="92"/>
      <c r="O181" s="92"/>
      <c r="P181" s="92"/>
      <c r="Q181" s="92"/>
    </row>
    <row r="182" spans="2:20" outlineLevel="1">
      <c r="C182" s="84" t="s">
        <v>95</v>
      </c>
      <c r="E182" s="30"/>
      <c r="G182" s="592">
        <f>IF($D$179="cash basis",+'Detailed Model (LCY)'!I249,+'Detailed Model (LCY)'!I273)</f>
        <v>300000</v>
      </c>
      <c r="H182" s="454">
        <f ca="1">IF($D$179="cash basis",+'Detailed Model (LCY)'!U249,+'Detailed Model (LCY)'!U273)</f>
        <v>10518825.749797752</v>
      </c>
      <c r="I182" s="454">
        <f ca="1">IF($D$179="cash basis",+'Detailed Model (LCY)'!AG249,+'Detailed Model (LCY)'!AG273)</f>
        <v>1678623.1536511304</v>
      </c>
      <c r="J182" s="454">
        <f ca="1">IF($D$179="cash basis",+'Detailed Model (LCY)'!AS249,+'Detailed Model (LCY)'!AS273)</f>
        <v>22225514.746453498</v>
      </c>
      <c r="K182" s="454">
        <f ca="1">IF($D$179="cash basis",+'Detailed Model (LCY)'!BE249,+'Detailed Model (LCY)'!BE273)</f>
        <v>11623984.694787113</v>
      </c>
      <c r="L182" s="454">
        <f ca="1">IF($D$179="cash basis",+'Detailed Model (LCY)'!BQ249,+'Detailed Model (LCY)'!BQ273)</f>
        <v>11482247.507261034</v>
      </c>
      <c r="M182" s="454">
        <f ca="1">IF($D$179="cash basis",+'Detailed Model (LCY)'!CC249,+'Detailed Model (LCY)'!CC273)</f>
        <v>11292638.28908148</v>
      </c>
      <c r="N182" s="454">
        <f ca="1">IF($D$179="cash basis",+'Detailed Model (LCY)'!CO249,+'Detailed Model (LCY)'!CO273)</f>
        <v>11944376.135893069</v>
      </c>
      <c r="O182" s="454">
        <f ca="1">IF($D$179="cash basis",+'Detailed Model (LCY)'!DA249,+'Detailed Model (LCY)'!DA273)</f>
        <v>16707983.451476036</v>
      </c>
      <c r="P182" s="454">
        <f ca="1">IF($D$179="cash basis",+'Detailed Model (LCY)'!DM249,+'Detailed Model (LCY)'!DM273)</f>
        <v>19418349.827443976</v>
      </c>
      <c r="Q182" s="454">
        <f ca="1">IF($D$179="cash basis",+'Detailed Model (LCY)'!DY249,+'Detailed Model (LCY)'!DY273)</f>
        <v>25110011.067564227</v>
      </c>
      <c r="R182" s="25"/>
      <c r="S182" s="25"/>
      <c r="T182" s="25"/>
    </row>
    <row r="183" spans="2:20" outlineLevel="1">
      <c r="C183" s="84" t="s">
        <v>96</v>
      </c>
      <c r="E183" s="30"/>
      <c r="G183" s="592">
        <f>IF($D$179="cash basis",+'Detailed Model (LCY)'!I250,+'Detailed Model (LCY)'!I274)</f>
        <v>500000</v>
      </c>
      <c r="H183" s="454">
        <f ca="1">IF($D$179="cash basis",+'Detailed Model (LCY)'!U250,+'Detailed Model (LCY)'!U274)</f>
        <v>1395949.5800157739</v>
      </c>
      <c r="I183" s="454">
        <f ca="1">IF($D$179="cash basis",+'Detailed Model (LCY)'!AG250,+'Detailed Model (LCY)'!AG274)</f>
        <v>2721899.5921015358</v>
      </c>
      <c r="J183" s="454">
        <f ca="1">IF($D$179="cash basis",+'Detailed Model (LCY)'!AS250,+'Detailed Model (LCY)'!AS274)</f>
        <v>4599596.0043303473</v>
      </c>
      <c r="K183" s="454">
        <f ca="1">IF($D$179="cash basis",+'Detailed Model (LCY)'!BE250,+'Detailed Model (LCY)'!BE274)</f>
        <v>7174935.4642559383</v>
      </c>
      <c r="L183" s="454">
        <f ca="1">IF($D$179="cash basis",+'Detailed Model (LCY)'!BQ250,+'Detailed Model (LCY)'!BQ274)</f>
        <v>10104017.17886447</v>
      </c>
      <c r="M183" s="454">
        <f ca="1">IF($D$179="cash basis",+'Detailed Model (LCY)'!CC250,+'Detailed Model (LCY)'!CC274)</f>
        <v>11879477.213523537</v>
      </c>
      <c r="N183" s="454">
        <f ca="1">IF($D$179="cash basis",+'Detailed Model (LCY)'!CO250,+'Detailed Model (LCY)'!CO274)</f>
        <v>13767403.960720472</v>
      </c>
      <c r="O183" s="454">
        <f ca="1">IF($D$179="cash basis",+'Detailed Model (LCY)'!DA250,+'Detailed Model (LCY)'!DA274)</f>
        <v>15651657.669657039</v>
      </c>
      <c r="P183" s="454">
        <f ca="1">IF($D$179="cash basis",+'Detailed Model (LCY)'!DM250,+'Detailed Model (LCY)'!DM274)</f>
        <v>17537092.791753992</v>
      </c>
      <c r="Q183" s="454">
        <f ca="1">IF($D$179="cash basis",+'Detailed Model (LCY)'!DY250,+'Detailed Model (LCY)'!DY274)</f>
        <v>19423934.419815768</v>
      </c>
      <c r="R183" s="25"/>
      <c r="S183" s="25"/>
      <c r="T183" s="25"/>
    </row>
    <row r="184" spans="2:20" outlineLevel="1">
      <c r="C184" s="84" t="s">
        <v>97</v>
      </c>
      <c r="E184" s="30"/>
      <c r="G184" s="592">
        <f>IF($D$179="cash basis",+'Detailed Model (LCY)'!I251,+'Detailed Model (LCY)'!I275)</f>
        <v>800000</v>
      </c>
      <c r="H184" s="454">
        <f ca="1">IF($D$179="cash basis",+'Detailed Model (LCY)'!U251,+'Detailed Model (LCY)'!U275)</f>
        <v>12168980.334703812</v>
      </c>
      <c r="I184" s="454">
        <f ca="1">IF($D$179="cash basis",+'Detailed Model (LCY)'!AG251,+'Detailed Model (LCY)'!AG275)</f>
        <v>23171277.235064108</v>
      </c>
      <c r="J184" s="454">
        <f ca="1">IF($D$179="cash basis",+'Detailed Model (LCY)'!AS251,+'Detailed Model (LCY)'!AS275)</f>
        <v>36306516.285373963</v>
      </c>
      <c r="K184" s="454">
        <f ca="1">IF($D$179="cash basis",+'Detailed Model (LCY)'!BE251,+'Detailed Model (LCY)'!BE275)</f>
        <v>54081057.158026733</v>
      </c>
      <c r="L184" s="454">
        <f ca="1">IF($D$179="cash basis",+'Detailed Model (LCY)'!BQ251,+'Detailed Model (LCY)'!BQ275)</f>
        <v>76818380.264810339</v>
      </c>
      <c r="M184" s="454">
        <f ca="1">IF($D$179="cash basis",+'Detailed Model (LCY)'!CC251,+'Detailed Model (LCY)'!CC275)</f>
        <v>95728158.717983827</v>
      </c>
      <c r="N184" s="454">
        <f ca="1">IF($D$179="cash basis",+'Detailed Model (LCY)'!CO251,+'Detailed Model (LCY)'!CO275)</f>
        <v>108708593.31813177</v>
      </c>
      <c r="O184" s="454">
        <f ca="1">IF($D$179="cash basis",+'Detailed Model (LCY)'!DA251,+'Detailed Model (LCY)'!DA275)</f>
        <v>120290046.64311859</v>
      </c>
      <c r="P184" s="454">
        <f ca="1">IF($D$179="cash basis",+'Detailed Model (LCY)'!DM251,+'Detailed Model (LCY)'!DM275)</f>
        <v>131519111.69428547</v>
      </c>
      <c r="Q184" s="454">
        <f ca="1">IF($D$179="cash basis",+'Detailed Model (LCY)'!DY251,+'Detailed Model (LCY)'!DY275)</f>
        <v>142646432.76764041</v>
      </c>
      <c r="R184" s="25"/>
      <c r="S184" s="25"/>
      <c r="T184" s="25"/>
    </row>
    <row r="185" spans="2:20" outlineLevel="1">
      <c r="C185" s="87" t="s">
        <v>112</v>
      </c>
      <c r="D185" s="69"/>
      <c r="E185" s="69"/>
      <c r="F185" s="69"/>
      <c r="G185" s="240">
        <f>+SUM(G182:G184)</f>
        <v>1600000</v>
      </c>
      <c r="H185" s="240">
        <f t="shared" ref="H185:Q185" ca="1" si="35">+SUM(H182:H184)</f>
        <v>24083755.664517336</v>
      </c>
      <c r="I185" s="240">
        <f t="shared" ca="1" si="35"/>
        <v>27571799.980816774</v>
      </c>
      <c r="J185" s="240">
        <f t="shared" ca="1" si="35"/>
        <v>63131627.036157809</v>
      </c>
      <c r="K185" s="240">
        <f t="shared" ca="1" si="35"/>
        <v>72879977.317069784</v>
      </c>
      <c r="L185" s="240">
        <f t="shared" ca="1" si="35"/>
        <v>98404644.950935841</v>
      </c>
      <c r="M185" s="240">
        <f t="shared" ca="1" si="35"/>
        <v>118900274.22058885</v>
      </c>
      <c r="N185" s="240">
        <f t="shared" ca="1" si="35"/>
        <v>134420373.41474533</v>
      </c>
      <c r="O185" s="240">
        <f t="shared" ca="1" si="35"/>
        <v>152649687.76425165</v>
      </c>
      <c r="P185" s="240">
        <f t="shared" ca="1" si="35"/>
        <v>168474554.31348342</v>
      </c>
      <c r="Q185" s="240">
        <f t="shared" ca="1" si="35"/>
        <v>187180378.25502041</v>
      </c>
      <c r="R185" s="25"/>
      <c r="S185" s="25"/>
      <c r="T185" s="25"/>
    </row>
    <row r="186" spans="2:20" outlineLevel="1">
      <c r="C186" s="120" t="s">
        <v>113</v>
      </c>
      <c r="D186" s="120"/>
      <c r="E186" s="120"/>
      <c r="F186" s="120"/>
      <c r="G186" s="592">
        <f>+'Detailed Model (LCY)'!I253</f>
        <v>100000</v>
      </c>
      <c r="H186" s="454">
        <f>+'Detailed Model (LCY)'!U253</f>
        <v>1177623.1394349011</v>
      </c>
      <c r="I186" s="454">
        <f>+'Detailed Model (LCY)'!AG253</f>
        <v>2058420.5787603895</v>
      </c>
      <c r="J186" s="454">
        <f>+'Detailed Model (LCY)'!AS253</f>
        <v>2778342.1364295809</v>
      </c>
      <c r="K186" s="454">
        <f>+'Detailed Model (LCY)'!BE253</f>
        <v>3366771.4688237999</v>
      </c>
      <c r="L186" s="454">
        <f>+'Detailed Model (LCY)'!BQ253</f>
        <v>3847725.3665552656</v>
      </c>
      <c r="M186" s="454">
        <f>+'Detailed Model (LCY)'!CC253</f>
        <v>4240834.001710996</v>
      </c>
      <c r="N186" s="454">
        <f>+'Detailed Model (LCY)'!CO253</f>
        <v>4562142.1349081695</v>
      </c>
      <c r="O186" s="454">
        <f>+'Detailed Model (LCY)'!DA253</f>
        <v>4824763.9834914627</v>
      </c>
      <c r="P186" s="454">
        <f>+'Detailed Model (LCY)'!DM253</f>
        <v>5039418.4793705996</v>
      </c>
      <c r="Q186" s="454">
        <f>+'Detailed Model (LCY)'!DY253</f>
        <v>5214866.7630898887</v>
      </c>
      <c r="R186" s="25"/>
      <c r="S186" s="25"/>
      <c r="T186" s="25"/>
    </row>
    <row r="187" spans="2:20" ht="14.4" outlineLevel="1" thickBot="1">
      <c r="C187" s="77" t="s">
        <v>98</v>
      </c>
      <c r="D187" s="77"/>
      <c r="E187" s="77"/>
      <c r="F187" s="331"/>
      <c r="G187" s="361">
        <f>+G185+G186</f>
        <v>1700000</v>
      </c>
      <c r="H187" s="361">
        <f t="shared" ref="H187:Q187" ca="1" si="36">+H185+H186</f>
        <v>25261378.803952236</v>
      </c>
      <c r="I187" s="361">
        <f t="shared" ca="1" si="36"/>
        <v>29630220.559577163</v>
      </c>
      <c r="J187" s="361">
        <f t="shared" ca="1" si="36"/>
        <v>65909969.172587387</v>
      </c>
      <c r="K187" s="361">
        <f t="shared" ca="1" si="36"/>
        <v>76246748.785893589</v>
      </c>
      <c r="L187" s="361">
        <f t="shared" ca="1" si="36"/>
        <v>102252370.3174911</v>
      </c>
      <c r="M187" s="361">
        <f t="shared" ca="1" si="36"/>
        <v>123141108.22229984</v>
      </c>
      <c r="N187" s="361">
        <f t="shared" ca="1" si="36"/>
        <v>138982515.5496535</v>
      </c>
      <c r="O187" s="361">
        <f t="shared" ca="1" si="36"/>
        <v>157474451.7477431</v>
      </c>
      <c r="P187" s="361">
        <f t="shared" ca="1" si="36"/>
        <v>173513972.79285401</v>
      </c>
      <c r="Q187" s="361">
        <f t="shared" ca="1" si="36"/>
        <v>192395245.01811031</v>
      </c>
      <c r="R187" s="25"/>
      <c r="S187" s="25"/>
      <c r="T187" s="25"/>
    </row>
    <row r="188" spans="2:20" ht="14.4" outlineLevel="1" thickTop="1">
      <c r="G188" s="150"/>
      <c r="H188" s="150"/>
      <c r="I188" s="150"/>
      <c r="J188" s="150"/>
      <c r="K188" s="150"/>
      <c r="L188" s="150"/>
      <c r="M188" s="150"/>
      <c r="N188" s="150"/>
      <c r="O188" s="150"/>
      <c r="P188" s="150"/>
      <c r="Q188" s="150"/>
      <c r="R188" s="25"/>
      <c r="S188" s="25"/>
      <c r="T188" s="25"/>
    </row>
    <row r="189" spans="2:20" outlineLevel="1">
      <c r="C189" s="37" t="s">
        <v>122</v>
      </c>
      <c r="G189" s="464"/>
      <c r="H189" s="464"/>
      <c r="I189" s="464"/>
      <c r="J189" s="464"/>
      <c r="K189" s="464"/>
      <c r="L189" s="464"/>
      <c r="M189" s="464"/>
      <c r="N189" s="464"/>
      <c r="O189" s="464"/>
      <c r="P189" s="464"/>
      <c r="Q189" s="464"/>
      <c r="R189" s="25"/>
      <c r="S189" s="25"/>
      <c r="T189" s="25"/>
    </row>
    <row r="190" spans="2:20" outlineLevel="1">
      <c r="C190" s="114" t="s">
        <v>99</v>
      </c>
      <c r="D190" s="9"/>
      <c r="E190" s="9"/>
      <c r="G190" s="592">
        <f>IF($D$179="cash basis",+'Detailed Model (LCY)'!I257,+'Detailed Model (LCY)'!I281)</f>
        <v>500000</v>
      </c>
      <c r="H190" s="454">
        <f>IF($D$179="cash basis",+'Detailed Model (LCY)'!U257,+'Detailed Model (LCY)'!U281)</f>
        <v>10500000</v>
      </c>
      <c r="I190" s="454">
        <f>IF($D$179="cash basis",+'Detailed Model (LCY)'!AG257,+'Detailed Model (LCY)'!AG281)</f>
        <v>5500000.0000000009</v>
      </c>
      <c r="J190" s="454">
        <f>IF($D$179="cash basis",+'Detailed Model (LCY)'!AS257,+'Detailed Model (LCY)'!AS281)</f>
        <v>22722222.222222209</v>
      </c>
      <c r="K190" s="454">
        <f>IF($D$179="cash basis",+'Detailed Model (LCY)'!BE257,+'Detailed Model (LCY)'!BE281)</f>
        <v>17166666.666666657</v>
      </c>
      <c r="L190" s="454">
        <f>IF($D$179="cash basis",+'Detailed Model (LCY)'!BQ257,+'Detailed Model (LCY)'!BQ281)</f>
        <v>22277777.777777761</v>
      </c>
      <c r="M190" s="454">
        <f>IF($D$179="cash basis",+'Detailed Model (LCY)'!CC257,+'Detailed Model (LCY)'!CC281)</f>
        <v>22944444.444444425</v>
      </c>
      <c r="N190" s="454">
        <f>IF($D$179="cash basis",+'Detailed Model (LCY)'!CO257,+'Detailed Model (LCY)'!CO281)</f>
        <v>21388888.888888873</v>
      </c>
      <c r="O190" s="454">
        <f>IF($D$179="cash basis",+'Detailed Model (LCY)'!DA257,+'Detailed Model (LCY)'!DA281)</f>
        <v>23166666.666666657</v>
      </c>
      <c r="P190" s="454">
        <f>IF($D$179="cash basis",+'Detailed Model (LCY)'!DM257,+'Detailed Model (LCY)'!DM281)</f>
        <v>22722222.222222224</v>
      </c>
      <c r="Q190" s="454">
        <f>IF($D$179="cash basis",+'Detailed Model (LCY)'!DY257,+'Detailed Model (LCY)'!DY281)</f>
        <v>25388888.888888903</v>
      </c>
      <c r="R190" s="25"/>
      <c r="S190" s="25"/>
      <c r="T190" s="25"/>
    </row>
    <row r="191" spans="2:20" outlineLevel="1">
      <c r="C191" s="121" t="s">
        <v>114</v>
      </c>
      <c r="D191" s="121"/>
      <c r="E191" s="121"/>
      <c r="F191" s="68"/>
      <c r="G191" s="241">
        <f>+G190</f>
        <v>500000</v>
      </c>
      <c r="H191" s="241">
        <f t="shared" ref="H191:Q191" si="37">+H190</f>
        <v>10500000</v>
      </c>
      <c r="I191" s="241">
        <f t="shared" si="37"/>
        <v>5500000.0000000009</v>
      </c>
      <c r="J191" s="241">
        <f t="shared" si="37"/>
        <v>22722222.222222209</v>
      </c>
      <c r="K191" s="241">
        <f t="shared" si="37"/>
        <v>17166666.666666657</v>
      </c>
      <c r="L191" s="241">
        <f t="shared" si="37"/>
        <v>22277777.777777761</v>
      </c>
      <c r="M191" s="241">
        <f t="shared" si="37"/>
        <v>22944444.444444425</v>
      </c>
      <c r="N191" s="241">
        <f t="shared" si="37"/>
        <v>21388888.888888873</v>
      </c>
      <c r="O191" s="241">
        <f t="shared" si="37"/>
        <v>23166666.666666657</v>
      </c>
      <c r="P191" s="241">
        <f t="shared" si="37"/>
        <v>22722222.222222224</v>
      </c>
      <c r="Q191" s="241">
        <f t="shared" si="37"/>
        <v>25388888.888888903</v>
      </c>
      <c r="R191" s="25"/>
      <c r="S191" s="25"/>
      <c r="T191" s="25"/>
    </row>
    <row r="192" spans="2:20" outlineLevel="1">
      <c r="C192" s="9"/>
      <c r="D192" s="9"/>
      <c r="E192" s="9"/>
      <c r="G192" s="150"/>
      <c r="H192" s="150"/>
      <c r="I192" s="150"/>
      <c r="J192" s="150"/>
      <c r="K192" s="150"/>
      <c r="L192" s="150"/>
      <c r="M192" s="150"/>
      <c r="N192" s="150"/>
      <c r="O192" s="150"/>
      <c r="P192" s="150"/>
      <c r="Q192" s="150"/>
      <c r="R192" s="25"/>
      <c r="S192" s="25"/>
      <c r="T192" s="25"/>
    </row>
    <row r="193" spans="2:20" outlineLevel="1">
      <c r="C193" s="10" t="s">
        <v>123</v>
      </c>
      <c r="D193" s="9"/>
      <c r="E193" s="9"/>
      <c r="G193" s="150"/>
      <c r="H193" s="150"/>
      <c r="I193" s="150"/>
      <c r="J193" s="150"/>
      <c r="K193" s="150"/>
      <c r="L193" s="150"/>
      <c r="M193" s="150"/>
      <c r="N193" s="150"/>
      <c r="O193" s="150"/>
      <c r="P193" s="150"/>
      <c r="Q193" s="150"/>
      <c r="R193" s="25"/>
      <c r="S193" s="25"/>
      <c r="T193" s="25"/>
    </row>
    <row r="194" spans="2:20" outlineLevel="1">
      <c r="C194" s="114" t="s">
        <v>100</v>
      </c>
      <c r="D194" s="9"/>
      <c r="E194" s="9"/>
      <c r="G194" s="592">
        <f>IF($D$179="cash basis",+'Detailed Model (LCY)'!I261,+'Detailed Model (LCY)'!I285)</f>
        <v>550000</v>
      </c>
      <c r="H194" s="454">
        <f>IF($D$179="cash basis",+'Detailed Model (LCY)'!U261,+'Detailed Model (LCY)'!U285)</f>
        <v>5550000</v>
      </c>
      <c r="I194" s="454">
        <f>IF($D$179="cash basis",+'Detailed Model (LCY)'!AG261,+'Detailed Model (LCY)'!AG285)</f>
        <v>5550000</v>
      </c>
      <c r="J194" s="454">
        <f>IF($D$179="cash basis",+'Detailed Model (LCY)'!AS261,+'Detailed Model (LCY)'!AS285)</f>
        <v>15550000</v>
      </c>
      <c r="K194" s="454">
        <f>IF($D$179="cash basis",+'Detailed Model (LCY)'!BE261,+'Detailed Model (LCY)'!BE285)</f>
        <v>15550000</v>
      </c>
      <c r="L194" s="454">
        <f>IF($D$179="cash basis",+'Detailed Model (LCY)'!BQ261,+'Detailed Model (LCY)'!BQ285)</f>
        <v>15550000</v>
      </c>
      <c r="M194" s="454">
        <f>IF($D$179="cash basis",+'Detailed Model (LCY)'!CC261,+'Detailed Model (LCY)'!CC285)</f>
        <v>15550000</v>
      </c>
      <c r="N194" s="454">
        <f>IF($D$179="cash basis",+'Detailed Model (LCY)'!CO261,+'Detailed Model (LCY)'!CO285)</f>
        <v>15550000</v>
      </c>
      <c r="O194" s="454">
        <f>IF($D$179="cash basis",+'Detailed Model (LCY)'!DA261,+'Detailed Model (LCY)'!DA285)</f>
        <v>15550000</v>
      </c>
      <c r="P194" s="454">
        <f>IF($D$179="cash basis",+'Detailed Model (LCY)'!DM261,+'Detailed Model (LCY)'!DM285)</f>
        <v>15550000</v>
      </c>
      <c r="Q194" s="454">
        <f>IF($D$179="cash basis",+'Detailed Model (LCY)'!DY261,+'Detailed Model (LCY)'!DY285)</f>
        <v>15550000</v>
      </c>
      <c r="R194" s="25"/>
      <c r="S194" s="25"/>
      <c r="T194" s="25"/>
    </row>
    <row r="195" spans="2:20" outlineLevel="1">
      <c r="C195" s="114" t="s">
        <v>101</v>
      </c>
      <c r="D195" s="9"/>
      <c r="E195" s="9"/>
      <c r="G195" s="592">
        <f>IF($D$179="cash basis",+'Detailed Model (LCY)'!I262,+'Detailed Model (LCY)'!I286)</f>
        <v>650000</v>
      </c>
      <c r="H195" s="454">
        <f ca="1">IF($D$179="cash basis",+'Detailed Model (LCY)'!U262,+'Detailed Model (LCY)'!U286)</f>
        <v>9211378.8039522469</v>
      </c>
      <c r="I195" s="454">
        <f ca="1">IF($D$179="cash basis",+'Detailed Model (LCY)'!AG262,+'Detailed Model (LCY)'!AG286)</f>
        <v>18580220.559577171</v>
      </c>
      <c r="J195" s="454">
        <f ca="1">IF($D$179="cash basis",+'Detailed Model (LCY)'!AS262,+'Detailed Model (LCY)'!AS286)</f>
        <v>27637746.950365152</v>
      </c>
      <c r="K195" s="454">
        <f ca="1">IF($D$179="cash basis",+'Detailed Model (LCY)'!BE262,+'Detailed Model (LCY)'!BE286)</f>
        <v>43530082.119226918</v>
      </c>
      <c r="L195" s="454">
        <f ca="1">IF($D$179="cash basis",+'Detailed Model (LCY)'!BQ262,+'Detailed Model (LCY)'!BQ286)</f>
        <v>64424592.539713331</v>
      </c>
      <c r="M195" s="454">
        <f ca="1">IF($D$179="cash basis",+'Detailed Model (LCY)'!CC262,+'Detailed Model (LCY)'!CC286)</f>
        <v>84646663.777855411</v>
      </c>
      <c r="N195" s="454">
        <f ca="1">IF($D$179="cash basis",+'Detailed Model (LCY)'!CO262,+'Detailed Model (LCY)'!CO286)</f>
        <v>102043626.66076459</v>
      </c>
      <c r="O195" s="454">
        <f ca="1">IF($D$179="cash basis",+'Detailed Model (LCY)'!DA262,+'Detailed Model (LCY)'!DA286)</f>
        <v>118757785.08107643</v>
      </c>
      <c r="P195" s="454">
        <f ca="1">IF($D$179="cash basis",+'Detailed Model (LCY)'!DM262,+'Detailed Model (LCY)'!DM286)</f>
        <v>135241750.57063177</v>
      </c>
      <c r="Q195" s="454">
        <f ca="1">IF($D$179="cash basis",+'Detailed Model (LCY)'!DY262,+'Detailed Model (LCY)'!DY286)</f>
        <v>151456356.12922123</v>
      </c>
      <c r="R195" s="25"/>
      <c r="S195" s="25"/>
      <c r="T195" s="25"/>
    </row>
    <row r="196" spans="2:20" outlineLevel="1">
      <c r="C196" s="68" t="s">
        <v>115</v>
      </c>
      <c r="D196" s="68"/>
      <c r="E196" s="68"/>
      <c r="F196" s="68"/>
      <c r="G196" s="240">
        <f>+SUM(G194:G195)</f>
        <v>1200000</v>
      </c>
      <c r="H196" s="240">
        <f t="shared" ref="H196:Q196" ca="1" si="38">+SUM(H194:H195)</f>
        <v>14761378.803952247</v>
      </c>
      <c r="I196" s="240">
        <f t="shared" ca="1" si="38"/>
        <v>24130220.559577171</v>
      </c>
      <c r="J196" s="240">
        <f t="shared" ca="1" si="38"/>
        <v>43187746.950365156</v>
      </c>
      <c r="K196" s="240">
        <f t="shared" ca="1" si="38"/>
        <v>59080082.119226918</v>
      </c>
      <c r="L196" s="240">
        <f t="shared" ca="1" si="38"/>
        <v>79974592.539713323</v>
      </c>
      <c r="M196" s="240">
        <f t="shared" ca="1" si="38"/>
        <v>100196663.77785541</v>
      </c>
      <c r="N196" s="240">
        <f t="shared" ca="1" si="38"/>
        <v>117593626.66076459</v>
      </c>
      <c r="O196" s="240">
        <f t="shared" ca="1" si="38"/>
        <v>134307785.08107644</v>
      </c>
      <c r="P196" s="240">
        <f t="shared" ca="1" si="38"/>
        <v>150791750.57063177</v>
      </c>
      <c r="Q196" s="240">
        <f t="shared" ca="1" si="38"/>
        <v>167006356.12922123</v>
      </c>
      <c r="R196" s="25"/>
      <c r="S196" s="25"/>
      <c r="T196" s="25"/>
    </row>
    <row r="197" spans="2:20" ht="14.4" outlineLevel="1" thickBot="1">
      <c r="C197" s="77" t="s">
        <v>124</v>
      </c>
      <c r="D197" s="77"/>
      <c r="E197" s="77"/>
      <c r="F197" s="77"/>
      <c r="G197" s="78">
        <f>+G191+G196</f>
        <v>1700000</v>
      </c>
      <c r="H197" s="78">
        <f t="shared" ref="H197:Q197" ca="1" si="39">+H191+H196</f>
        <v>25261378.803952247</v>
      </c>
      <c r="I197" s="78">
        <f t="shared" ca="1" si="39"/>
        <v>29630220.559577171</v>
      </c>
      <c r="J197" s="78">
        <f t="shared" ca="1" si="39"/>
        <v>65909969.172587365</v>
      </c>
      <c r="K197" s="78">
        <f t="shared" ca="1" si="39"/>
        <v>76246748.785893574</v>
      </c>
      <c r="L197" s="78">
        <f t="shared" ca="1" si="39"/>
        <v>102252370.31749108</v>
      </c>
      <c r="M197" s="78">
        <f t="shared" ca="1" si="39"/>
        <v>123141108.22229984</v>
      </c>
      <c r="N197" s="78">
        <f t="shared" ca="1" si="39"/>
        <v>138982515.54965347</v>
      </c>
      <c r="O197" s="78">
        <f t="shared" ca="1" si="39"/>
        <v>157474451.7477431</v>
      </c>
      <c r="P197" s="78">
        <f t="shared" ca="1" si="39"/>
        <v>173513972.79285401</v>
      </c>
      <c r="Q197" s="78">
        <f t="shared" ca="1" si="39"/>
        <v>192395245.01811013</v>
      </c>
      <c r="R197" s="25"/>
      <c r="S197" s="25"/>
      <c r="T197" s="25"/>
    </row>
    <row r="198" spans="2:20" ht="14.4" outlineLevel="1" thickTop="1"/>
    <row r="199" spans="2:20" outlineLevel="1">
      <c r="C199" s="232" t="s">
        <v>528</v>
      </c>
      <c r="D199" s="232"/>
      <c r="E199" s="232"/>
      <c r="F199" s="528">
        <f ca="1">SUM(H199:Q199)</f>
        <v>0</v>
      </c>
      <c r="G199" s="528"/>
      <c r="H199" s="528">
        <f t="shared" ref="H199:Q199" ca="1" si="40">IF(ABS(H187-H197)&lt;tolerance,0,1)</f>
        <v>0</v>
      </c>
      <c r="I199" s="528">
        <f t="shared" ca="1" si="40"/>
        <v>0</v>
      </c>
      <c r="J199" s="528">
        <f t="shared" ca="1" si="40"/>
        <v>0</v>
      </c>
      <c r="K199" s="528">
        <f t="shared" ca="1" si="40"/>
        <v>0</v>
      </c>
      <c r="L199" s="528">
        <f t="shared" ca="1" si="40"/>
        <v>0</v>
      </c>
      <c r="M199" s="528">
        <f t="shared" ca="1" si="40"/>
        <v>0</v>
      </c>
      <c r="N199" s="528">
        <f t="shared" ca="1" si="40"/>
        <v>0</v>
      </c>
      <c r="O199" s="528">
        <f t="shared" ca="1" si="40"/>
        <v>0</v>
      </c>
      <c r="P199" s="528">
        <f t="shared" ca="1" si="40"/>
        <v>0</v>
      </c>
      <c r="Q199" s="528">
        <f t="shared" ca="1" si="40"/>
        <v>0</v>
      </c>
    </row>
    <row r="200" spans="2:20" outlineLevel="1">
      <c r="C200" s="232" t="s">
        <v>531</v>
      </c>
      <c r="D200" s="232"/>
      <c r="E200" s="232"/>
      <c r="F200" s="528">
        <f ca="1">SUM(H200:Q200)</f>
        <v>0</v>
      </c>
      <c r="G200" s="528"/>
      <c r="H200" s="528">
        <f t="shared" ref="H200:Q200" ca="1" si="41">IF(ABS(H145-H168)&lt;tolerance,0,1)</f>
        <v>0</v>
      </c>
      <c r="I200" s="528">
        <f t="shared" ca="1" si="41"/>
        <v>0</v>
      </c>
      <c r="J200" s="528">
        <f t="shared" ca="1" si="41"/>
        <v>0</v>
      </c>
      <c r="K200" s="528">
        <f t="shared" ca="1" si="41"/>
        <v>0</v>
      </c>
      <c r="L200" s="528">
        <f t="shared" ca="1" si="41"/>
        <v>0</v>
      </c>
      <c r="M200" s="528">
        <f t="shared" ca="1" si="41"/>
        <v>0</v>
      </c>
      <c r="N200" s="528">
        <f t="shared" ca="1" si="41"/>
        <v>0</v>
      </c>
      <c r="O200" s="528">
        <f t="shared" ca="1" si="41"/>
        <v>0</v>
      </c>
      <c r="P200" s="528">
        <f t="shared" ca="1" si="41"/>
        <v>0</v>
      </c>
      <c r="Q200" s="528">
        <f t="shared" ca="1" si="41"/>
        <v>0</v>
      </c>
    </row>
    <row r="201" spans="2:20" outlineLevel="1">
      <c r="C201" s="232" t="s">
        <v>529</v>
      </c>
      <c r="D201" s="232"/>
      <c r="E201" s="232"/>
      <c r="F201" s="528">
        <f ca="1">SUM(H201:Q201)</f>
        <v>0</v>
      </c>
      <c r="G201" s="528"/>
      <c r="H201" s="528">
        <f t="shared" ref="H201:Q201" ca="1" si="42">IF(ABS(H168-H182)&lt;tolerance,0,1)</f>
        <v>0</v>
      </c>
      <c r="I201" s="528">
        <f t="shared" ca="1" si="42"/>
        <v>0</v>
      </c>
      <c r="J201" s="528">
        <f t="shared" ca="1" si="42"/>
        <v>0</v>
      </c>
      <c r="K201" s="528">
        <f t="shared" ca="1" si="42"/>
        <v>0</v>
      </c>
      <c r="L201" s="528">
        <f t="shared" ca="1" si="42"/>
        <v>0</v>
      </c>
      <c r="M201" s="528">
        <f t="shared" ca="1" si="42"/>
        <v>0</v>
      </c>
      <c r="N201" s="528">
        <f t="shared" ca="1" si="42"/>
        <v>0</v>
      </c>
      <c r="O201" s="528">
        <f t="shared" ca="1" si="42"/>
        <v>0</v>
      </c>
      <c r="P201" s="528">
        <f t="shared" ca="1" si="42"/>
        <v>0</v>
      </c>
      <c r="Q201" s="528">
        <f t="shared" ca="1" si="42"/>
        <v>0</v>
      </c>
    </row>
    <row r="202" spans="2:20" outlineLevel="1">
      <c r="C202" s="232" t="s">
        <v>530</v>
      </c>
      <c r="D202" s="232"/>
      <c r="E202" s="232"/>
      <c r="F202" s="528">
        <f ca="1">SUM(H202:Q202)</f>
        <v>0</v>
      </c>
      <c r="G202" s="528"/>
      <c r="H202" s="528">
        <f t="shared" ref="H202:Q202" ca="1" si="43">IF(H168&gt;0,0,1)</f>
        <v>0</v>
      </c>
      <c r="I202" s="528">
        <f t="shared" ca="1" si="43"/>
        <v>0</v>
      </c>
      <c r="J202" s="528">
        <f t="shared" ca="1" si="43"/>
        <v>0</v>
      </c>
      <c r="K202" s="528">
        <f t="shared" ca="1" si="43"/>
        <v>0</v>
      </c>
      <c r="L202" s="528">
        <f t="shared" ca="1" si="43"/>
        <v>0</v>
      </c>
      <c r="M202" s="528">
        <f t="shared" ca="1" si="43"/>
        <v>0</v>
      </c>
      <c r="N202" s="528">
        <f t="shared" ca="1" si="43"/>
        <v>0</v>
      </c>
      <c r="O202" s="528">
        <f t="shared" ca="1" si="43"/>
        <v>0</v>
      </c>
      <c r="P202" s="528">
        <f t="shared" ca="1" si="43"/>
        <v>0</v>
      </c>
      <c r="Q202" s="528">
        <f t="shared" ca="1" si="43"/>
        <v>0</v>
      </c>
    </row>
    <row r="204" spans="2:20">
      <c r="B204" s="6" t="s">
        <v>186</v>
      </c>
    </row>
    <row r="205" spans="2:20" outlineLevel="1">
      <c r="B205" s="120" t="s">
        <v>192</v>
      </c>
      <c r="C205" s="120"/>
      <c r="D205" s="120"/>
      <c r="E205" s="120"/>
      <c r="F205" s="120"/>
      <c r="G205" s="120"/>
      <c r="H205" s="120"/>
      <c r="I205" s="120"/>
      <c r="J205" s="120"/>
      <c r="K205" s="120"/>
      <c r="L205" s="120"/>
      <c r="M205" s="120"/>
      <c r="N205" s="120"/>
      <c r="O205" s="120"/>
      <c r="P205" s="120"/>
      <c r="Q205" s="120"/>
    </row>
    <row r="206" spans="2:20" outlineLevel="1">
      <c r="C206" s="5" t="s">
        <v>81</v>
      </c>
      <c r="H206" s="439">
        <f t="shared" ref="H206:Q206" ca="1" si="44">H20</f>
        <v>6527.0415113824702</v>
      </c>
      <c r="I206" s="439">
        <f t="shared" ca="1" si="44"/>
        <v>8255.5530664508296</v>
      </c>
      <c r="J206" s="439">
        <f t="shared" ca="1" si="44"/>
        <v>10655.577440893583</v>
      </c>
      <c r="K206" s="439">
        <f t="shared" ca="1" si="44"/>
        <v>13523.843581929719</v>
      </c>
      <c r="L206" s="439">
        <f t="shared" ca="1" si="44"/>
        <v>17164.997024448832</v>
      </c>
      <c r="M206" s="439">
        <f t="shared" ca="1" si="44"/>
        <v>19234.736652106323</v>
      </c>
      <c r="N206" s="439">
        <f t="shared" ca="1" si="44"/>
        <v>19488.285149429357</v>
      </c>
      <c r="O206" s="439">
        <f t="shared" ca="1" si="44"/>
        <v>19624.508497303366</v>
      </c>
      <c r="P206" s="439">
        <f t="shared" ca="1" si="44"/>
        <v>19644.690428367074</v>
      </c>
      <c r="Q206" s="439">
        <f t="shared" ca="1" si="44"/>
        <v>19655.122837461662</v>
      </c>
    </row>
    <row r="207" spans="2:20" outlineLevel="1">
      <c r="C207" s="5" t="s">
        <v>105</v>
      </c>
      <c r="H207" s="439">
        <f t="shared" ref="H207:Q207" ca="1" si="45">H21</f>
        <v>15527.041511382471</v>
      </c>
      <c r="I207" s="439">
        <f t="shared" ca="1" si="45"/>
        <v>23782.594577833301</v>
      </c>
      <c r="J207" s="439">
        <f t="shared" ca="1" si="45"/>
        <v>34438.17201872688</v>
      </c>
      <c r="K207" s="439">
        <f t="shared" ca="1" si="45"/>
        <v>47962.015600656596</v>
      </c>
      <c r="L207" s="439">
        <f t="shared" ca="1" si="45"/>
        <v>65127.012625105432</v>
      </c>
      <c r="M207" s="439">
        <f t="shared" ca="1" si="45"/>
        <v>84361.74927721174</v>
      </c>
      <c r="N207" s="439">
        <f t="shared" ca="1" si="45"/>
        <v>103850.0344266411</v>
      </c>
      <c r="O207" s="439">
        <f t="shared" ca="1" si="45"/>
        <v>123474.54292394448</v>
      </c>
      <c r="P207" s="439">
        <f t="shared" ca="1" si="45"/>
        <v>143119.23335231157</v>
      </c>
      <c r="Q207" s="439">
        <f t="shared" ca="1" si="45"/>
        <v>162774.35618977324</v>
      </c>
    </row>
    <row r="208" spans="2:20" outlineLevel="1">
      <c r="H208" s="431"/>
      <c r="I208" s="431"/>
      <c r="J208" s="431"/>
      <c r="K208" s="431"/>
      <c r="L208" s="431"/>
      <c r="M208" s="431"/>
      <c r="N208" s="431"/>
      <c r="O208" s="431"/>
      <c r="P208" s="431"/>
      <c r="Q208" s="431"/>
    </row>
    <row r="209" spans="2:17" outlineLevel="1">
      <c r="H209" s="430"/>
      <c r="I209" s="430"/>
      <c r="J209" s="430"/>
      <c r="K209" s="430"/>
      <c r="L209" s="430"/>
      <c r="M209" s="430"/>
      <c r="N209" s="430"/>
      <c r="O209" s="430"/>
      <c r="P209" s="430"/>
      <c r="Q209" s="430"/>
    </row>
    <row r="210" spans="2:17" outlineLevel="1">
      <c r="B210" s="120" t="s">
        <v>193</v>
      </c>
      <c r="C210" s="120"/>
      <c r="D210" s="120"/>
      <c r="E210" s="120"/>
      <c r="F210" s="120"/>
      <c r="G210" s="120"/>
      <c r="H210" s="465"/>
      <c r="I210" s="465"/>
      <c r="J210" s="465"/>
      <c r="K210" s="465"/>
      <c r="L210" s="465"/>
      <c r="M210" s="465"/>
      <c r="N210" s="465"/>
      <c r="O210" s="465"/>
      <c r="P210" s="465"/>
      <c r="Q210" s="465"/>
    </row>
    <row r="211" spans="2:17" outlineLevel="1">
      <c r="C211" s="5" t="str">
        <f>+'Detailed Model (LCY)'!D301</f>
        <v>EBITDA in period (cash basis)</v>
      </c>
      <c r="H211" s="439">
        <f t="shared" ref="H211:M211" ca="1" si="46">+H101</f>
        <v>3729071.3496235888</v>
      </c>
      <c r="I211" s="439">
        <f t="shared" ca="1" si="46"/>
        <v>3510751.9453804954</v>
      </c>
      <c r="J211" s="439">
        <f t="shared" ca="1" si="46"/>
        <v>2555578.7995454315</v>
      </c>
      <c r="K211" s="439">
        <f t="shared" ca="1" si="46"/>
        <v>5875978.6227911245</v>
      </c>
      <c r="L211" s="439">
        <f t="shared" ca="1" si="46"/>
        <v>8729665.6832595319</v>
      </c>
      <c r="M211" s="439">
        <f t="shared" ca="1" si="46"/>
        <v>11110908.329367552</v>
      </c>
      <c r="N211" s="439">
        <f ca="1">+N101</f>
        <v>12822255.72424357</v>
      </c>
      <c r="O211" s="439">
        <f ca="1">+O101</f>
        <v>13361210.275258122</v>
      </c>
      <c r="P211" s="439">
        <f ca="1">+P101</f>
        <v>13479616.669592546</v>
      </c>
      <c r="Q211" s="439">
        <f ca="1">+Q101</f>
        <v>13521737.743704107</v>
      </c>
    </row>
    <row r="212" spans="2:17" outlineLevel="1">
      <c r="C212" s="5" t="str">
        <f>+'Detailed Model (LCY)'!D302</f>
        <v>Net income in period (cash basis)</v>
      </c>
      <c r="H212" s="439">
        <f t="shared" ref="H212:M212" ca="1" si="47">+H115</f>
        <v>382829.93847706914</v>
      </c>
      <c r="I212" s="439">
        <f ca="1">+I115</f>
        <v>950432.68812222127</v>
      </c>
      <c r="J212" s="439">
        <f t="shared" ca="1" si="47"/>
        <v>-1340644.8451252005</v>
      </c>
      <c r="K212" s="439">
        <f t="shared" ca="1" si="47"/>
        <v>1580285.3279958155</v>
      </c>
      <c r="L212" s="439">
        <f t="shared" ca="1" si="47"/>
        <v>2633352.6725703701</v>
      </c>
      <c r="M212" s="439">
        <f t="shared" ca="1" si="47"/>
        <v>3833725.8637138861</v>
      </c>
      <c r="N212" s="439">
        <f ca="1">+N115</f>
        <v>4815299.3000524798</v>
      </c>
      <c r="O212" s="439">
        <f ca="1">+O115</f>
        <v>5078439.4632237339</v>
      </c>
      <c r="P212" s="439">
        <f ca="1">+P115</f>
        <v>5084078.12340621</v>
      </c>
      <c r="Q212" s="439">
        <f ca="1">+Q115</f>
        <v>4887159.1752538495</v>
      </c>
    </row>
    <row r="213" spans="2:17" outlineLevel="1">
      <c r="C213" s="5" t="s">
        <v>202</v>
      </c>
      <c r="H213" s="466">
        <f ca="1">INDEX('Detailed Model (LCY)'!$D$2:$XFD$329,MATCH('Macro Model (LCY)'!$C213,'Detailed Model (LCY)'!$D$2:$D$329,0),MATCH('Macro Model (LCY)'!H$2,'Detailed Model (LCY)'!$D$2:$XFD$2,0))</f>
        <v>0.46824726524903409</v>
      </c>
      <c r="I213" s="466">
        <f ca="1">INDEX('Detailed Model (LCY)'!$D$2:$XFD$329,MATCH('Macro Model (LCY)'!$C213,'Detailed Model (LCY)'!$D$2:$D$329,0),MATCH('Macro Model (LCY)'!I$2,'Detailed Model (LCY)'!$D$2:$XFD$2,0))</f>
        <v>0.52548066404958582</v>
      </c>
      <c r="J213" s="466">
        <f ca="1">INDEX('Detailed Model (LCY)'!$D$2:$XFD$329,MATCH('Macro Model (LCY)'!$C213,'Detailed Model (LCY)'!$D$2:$D$329,0),MATCH('Macro Model (LCY)'!J$2,'Detailed Model (LCY)'!$D$2:$XFD$2,0))</f>
        <v>0.55622998292308845</v>
      </c>
      <c r="K213" s="466">
        <f ca="1">INDEX('Detailed Model (LCY)'!$D$2:$XFD$329,MATCH('Macro Model (LCY)'!$C213,'Detailed Model (LCY)'!$D$2:$D$329,0),MATCH('Macro Model (LCY)'!K$2,'Detailed Model (LCY)'!$D$2:$XFD$2,0))</f>
        <v>0.60050247004903345</v>
      </c>
      <c r="L213" s="466">
        <f ca="1">INDEX('Detailed Model (LCY)'!$D$2:$XFD$329,MATCH('Macro Model (LCY)'!$C213,'Detailed Model (LCY)'!$D$2:$D$329,0),MATCH('Macro Model (LCY)'!L$2,'Detailed Model (LCY)'!$D$2:$XFD$2,0))</f>
        <v>0.6179210817702353</v>
      </c>
      <c r="M213" s="466">
        <f ca="1">INDEX('Detailed Model (LCY)'!$D$2:$XFD$329,MATCH('Macro Model (LCY)'!$C213,'Detailed Model (LCY)'!$D$2:$D$329,0),MATCH('Macro Model (LCY)'!M$2,'Detailed Model (LCY)'!$D$2:$XFD$2,0))</f>
        <v>0.62389848825433813</v>
      </c>
      <c r="N213" s="466">
        <f ca="1">INDEX('Detailed Model (LCY)'!$D$2:$XFD$329,MATCH('Macro Model (LCY)'!$C213,'Detailed Model (LCY)'!$D$2:$D$329,0),MATCH('Macro Model (LCY)'!N$2,'Detailed Model (LCY)'!$D$2:$XFD$2,0))</f>
        <v>0.62806408365400612</v>
      </c>
      <c r="O213" s="466">
        <f ca="1">INDEX('Detailed Model (LCY)'!$D$2:$XFD$329,MATCH('Macro Model (LCY)'!$C213,'Detailed Model (LCY)'!$D$2:$D$329,0),MATCH('Macro Model (LCY)'!O$2,'Detailed Model (LCY)'!$D$2:$XFD$2,0))</f>
        <v>0.6289100083333613</v>
      </c>
      <c r="P213" s="466">
        <f ca="1">INDEX('Detailed Model (LCY)'!$D$2:$XFD$329,MATCH('Macro Model (LCY)'!$C213,'Detailed Model (LCY)'!$D$2:$D$329,0),MATCH('Macro Model (LCY)'!P$2,'Detailed Model (LCY)'!$D$2:$XFD$2,0))</f>
        <v>0.62917740840785019</v>
      </c>
      <c r="Q213" s="466">
        <f ca="1">INDEX('Detailed Model (LCY)'!$D$2:$XFD$329,MATCH('Macro Model (LCY)'!$C213,'Detailed Model (LCY)'!$D$2:$D$329,0),MATCH('Macro Model (LCY)'!Q$2,'Detailed Model (LCY)'!$D$2:$XFD$2,0))</f>
        <v>0.62923448319958675</v>
      </c>
    </row>
    <row r="214" spans="2:17" outlineLevel="1">
      <c r="C214" s="5" t="s">
        <v>513</v>
      </c>
      <c r="H214" s="466">
        <f ca="1">INDEX('Detailed Model (LCY)'!$D$2:$XFD$329,MATCH('Macro Model (LCY)'!$C214,'Detailed Model (LCY)'!$D$2:$D$329,0),MATCH('Macro Model (LCY)'!H$2,'Detailed Model (LCY)'!$D$2:$XFD$2,0))</f>
        <v>0.36177086666691005</v>
      </c>
      <c r="I214" s="466">
        <f ca="1">INDEX('Detailed Model (LCY)'!$D$2:$XFD$329,MATCH('Macro Model (LCY)'!$C214,'Detailed Model (LCY)'!$D$2:$D$329,0),MATCH('Macro Model (LCY)'!I$2,'Detailed Model (LCY)'!$D$2:$XFD$2,0))</f>
        <v>0.30367993242449359</v>
      </c>
      <c r="J214" s="466">
        <f ca="1">INDEX('Detailed Model (LCY)'!$D$2:$XFD$329,MATCH('Macro Model (LCY)'!$C214,'Detailed Model (LCY)'!$D$2:$D$329,0),MATCH('Macro Model (LCY)'!J$2,'Detailed Model (LCY)'!$D$2:$XFD$2,0))</f>
        <v>0.20436394579946832</v>
      </c>
      <c r="K214" s="466">
        <f ca="1">INDEX('Detailed Model (LCY)'!$D$2:$XFD$329,MATCH('Macro Model (LCY)'!$C214,'Detailed Model (LCY)'!$D$2:$D$329,0),MATCH('Macro Model (LCY)'!K$2,'Detailed Model (LCY)'!$D$2:$XFD$2,0))</f>
        <v>0.4232349312552442</v>
      </c>
      <c r="L214" s="466">
        <f ca="1">INDEX('Detailed Model (LCY)'!$D$2:$XFD$329,MATCH('Macro Model (LCY)'!$C214,'Detailed Model (LCY)'!$D$2:$D$329,0),MATCH('Macro Model (LCY)'!L$2,'Detailed Model (LCY)'!$D$2:$XFD$2,0))</f>
        <v>0.42338642915392299</v>
      </c>
      <c r="M214" s="466">
        <f ca="1">INDEX('Detailed Model (LCY)'!$D$2:$XFD$329,MATCH('Macro Model (LCY)'!$C214,'Detailed Model (LCY)'!$D$2:$D$329,0),MATCH('Macro Model (LCY)'!M$2,'Detailed Model (LCY)'!$D$2:$XFD$2,0))</f>
        <v>0.41982386898514906</v>
      </c>
      <c r="N214" s="466">
        <f ca="1">INDEX('Detailed Model (LCY)'!$D$2:$XFD$329,MATCH('Macro Model (LCY)'!$C214,'Detailed Model (LCY)'!$D$2:$D$329,0),MATCH('Macro Model (LCY)'!N$2,'Detailed Model (LCY)'!$D$2:$XFD$2,0))</f>
        <v>0.40523765013304047</v>
      </c>
      <c r="O214" s="466">
        <f ca="1">INDEX('Detailed Model (LCY)'!$D$2:$XFD$329,MATCH('Macro Model (LCY)'!$C214,'Detailed Model (LCY)'!$D$2:$D$329,0),MATCH('Macro Model (LCY)'!O$2,'Detailed Model (LCY)'!$D$2:$XFD$2,0))</f>
        <v>0.44708863879843119</v>
      </c>
      <c r="P214" s="466">
        <f ca="1">INDEX('Detailed Model (LCY)'!$D$2:$XFD$329,MATCH('Macro Model (LCY)'!$C214,'Detailed Model (LCY)'!$D$2:$D$329,0),MATCH('Macro Model (LCY)'!P$2,'Detailed Model (LCY)'!$D$2:$XFD$2,0))</f>
        <v>0.42069501697063483</v>
      </c>
      <c r="Q214" s="466">
        <f ca="1">INDEX('Detailed Model (LCY)'!$D$2:$XFD$329,MATCH('Macro Model (LCY)'!$C214,'Detailed Model (LCY)'!$D$2:$D$329,0),MATCH('Macro Model (LCY)'!Q$2,'Detailed Model (LCY)'!$D$2:$XFD$2,0))</f>
        <v>0.41478357028377305</v>
      </c>
    </row>
    <row r="215" spans="2:17" outlineLevel="1">
      <c r="C215" s="5" t="s">
        <v>514</v>
      </c>
      <c r="H215" s="466">
        <f ca="1">INDEX('Detailed Model (LCY)'!$D$2:$XFD$329,MATCH('Macro Model (LCY)'!$C215,'Detailed Model (LCY)'!$D$2:$D$329,0),MATCH('Macro Model (LCY)'!H$2,'Detailed Model (LCY)'!$D$2:$XFD$2,0))</f>
        <v>-7.8309557378398745E-2</v>
      </c>
      <c r="I215" s="466">
        <f ca="1">INDEX('Detailed Model (LCY)'!$D$2:$XFD$329,MATCH('Macro Model (LCY)'!$C215,'Detailed Model (LCY)'!$D$2:$D$329,0),MATCH('Macro Model (LCY)'!I$2,'Detailed Model (LCY)'!$D$2:$XFD$2,0))</f>
        <v>-0.14667825107275367</v>
      </c>
      <c r="J215" s="466">
        <f ca="1">INDEX('Detailed Model (LCY)'!$D$2:$XFD$329,MATCH('Macro Model (LCY)'!$C215,'Detailed Model (LCY)'!$D$2:$D$329,0),MATCH('Macro Model (LCY)'!J$2,'Detailed Model (LCY)'!$D$2:$XFD$2,0))</f>
        <v>-0.24100301855720413</v>
      </c>
      <c r="K215" s="466">
        <f ca="1">INDEX('Detailed Model (LCY)'!$D$2:$XFD$329,MATCH('Macro Model (LCY)'!$C215,'Detailed Model (LCY)'!$D$2:$D$329,0),MATCH('Macro Model (LCY)'!K$2,'Detailed Model (LCY)'!$D$2:$XFD$2,0))</f>
        <v>-4.7662810217918829E-2</v>
      </c>
      <c r="L215" s="466">
        <f ca="1">INDEX('Detailed Model (LCY)'!$D$2:$XFD$329,MATCH('Macro Model (LCY)'!$C215,'Detailed Model (LCY)'!$D$2:$D$329,0),MATCH('Macro Model (LCY)'!L$2,'Detailed Model (LCY)'!$D$2:$XFD$2,0))</f>
        <v>-5.4695671834830185E-2</v>
      </c>
      <c r="M215" s="466">
        <f ca="1">INDEX('Detailed Model (LCY)'!$D$2:$XFD$329,MATCH('Macro Model (LCY)'!$C215,'Detailed Model (LCY)'!$D$2:$D$329,0),MATCH('Macro Model (LCY)'!M$2,'Detailed Model (LCY)'!$D$2:$XFD$2,0))</f>
        <v>-6.2547350945474742E-2</v>
      </c>
      <c r="N215" s="466">
        <f ca="1">INDEX('Detailed Model (LCY)'!$D$2:$XFD$329,MATCH('Macro Model (LCY)'!$C215,'Detailed Model (LCY)'!$D$2:$D$329,0),MATCH('Macro Model (LCY)'!N$2,'Detailed Model (LCY)'!$D$2:$XFD$2,0))</f>
        <v>-7.9033217963573002E-2</v>
      </c>
      <c r="O215" s="466">
        <f ca="1">INDEX('Detailed Model (LCY)'!$D$2:$XFD$329,MATCH('Macro Model (LCY)'!$C215,'Detailed Model (LCY)'!$D$2:$D$329,0),MATCH('Macro Model (LCY)'!O$2,'Detailed Model (LCY)'!$D$2:$XFD$2,0))</f>
        <v>-3.6212472261913986E-2</v>
      </c>
      <c r="P215" s="466">
        <f ca="1">INDEX('Detailed Model (LCY)'!$D$2:$XFD$329,MATCH('Macro Model (LCY)'!$C215,'Detailed Model (LCY)'!$D$2:$D$329,0),MATCH('Macro Model (LCY)'!P$2,'Detailed Model (LCY)'!$D$2:$XFD$2,0))</f>
        <v>-6.2673546186256077E-2</v>
      </c>
      <c r="Q215" s="466">
        <f ca="1">INDEX('Detailed Model (LCY)'!$D$2:$XFD$329,MATCH('Macro Model (LCY)'!$C215,'Detailed Model (LCY)'!$D$2:$D$329,0),MATCH('Macro Model (LCY)'!Q$2,'Detailed Model (LCY)'!$D$2:$XFD$2,0))</f>
        <v>-6.7061578043062453E-2</v>
      </c>
    </row>
    <row r="216" spans="2:17" outlineLevel="1">
      <c r="H216" s="431"/>
      <c r="I216" s="431"/>
      <c r="J216" s="431"/>
      <c r="K216" s="431"/>
      <c r="L216" s="431"/>
      <c r="M216" s="431"/>
      <c r="N216" s="431"/>
      <c r="O216" s="431"/>
      <c r="P216" s="431"/>
      <c r="Q216" s="431"/>
    </row>
    <row r="217" spans="2:17" outlineLevel="1">
      <c r="H217" s="430"/>
      <c r="I217" s="430"/>
      <c r="J217" s="430"/>
      <c r="K217" s="430"/>
      <c r="L217" s="430"/>
      <c r="M217" s="430"/>
      <c r="N217" s="430"/>
      <c r="O217" s="430"/>
      <c r="P217" s="430"/>
      <c r="Q217" s="430"/>
    </row>
    <row r="218" spans="2:17" outlineLevel="1">
      <c r="B218" s="120" t="s">
        <v>191</v>
      </c>
      <c r="C218" s="120"/>
      <c r="D218" s="120"/>
      <c r="E218" s="120"/>
      <c r="F218" s="120"/>
      <c r="G218" s="120"/>
      <c r="H218" s="465"/>
      <c r="I218" s="465"/>
      <c r="J218" s="465"/>
      <c r="K218" s="465"/>
      <c r="L218" s="465"/>
      <c r="M218" s="465"/>
      <c r="N218" s="465"/>
      <c r="O218" s="465"/>
      <c r="P218" s="465"/>
      <c r="Q218" s="465"/>
    </row>
    <row r="219" spans="2:17" outlineLevel="1">
      <c r="C219" s="217" t="s">
        <v>187</v>
      </c>
      <c r="H219" s="431">
        <f ca="1">INDEX('Detailed Model (LCY)'!$D$2:$XFD$329,MATCH('Macro Model (LCY)'!$C219,'Detailed Model (LCY)'!$D$2:$D$329,0),MATCH('Macro Model (LCY)'!H$2,'Detailed Model (LCY)'!$D$2:$XFD$2,0))</f>
        <v>12168980.334703812</v>
      </c>
      <c r="I219" s="431">
        <f ca="1">INDEX('Detailed Model (LCY)'!$D$2:$XFD$329,MATCH('Macro Model (LCY)'!$C219,'Detailed Model (LCY)'!$D$2:$D$329,0),MATCH('Macro Model (LCY)'!I$2,'Detailed Model (LCY)'!$D$2:$XFD$2,0))</f>
        <v>23171277.235064108</v>
      </c>
      <c r="J219" s="431">
        <f ca="1">INDEX('Detailed Model (LCY)'!$D$2:$XFD$329,MATCH('Macro Model (LCY)'!$C219,'Detailed Model (LCY)'!$D$2:$D$329,0),MATCH('Macro Model (LCY)'!J$2,'Detailed Model (LCY)'!$D$2:$XFD$2,0))</f>
        <v>36306516.285373963</v>
      </c>
      <c r="K219" s="431">
        <f ca="1">INDEX('Detailed Model (LCY)'!$D$2:$XFD$329,MATCH('Macro Model (LCY)'!$C219,'Detailed Model (LCY)'!$D$2:$D$329,0),MATCH('Macro Model (LCY)'!K$2,'Detailed Model (LCY)'!$D$2:$XFD$2,0))</f>
        <v>54081057.158026733</v>
      </c>
      <c r="L219" s="431">
        <f ca="1">INDEX('Detailed Model (LCY)'!$D$2:$XFD$329,MATCH('Macro Model (LCY)'!$C219,'Detailed Model (LCY)'!$D$2:$D$329,0),MATCH('Macro Model (LCY)'!L$2,'Detailed Model (LCY)'!$D$2:$XFD$2,0))</f>
        <v>76818380.264810339</v>
      </c>
      <c r="M219" s="431">
        <f ca="1">INDEX('Detailed Model (LCY)'!$D$2:$XFD$329,MATCH('Macro Model (LCY)'!$C219,'Detailed Model (LCY)'!$D$2:$D$329,0),MATCH('Macro Model (LCY)'!M$2,'Detailed Model (LCY)'!$D$2:$XFD$2,0))</f>
        <v>95728158.717983827</v>
      </c>
      <c r="N219" s="431">
        <f ca="1">INDEX('Detailed Model (LCY)'!$D$2:$XFD$329,MATCH('Macro Model (LCY)'!$C219,'Detailed Model (LCY)'!$D$2:$D$329,0),MATCH('Macro Model (LCY)'!N$2,'Detailed Model (LCY)'!$D$2:$XFD$2,0))</f>
        <v>108708593.31813177</v>
      </c>
      <c r="O219" s="431">
        <f ca="1">INDEX('Detailed Model (LCY)'!$D$2:$XFD$329,MATCH('Macro Model (LCY)'!$C219,'Detailed Model (LCY)'!$D$2:$D$329,0),MATCH('Macro Model (LCY)'!O$2,'Detailed Model (LCY)'!$D$2:$XFD$2,0))</f>
        <v>120290046.64311859</v>
      </c>
      <c r="P219" s="431">
        <f ca="1">INDEX('Detailed Model (LCY)'!$D$2:$XFD$329,MATCH('Macro Model (LCY)'!$C219,'Detailed Model (LCY)'!$D$2:$D$329,0),MATCH('Macro Model (LCY)'!P$2,'Detailed Model (LCY)'!$D$2:$XFD$2,0))</f>
        <v>131519111.69428547</v>
      </c>
      <c r="Q219" s="431">
        <f ca="1">INDEX('Detailed Model (LCY)'!$D$2:$XFD$329,MATCH('Macro Model (LCY)'!$C219,'Detailed Model (LCY)'!$D$2:$D$329,0),MATCH('Macro Model (LCY)'!Q$2,'Detailed Model (LCY)'!$D$2:$XFD$2,0))</f>
        <v>142646432.76764041</v>
      </c>
    </row>
    <row r="220" spans="2:17" outlineLevel="1">
      <c r="C220" s="9" t="s">
        <v>188</v>
      </c>
      <c r="H220" s="431">
        <f ca="1">INDEX('Detailed Model (LCY)'!$D$2:$XFD$329,MATCH('Macro Model (LCY)'!$C220,'Detailed Model (LCY)'!$D$2:$D$329,0),MATCH('Macro Model (LCY)'!H$2,'Detailed Model (LCY)'!$D$2:$XFD$2,0))</f>
        <v>8567891.1736844368</v>
      </c>
      <c r="I220" s="431">
        <f ca="1">INDEX('Detailed Model (LCY)'!$D$2:$XFD$329,MATCH('Macro Model (LCY)'!$C220,'Detailed Model (LCY)'!$D$2:$D$329,0),MATCH('Macro Model (LCY)'!I$2,'Detailed Model (LCY)'!$D$2:$XFD$2,0))</f>
        <v>16286435.751807734</v>
      </c>
      <c r="J220" s="431">
        <f ca="1">INDEX('Detailed Model (LCY)'!$D$2:$XFD$329,MATCH('Macro Model (LCY)'!$C220,'Detailed Model (LCY)'!$D$2:$D$329,0),MATCH('Macro Model (LCY)'!J$2,'Detailed Model (LCY)'!$D$2:$XFD$2,0))</f>
        <v>25507685.217363257</v>
      </c>
      <c r="K220" s="431">
        <f ca="1">INDEX('Detailed Model (LCY)'!$D$2:$XFD$329,MATCH('Macro Model (LCY)'!$C220,'Detailed Model (LCY)'!$D$2:$D$329,0),MATCH('Macro Model (LCY)'!K$2,'Detailed Model (LCY)'!$D$2:$XFD$2,0))</f>
        <v>37994205.162199132</v>
      </c>
      <c r="L220" s="431">
        <f ca="1">INDEX('Detailed Model (LCY)'!$D$2:$XFD$329,MATCH('Macro Model (LCY)'!$C220,'Detailed Model (LCY)'!$D$2:$D$329,0),MATCH('Macro Model (LCY)'!L$2,'Detailed Model (LCY)'!$D$2:$XFD$2,0))</f>
        <v>53967691.824330375</v>
      </c>
      <c r="M220" s="431">
        <f ca="1">INDEX('Detailed Model (LCY)'!$D$2:$XFD$329,MATCH('Macro Model (LCY)'!$C220,'Detailed Model (LCY)'!$D$2:$D$329,0),MATCH('Macro Model (LCY)'!M$2,'Detailed Model (LCY)'!$D$2:$XFD$2,0))</f>
        <v>67210644.104667813</v>
      </c>
      <c r="N220" s="431">
        <f ca="1">INDEX('Detailed Model (LCY)'!$D$2:$XFD$329,MATCH('Macro Model (LCY)'!$C220,'Detailed Model (LCY)'!$D$2:$D$329,0),MATCH('Macro Model (LCY)'!N$2,'Detailed Model (LCY)'!$D$2:$XFD$2,0))</f>
        <v>76268096.22502999</v>
      </c>
      <c r="O220" s="431">
        <f ca="1">INDEX('Detailed Model (LCY)'!$D$2:$XFD$329,MATCH('Macro Model (LCY)'!$C220,'Detailed Model (LCY)'!$D$2:$D$329,0),MATCH('Macro Model (LCY)'!O$2,'Detailed Model (LCY)'!$D$2:$XFD$2,0))</f>
        <v>84378283.881016031</v>
      </c>
      <c r="P220" s="431">
        <f ca="1">INDEX('Detailed Model (LCY)'!$D$2:$XFD$329,MATCH('Macro Model (LCY)'!$C220,'Detailed Model (LCY)'!$D$2:$D$329,0),MATCH('Macro Model (LCY)'!P$2,'Detailed Model (LCY)'!$D$2:$XFD$2,0))</f>
        <v>92248160.521301791</v>
      </c>
      <c r="Q220" s="431">
        <f ca="1">INDEX('Detailed Model (LCY)'!$D$2:$XFD$329,MATCH('Macro Model (LCY)'!$C220,'Detailed Model (LCY)'!$D$2:$D$329,0),MATCH('Macro Model (LCY)'!Q$2,'Detailed Model (LCY)'!$D$2:$XFD$2,0))</f>
        <v>100050362.27243723</v>
      </c>
    </row>
    <row r="221" spans="2:17" outlineLevel="1">
      <c r="C221" s="9" t="s">
        <v>360</v>
      </c>
      <c r="H221" s="431">
        <f ca="1">INDEX('Detailed Model (LCY)'!$D$2:$XFD$329,MATCH('Macro Model (LCY)'!$C221,'Detailed Model (LCY)'!$D$2:$D$329,0),MATCH('Macro Model (LCY)'!H$2,'Detailed Model (LCY)'!$D$2:$XFD$2,0))</f>
        <v>19.159913462572078</v>
      </c>
      <c r="I221" s="431">
        <f ca="1">INDEX('Detailed Model (LCY)'!$D$2:$XFD$329,MATCH('Macro Model (LCY)'!$C221,'Detailed Model (LCY)'!$D$2:$D$329,0),MATCH('Macro Model (LCY)'!I$2,'Detailed Model (LCY)'!$D$2:$XFD$2,0))</f>
        <v>19.721475881556117</v>
      </c>
      <c r="J221" s="431">
        <f ca="1">INDEX('Detailed Model (LCY)'!$D$2:$XFD$329,MATCH('Macro Model (LCY)'!$C221,'Detailed Model (LCY)'!$D$2:$D$329,0),MATCH('Macro Model (LCY)'!J$2,'Detailed Model (LCY)'!$D$2:$XFD$2,0))</f>
        <v>19.864705055052063</v>
      </c>
      <c r="K221" s="431">
        <f ca="1">INDEX('Detailed Model (LCY)'!$D$2:$XFD$329,MATCH('Macro Model (LCY)'!$C221,'Detailed Model (LCY)'!$D$2:$D$329,0),MATCH('Macro Model (LCY)'!K$2,'Detailed Model (LCY)'!$D$2:$XFD$2,0))</f>
        <v>19.875492045546238</v>
      </c>
      <c r="L221" s="431">
        <f ca="1">INDEX('Detailed Model (LCY)'!$D$2:$XFD$329,MATCH('Macro Model (LCY)'!$C221,'Detailed Model (LCY)'!$D$2:$D$329,0),MATCH('Macro Model (LCY)'!L$2,'Detailed Model (LCY)'!$D$2:$XFD$2,0))</f>
        <v>19.878130815141532</v>
      </c>
      <c r="M221" s="431">
        <f ca="1">INDEX('Detailed Model (LCY)'!$D$2:$XFD$329,MATCH('Macro Model (LCY)'!$C221,'Detailed Model (LCY)'!$D$2:$D$329,0),MATCH('Macro Model (LCY)'!M$2,'Detailed Model (LCY)'!$D$2:$XFD$2,0))</f>
        <v>20.082390675007616</v>
      </c>
      <c r="N221" s="431">
        <f ca="1">INDEX('Detailed Model (LCY)'!$D$2:$XFD$329,MATCH('Macro Model (LCY)'!$C221,'Detailed Model (LCY)'!$D$2:$D$329,0),MATCH('Macro Model (LCY)'!N$2,'Detailed Model (LCY)'!$D$2:$XFD$2,0))</f>
        <v>20.323711044446071</v>
      </c>
      <c r="O221" s="431">
        <f ca="1">INDEX('Detailed Model (LCY)'!$D$2:$XFD$329,MATCH('Macro Model (LCY)'!$C221,'Detailed Model (LCY)'!$D$2:$D$329,0),MATCH('Macro Model (LCY)'!O$2,'Detailed Model (LCY)'!$D$2:$XFD$2,0))</f>
        <v>20.382693437628237</v>
      </c>
      <c r="P221" s="431">
        <f ca="1">INDEX('Detailed Model (LCY)'!$D$2:$XFD$329,MATCH('Macro Model (LCY)'!$C221,'Detailed Model (LCY)'!$D$2:$D$329,0),MATCH('Macro Model (LCY)'!P$2,'Detailed Model (LCY)'!$D$2:$XFD$2,0))</f>
        <v>20.406992767760254</v>
      </c>
      <c r="Q221" s="431">
        <f ca="1">INDEX('Detailed Model (LCY)'!$D$2:$XFD$329,MATCH('Macro Model (LCY)'!$C221,'Detailed Model (LCY)'!$D$2:$D$329,0),MATCH('Macro Model (LCY)'!Q$2,'Detailed Model (LCY)'!$D$2:$XFD$2,0))</f>
        <v>20.415381634381525</v>
      </c>
    </row>
    <row r="222" spans="2:17" outlineLevel="1">
      <c r="C222" s="9" t="s">
        <v>189</v>
      </c>
      <c r="H222" s="431">
        <f ca="1">INDEX('Detailed Model (LCY)'!$D$2:$XFD$329,MATCH('Macro Model (LCY)'!$C222,'Detailed Model (LCY)'!$D$2:$D$329,0),MATCH('Macro Model (LCY)'!H$2,'Detailed Model (LCY)'!$D$2:$XFD$2,0))</f>
        <v>8567891.1736844368</v>
      </c>
      <c r="I222" s="431">
        <f ca="1">INDEX('Detailed Model (LCY)'!$D$2:$XFD$329,MATCH('Macro Model (LCY)'!$C222,'Detailed Model (LCY)'!$D$2:$D$329,0),MATCH('Macro Model (LCY)'!I$2,'Detailed Model (LCY)'!$D$2:$XFD$2,0))</f>
        <v>16286435.751807734</v>
      </c>
      <c r="J222" s="431">
        <f ca="1">INDEX('Detailed Model (LCY)'!$D$2:$XFD$329,MATCH('Macro Model (LCY)'!$C222,'Detailed Model (LCY)'!$D$2:$D$329,0),MATCH('Macro Model (LCY)'!J$2,'Detailed Model (LCY)'!$D$2:$XFD$2,0))</f>
        <v>25507685.217363257</v>
      </c>
      <c r="K222" s="431">
        <f ca="1">INDEX('Detailed Model (LCY)'!$D$2:$XFD$329,MATCH('Macro Model (LCY)'!$C222,'Detailed Model (LCY)'!$D$2:$D$329,0),MATCH('Macro Model (LCY)'!K$2,'Detailed Model (LCY)'!$D$2:$XFD$2,0))</f>
        <v>37994205.162199132</v>
      </c>
      <c r="L222" s="431">
        <f ca="1">INDEX('Detailed Model (LCY)'!$D$2:$XFD$329,MATCH('Macro Model (LCY)'!$C222,'Detailed Model (LCY)'!$D$2:$D$329,0),MATCH('Macro Model (LCY)'!L$2,'Detailed Model (LCY)'!$D$2:$XFD$2,0))</f>
        <v>53967691.824330375</v>
      </c>
      <c r="M222" s="431">
        <f ca="1">INDEX('Detailed Model (LCY)'!$D$2:$XFD$329,MATCH('Macro Model (LCY)'!$C222,'Detailed Model (LCY)'!$D$2:$D$329,0),MATCH('Macro Model (LCY)'!M$2,'Detailed Model (LCY)'!$D$2:$XFD$2,0))</f>
        <v>67210644.104667813</v>
      </c>
      <c r="N222" s="431">
        <f ca="1">INDEX('Detailed Model (LCY)'!$D$2:$XFD$329,MATCH('Macro Model (LCY)'!$C222,'Detailed Model (LCY)'!$D$2:$D$329,0),MATCH('Macro Model (LCY)'!N$2,'Detailed Model (LCY)'!$D$2:$XFD$2,0))</f>
        <v>76268096.22502999</v>
      </c>
      <c r="O222" s="431">
        <f ca="1">INDEX('Detailed Model (LCY)'!$D$2:$XFD$329,MATCH('Macro Model (LCY)'!$C222,'Detailed Model (LCY)'!$D$2:$D$329,0),MATCH('Macro Model (LCY)'!O$2,'Detailed Model (LCY)'!$D$2:$XFD$2,0))</f>
        <v>84378283.881016031</v>
      </c>
      <c r="P222" s="431">
        <f ca="1">INDEX('Detailed Model (LCY)'!$D$2:$XFD$329,MATCH('Macro Model (LCY)'!$C222,'Detailed Model (LCY)'!$D$2:$D$329,0),MATCH('Macro Model (LCY)'!P$2,'Detailed Model (LCY)'!$D$2:$XFD$2,0))</f>
        <v>92248160.521301791</v>
      </c>
      <c r="Q222" s="431">
        <f ca="1">INDEX('Detailed Model (LCY)'!$D$2:$XFD$329,MATCH('Macro Model (LCY)'!$C222,'Detailed Model (LCY)'!$D$2:$D$329,0),MATCH('Macro Model (LCY)'!Q$2,'Detailed Model (LCY)'!$D$2:$XFD$2,0))</f>
        <v>100050362.27243723</v>
      </c>
    </row>
    <row r="223" spans="2:17" outlineLevel="1">
      <c r="C223" s="9" t="s">
        <v>190</v>
      </c>
      <c r="H223" s="431">
        <f ca="1">INDEX('Detailed Model (LCY)'!$D$2:$XFD$329,MATCH('Macro Model (LCY)'!$C223,'Detailed Model (LCY)'!$D$2:$D$329,0),MATCH('Macro Model (LCY)'!H$2,'Detailed Model (LCY)'!$D$2:$XFD$2,0))</f>
        <v>-1932108.8263155632</v>
      </c>
      <c r="I223" s="431">
        <f ca="1">INDEX('Detailed Model (LCY)'!$D$2:$XFD$329,MATCH('Macro Model (LCY)'!$C223,'Detailed Model (LCY)'!$D$2:$D$329,0),MATCH('Macro Model (LCY)'!I$2,'Detailed Model (LCY)'!$D$2:$XFD$2,0))</f>
        <v>10786435.751807734</v>
      </c>
      <c r="J223" s="431">
        <f ca="1">INDEX('Detailed Model (LCY)'!$D$2:$XFD$329,MATCH('Macro Model (LCY)'!$C223,'Detailed Model (LCY)'!$D$2:$D$329,0),MATCH('Macro Model (LCY)'!J$2,'Detailed Model (LCY)'!$D$2:$XFD$2,0))</f>
        <v>2785462.995141048</v>
      </c>
      <c r="K223" s="431">
        <f ca="1">INDEX('Detailed Model (LCY)'!$D$2:$XFD$329,MATCH('Macro Model (LCY)'!$C223,'Detailed Model (LCY)'!$D$2:$D$329,0),MATCH('Macro Model (LCY)'!K$2,'Detailed Model (LCY)'!$D$2:$XFD$2,0))</f>
        <v>20827538.495532475</v>
      </c>
      <c r="L223" s="431">
        <f ca="1">INDEX('Detailed Model (LCY)'!$D$2:$XFD$329,MATCH('Macro Model (LCY)'!$C223,'Detailed Model (LCY)'!$D$2:$D$329,0),MATCH('Macro Model (LCY)'!L$2,'Detailed Model (LCY)'!$D$2:$XFD$2,0))</f>
        <v>31689914.046552613</v>
      </c>
      <c r="M223" s="431">
        <f ca="1">INDEX('Detailed Model (LCY)'!$D$2:$XFD$329,MATCH('Macro Model (LCY)'!$C223,'Detailed Model (LCY)'!$D$2:$D$329,0),MATCH('Macro Model (LCY)'!M$2,'Detailed Model (LCY)'!$D$2:$XFD$2,0))</f>
        <v>44266199.660223387</v>
      </c>
      <c r="N223" s="431">
        <f ca="1">INDEX('Detailed Model (LCY)'!$D$2:$XFD$329,MATCH('Macro Model (LCY)'!$C223,'Detailed Model (LCY)'!$D$2:$D$329,0),MATCH('Macro Model (LCY)'!N$2,'Detailed Model (LCY)'!$D$2:$XFD$2,0))</f>
        <v>54879207.336141117</v>
      </c>
      <c r="O223" s="431">
        <f ca="1">INDEX('Detailed Model (LCY)'!$D$2:$XFD$329,MATCH('Macro Model (LCY)'!$C223,'Detailed Model (LCY)'!$D$2:$D$329,0),MATCH('Macro Model (LCY)'!O$2,'Detailed Model (LCY)'!$D$2:$XFD$2,0))</f>
        <v>61211617.214349374</v>
      </c>
      <c r="P223" s="431">
        <f ca="1">INDEX('Detailed Model (LCY)'!$D$2:$XFD$329,MATCH('Macro Model (LCY)'!$C223,'Detailed Model (LCY)'!$D$2:$D$329,0),MATCH('Macro Model (LCY)'!P$2,'Detailed Model (LCY)'!$D$2:$XFD$2,0))</f>
        <v>69525938.299079567</v>
      </c>
      <c r="Q223" s="431">
        <f ca="1">INDEX('Detailed Model (LCY)'!$D$2:$XFD$329,MATCH('Macro Model (LCY)'!$C223,'Detailed Model (LCY)'!$D$2:$D$329,0),MATCH('Macro Model (LCY)'!Q$2,'Detailed Model (LCY)'!$D$2:$XFD$2,0))</f>
        <v>74661473.383548319</v>
      </c>
    </row>
    <row r="224" spans="2:17" outlineLevel="1">
      <c r="H224" s="430"/>
      <c r="I224" s="430"/>
      <c r="J224" s="430"/>
      <c r="K224" s="430"/>
      <c r="L224" s="430"/>
      <c r="M224" s="430"/>
      <c r="N224" s="430"/>
      <c r="O224" s="430"/>
      <c r="P224" s="430"/>
      <c r="Q224" s="430"/>
    </row>
    <row r="225" spans="1:82" outlineLevel="1">
      <c r="B225" s="120" t="s">
        <v>351</v>
      </c>
      <c r="C225" s="120"/>
      <c r="D225" s="120"/>
      <c r="E225" s="120"/>
      <c r="F225" s="120"/>
      <c r="G225" s="120"/>
      <c r="H225" s="465"/>
      <c r="I225" s="465"/>
      <c r="J225" s="465"/>
      <c r="K225" s="465"/>
      <c r="L225" s="465"/>
      <c r="M225" s="465"/>
      <c r="N225" s="465"/>
      <c r="O225" s="465"/>
      <c r="P225" s="465"/>
      <c r="Q225" s="465"/>
    </row>
    <row r="226" spans="1:82" outlineLevel="1">
      <c r="C226" s="9" t="s">
        <v>363</v>
      </c>
      <c r="H226" s="467">
        <f ca="1">INDEX('Detailed Model (LCY)'!$D$2:$XFD$329,MATCH('Macro Model (LCY)'!$C226,'Detailed Model (LCY)'!$D$2:$D$329,0),MATCH('Macro Model (LCY)'!H$2,'Detailed Model (LCY)'!$D$2:$XFD$2,0))</f>
        <v>0.58434572865210255</v>
      </c>
      <c r="I226" s="467">
        <f ca="1">INDEX('Detailed Model (LCY)'!$D$2:$XFD$329,MATCH('Macro Model (LCY)'!$C226,'Detailed Model (LCY)'!$D$2:$D$329,0),MATCH('Macro Model (LCY)'!I$2,'Detailed Model (LCY)'!$D$2:$XFD$2,0))</f>
        <v>0.81437870200995632</v>
      </c>
      <c r="J226" s="467">
        <f ca="1">INDEX('Detailed Model (LCY)'!$D$2:$XFD$329,MATCH('Macro Model (LCY)'!$C226,'Detailed Model (LCY)'!$D$2:$D$329,0),MATCH('Macro Model (LCY)'!J$2,'Detailed Model (LCY)'!$D$2:$XFD$2,0))</f>
        <v>0.6552536360209279</v>
      </c>
      <c r="K226" s="467">
        <f ca="1">INDEX('Detailed Model (LCY)'!$D$2:$XFD$329,MATCH('Macro Model (LCY)'!$C226,'Detailed Model (LCY)'!$D$2:$D$329,0),MATCH('Macro Model (LCY)'!K$2,'Detailed Model (LCY)'!$D$2:$XFD$2,0))</f>
        <v>0.77485378799728344</v>
      </c>
      <c r="L226" s="467">
        <f ca="1">INDEX('Detailed Model (LCY)'!$D$2:$XFD$329,MATCH('Macro Model (LCY)'!$C226,'Detailed Model (LCY)'!$D$2:$D$329,0),MATCH('Macro Model (LCY)'!L$2,'Detailed Model (LCY)'!$D$2:$XFD$2,0))</f>
        <v>0.78212947329625881</v>
      </c>
      <c r="M226" s="467">
        <f ca="1">INDEX('Detailed Model (LCY)'!$D$2:$XFD$329,MATCH('Macro Model (LCY)'!$C226,'Detailed Model (LCY)'!$D$2:$D$329,0),MATCH('Macro Model (LCY)'!M$2,'Detailed Model (LCY)'!$D$2:$XFD$2,0))</f>
        <v>0.81367355893026316</v>
      </c>
      <c r="N226" s="467">
        <f ca="1">INDEX('Detailed Model (LCY)'!$D$2:$XFD$329,MATCH('Macro Model (LCY)'!$C226,'Detailed Model (LCY)'!$D$2:$D$329,0),MATCH('Macro Model (LCY)'!N$2,'Detailed Model (LCY)'!$D$2:$XFD$2,0))</f>
        <v>0.84610374330685201</v>
      </c>
      <c r="O226" s="467">
        <f ca="1">INDEX('Detailed Model (LCY)'!$D$2:$XFD$329,MATCH('Macro Model (LCY)'!$C226,'Detailed Model (LCY)'!$D$2:$D$329,0),MATCH('Macro Model (LCY)'!O$2,'Detailed Model (LCY)'!$D$2:$XFD$2,0))</f>
        <v>0.85288618941326988</v>
      </c>
      <c r="P226" s="467">
        <f ca="1">INDEX('Detailed Model (LCY)'!$D$2:$XFD$329,MATCH('Macro Model (LCY)'!$C226,'Detailed Model (LCY)'!$D$2:$D$329,0),MATCH('Macro Model (LCY)'!P$2,'Detailed Model (LCY)'!$D$2:$XFD$2,0))</f>
        <v>0.86904672945648775</v>
      </c>
      <c r="Q226" s="467">
        <f ca="1">INDEX('Detailed Model (LCY)'!$D$2:$XFD$329,MATCH('Macro Model (LCY)'!$C226,'Detailed Model (LCY)'!$D$2:$D$329,0),MATCH('Macro Model (LCY)'!Q$2,'Detailed Model (LCY)'!$D$2:$XFD$2,0))</f>
        <v>0.86803785672302247</v>
      </c>
    </row>
    <row r="227" spans="1:82" outlineLevel="1">
      <c r="C227" s="9" t="s">
        <v>352</v>
      </c>
      <c r="H227" s="467">
        <f ca="1">INDEX('Detailed Model (LCY)'!$D$2:$XFD$329,MATCH('Macro Model (LCY)'!$C227,'Detailed Model (LCY)'!$D$2:$D$329,0),MATCH('Macro Model (LCY)'!H$2,'Detailed Model (LCY)'!$D$2:$XFD$2,0))</f>
        <v>0.71131566633793752</v>
      </c>
      <c r="I227" s="467">
        <f ca="1">INDEX('Detailed Model (LCY)'!$D$2:$XFD$329,MATCH('Macro Model (LCY)'!$C227,'Detailed Model (LCY)'!$D$2:$D$329,0),MATCH('Macro Model (LCY)'!I$2,'Detailed Model (LCY)'!$D$2:$XFD$2,0))</f>
        <v>0.22792995142421427</v>
      </c>
      <c r="J227" s="467">
        <f ca="1">INDEX('Detailed Model (LCY)'!$D$2:$XFD$329,MATCH('Macro Model (LCY)'!$C227,'Detailed Model (LCY)'!$D$2:$D$329,0),MATCH('Macro Model (LCY)'!J$2,'Detailed Model (LCY)'!$D$2:$XFD$2,0))</f>
        <v>0.52612659438651477</v>
      </c>
      <c r="K227" s="467">
        <f ca="1">INDEX('Detailed Model (LCY)'!$D$2:$XFD$329,MATCH('Macro Model (LCY)'!$C227,'Detailed Model (LCY)'!$D$2:$D$329,0),MATCH('Macro Model (LCY)'!K$2,'Detailed Model (LCY)'!$D$2:$XFD$2,0))</f>
        <v>0.29056605967512639</v>
      </c>
      <c r="L227" s="467">
        <f ca="1">INDEX('Detailed Model (LCY)'!$D$2:$XFD$329,MATCH('Macro Model (LCY)'!$C227,'Detailed Model (LCY)'!$D$2:$D$329,0),MATCH('Macro Model (LCY)'!L$2,'Detailed Model (LCY)'!$D$2:$XFD$2,0))</f>
        <v>0.27856069121846655</v>
      </c>
      <c r="M227" s="467">
        <f ca="1">INDEX('Detailed Model (LCY)'!$D$2:$XFD$329,MATCH('Macro Model (LCY)'!$C227,'Detailed Model (LCY)'!$D$2:$D$329,0),MATCH('Macro Model (LCY)'!M$2,'Detailed Model (LCY)'!$D$2:$XFD$2,0))</f>
        <v>0.22899409600417658</v>
      </c>
      <c r="N227" s="467">
        <f ca="1">INDEX('Detailed Model (LCY)'!$D$2:$XFD$329,MATCH('Macro Model (LCY)'!$C227,'Detailed Model (LCY)'!$D$2:$D$329,0),MATCH('Macro Model (LCY)'!N$2,'Detailed Model (LCY)'!$D$2:$XFD$2,0))</f>
        <v>0.18188816431856278</v>
      </c>
      <c r="O227" s="467">
        <f ca="1">INDEX('Detailed Model (LCY)'!$D$2:$XFD$329,MATCH('Macro Model (LCY)'!$C227,'Detailed Model (LCY)'!$D$2:$D$329,0),MATCH('Macro Model (LCY)'!O$2,'Detailed Model (LCY)'!$D$2:$XFD$2,0))</f>
        <v>0.17248938066160374</v>
      </c>
      <c r="P227" s="467">
        <f ca="1">INDEX('Detailed Model (LCY)'!$D$2:$XFD$329,MATCH('Macro Model (LCY)'!$C227,'Detailed Model (LCY)'!$D$2:$D$329,0),MATCH('Macro Model (LCY)'!P$2,'Detailed Model (LCY)'!$D$2:$XFD$2,0))</f>
        <v>0.15068610939415414</v>
      </c>
      <c r="Q227" s="467">
        <f ca="1">INDEX('Detailed Model (LCY)'!$D$2:$XFD$329,MATCH('Macro Model (LCY)'!$C227,'Detailed Model (LCY)'!$D$2:$D$329,0),MATCH('Macro Model (LCY)'!Q$2,'Detailed Model (LCY)'!$D$2:$XFD$2,0))</f>
        <v>0.15202348867036078</v>
      </c>
    </row>
    <row r="228" spans="1:82" outlineLevel="1">
      <c r="C228" s="9" t="s">
        <v>353</v>
      </c>
      <c r="H228" s="467">
        <f ca="1">INDEX('Detailed Model (LCY)'!$D$2:$XFD$329,MATCH('Macro Model (LCY)'!$C228,'Detailed Model (LCY)'!$D$2:$D$329,0),MATCH('Macro Model (LCY)'!H$2,'Detailed Model (LCY)'!$D$2:$XFD$2,0))</f>
        <v>6.8461509964785385</v>
      </c>
      <c r="I228" s="467">
        <f ca="1">INDEX('Detailed Model (LCY)'!$D$2:$XFD$329,MATCH('Macro Model (LCY)'!$C228,'Detailed Model (LCY)'!$D$2:$D$329,0),MATCH('Macro Model (LCY)'!I$2,'Detailed Model (LCY)'!$D$2:$XFD$2,0))</f>
        <v>0.67005331704993154</v>
      </c>
      <c r="J228" s="467">
        <f ca="1">INDEX('Detailed Model (LCY)'!$D$2:$XFD$329,MATCH('Macro Model (LCY)'!$C228,'Detailed Model (LCY)'!$D$2:$D$329,0),MATCH('Macro Model (LCY)'!J$2,'Detailed Model (LCY)'!$D$2:$XFD$2,0))</f>
        <v>11.567978759599892</v>
      </c>
      <c r="K228" s="467">
        <f ca="1">INDEX('Detailed Model (LCY)'!$D$2:$XFD$329,MATCH('Macro Model (LCY)'!$C228,'Detailed Model (LCY)'!$D$2:$D$329,0),MATCH('Macro Model (LCY)'!K$2,'Detailed Model (LCY)'!$D$2:$XFD$2,0))</f>
        <v>5.005144514141648</v>
      </c>
      <c r="L228" s="467">
        <f ca="1">INDEX('Detailed Model (LCY)'!$D$2:$XFD$329,MATCH('Macro Model (LCY)'!$C228,'Detailed Model (LCY)'!$D$2:$D$329,0),MATCH('Macro Model (LCY)'!L$2,'Detailed Model (LCY)'!$D$2:$XFD$2,0))</f>
        <v>3.8074385347994832</v>
      </c>
      <c r="M228" s="467">
        <f ca="1">INDEX('Detailed Model (LCY)'!$D$2:$XFD$329,MATCH('Macro Model (LCY)'!$C228,'Detailed Model (LCY)'!$D$2:$D$329,0),MATCH('Macro Model (LCY)'!M$2,'Detailed Model (LCY)'!$D$2:$XFD$2,0))</f>
        <v>3.1555108285143589</v>
      </c>
      <c r="N228" s="467">
        <f ca="1">INDEX('Detailed Model (LCY)'!$D$2:$XFD$329,MATCH('Macro Model (LCY)'!$C228,'Detailed Model (LCY)'!$D$2:$D$329,0),MATCH('Macro Model (LCY)'!N$2,'Detailed Model (LCY)'!$D$2:$XFD$2,0))</f>
        <v>4.3907168913425831</v>
      </c>
      <c r="O228" s="467">
        <f ca="1">INDEX('Detailed Model (LCY)'!$D$2:$XFD$329,MATCH('Macro Model (LCY)'!$C228,'Detailed Model (LCY)'!$D$2:$D$329,0),MATCH('Macro Model (LCY)'!O$2,'Detailed Model (LCY)'!$D$2:$XFD$2,0))</f>
        <v>5.0460352705800098</v>
      </c>
      <c r="P228" s="467">
        <f ca="1">INDEX('Detailed Model (LCY)'!$D$2:$XFD$329,MATCH('Macro Model (LCY)'!$C228,'Detailed Model (LCY)'!$D$2:$D$329,0),MATCH('Macro Model (LCY)'!P$2,'Detailed Model (LCY)'!$D$2:$XFD$2,0))</f>
        <v>5.8388044472519312</v>
      </c>
      <c r="Q228" s="467">
        <f ca="1">INDEX('Detailed Model (LCY)'!$D$2:$XFD$329,MATCH('Macro Model (LCY)'!$C228,'Detailed Model (LCY)'!$D$2:$D$329,0),MATCH('Macro Model (LCY)'!Q$2,'Detailed Model (LCY)'!$D$2:$XFD$2,0))</f>
        <v>7.5727006585283885</v>
      </c>
    </row>
    <row r="229" spans="1:82" outlineLevel="1">
      <c r="C229" s="9" t="s">
        <v>359</v>
      </c>
      <c r="H229" s="431">
        <f ca="1">INDEX('Detailed Model (LCY)'!$D$2:$XFD$329,MATCH('Macro Model (LCY)'!$C229,'Detailed Model (LCY)'!$D$2:$D$329,0),MATCH('Macro Model (LCY)'!H$2,'Detailed Model (LCY)'!$D$2:$XFD$2,0))</f>
        <v>4.4579946688379399</v>
      </c>
      <c r="I229" s="431">
        <f ca="1">INDEX('Detailed Model (LCY)'!$D$2:$XFD$329,MATCH('Macro Model (LCY)'!$C229,'Detailed Model (LCY)'!$D$2:$D$329,0),MATCH('Macro Model (LCY)'!I$2,'Detailed Model (LCY)'!$D$2:$XFD$2,0))</f>
        <v>3.7158168304991417</v>
      </c>
      <c r="J229" s="431">
        <f ca="1">INDEX('Detailed Model (LCY)'!$D$2:$XFD$329,MATCH('Macro Model (LCY)'!$C229,'Detailed Model (LCY)'!$D$2:$D$329,0),MATCH('Macro Model (LCY)'!J$2,'Detailed Model (LCY)'!$D$2:$XFD$2,0))</f>
        <v>6.1864131687452479</v>
      </c>
      <c r="K229" s="431">
        <f ca="1">INDEX('Detailed Model (LCY)'!$D$2:$XFD$329,MATCH('Macro Model (LCY)'!$C229,'Detailed Model (LCY)'!$D$2:$D$329,0),MATCH('Macro Model (LCY)'!K$2,'Detailed Model (LCY)'!$D$2:$XFD$2,0))</f>
        <v>6.47807191286216</v>
      </c>
      <c r="L229" s="431">
        <f ca="1">INDEX('Detailed Model (LCY)'!$D$2:$XFD$329,MATCH('Macro Model (LCY)'!$C229,'Detailed Model (LCY)'!$D$2:$D$329,0),MATCH('Macro Model (LCY)'!L$2,'Detailed Model (LCY)'!$D$2:$XFD$2,0))</f>
        <v>6.2662976204110477</v>
      </c>
      <c r="M229" s="431">
        <f ca="1">INDEX('Detailed Model (LCY)'!$D$2:$XFD$329,MATCH('Macro Model (LCY)'!$C229,'Detailed Model (LCY)'!$D$2:$D$329,0),MATCH('Macro Model (LCY)'!M$2,'Detailed Model (LCY)'!$D$2:$XFD$2,0))</f>
        <v>5.9175782303160931</v>
      </c>
      <c r="N229" s="431">
        <f ca="1">INDEX('Detailed Model (LCY)'!$D$2:$XFD$329,MATCH('Macro Model (LCY)'!$C229,'Detailed Model (LCY)'!$D$2:$D$329,0),MATCH('Macro Model (LCY)'!N$2,'Detailed Model (LCY)'!$D$2:$XFD$2,0))</f>
        <v>8.0548717980325559</v>
      </c>
      <c r="O229" s="431">
        <f ca="1">INDEX('Detailed Model (LCY)'!$D$2:$XFD$329,MATCH('Macro Model (LCY)'!$C229,'Detailed Model (LCY)'!$D$2:$D$329,0),MATCH('Macro Model (LCY)'!O$2,'Detailed Model (LCY)'!$D$2:$XFD$2,0))</f>
        <v>6.6618947592206696</v>
      </c>
      <c r="P229" s="431">
        <f ca="1">INDEX('Detailed Model (LCY)'!$D$2:$XFD$329,MATCH('Macro Model (LCY)'!$C229,'Detailed Model (LCY)'!$D$2:$D$329,0),MATCH('Macro Model (LCY)'!P$2,'Detailed Model (LCY)'!$D$2:$XFD$2,0))</f>
        <v>6.6480150950668753</v>
      </c>
      <c r="Q229" s="431">
        <f ca="1">INDEX('Detailed Model (LCY)'!$D$2:$XFD$329,MATCH('Macro Model (LCY)'!$C229,'Detailed Model (LCY)'!$D$2:$D$329,0),MATCH('Macro Model (LCY)'!Q$2,'Detailed Model (LCY)'!$D$2:$XFD$2,0))</f>
        <v>6.1591657108539914</v>
      </c>
    </row>
    <row r="230" spans="1:82" outlineLevel="1">
      <c r="H230" s="430"/>
      <c r="I230" s="430"/>
      <c r="J230" s="430"/>
      <c r="K230" s="430"/>
      <c r="L230" s="430"/>
      <c r="M230" s="430"/>
      <c r="N230" s="430"/>
      <c r="O230" s="430"/>
      <c r="P230" s="430"/>
      <c r="Q230" s="430"/>
    </row>
    <row r="231" spans="1:82" outlineLevel="1">
      <c r="B231" s="120" t="s">
        <v>196</v>
      </c>
      <c r="C231" s="120"/>
      <c r="D231" s="120"/>
      <c r="E231" s="120"/>
      <c r="F231" s="120"/>
      <c r="G231" s="120"/>
      <c r="H231" s="465"/>
      <c r="I231" s="465"/>
      <c r="J231" s="465"/>
      <c r="K231" s="465"/>
      <c r="L231" s="465"/>
      <c r="M231" s="465"/>
      <c r="N231" s="465"/>
      <c r="O231" s="465"/>
      <c r="P231" s="465"/>
      <c r="Q231" s="465"/>
    </row>
    <row r="232" spans="1:82" outlineLevel="1">
      <c r="C232" s="5" t="s">
        <v>197</v>
      </c>
      <c r="H232" s="431">
        <f ca="1">INDEX('Detailed Model (LCY)'!$D$2:$XFD$329,MATCH('Macro Model (LCY)'!$C232,'Detailed Model (LCY)'!$D$2:$D$329,0),MATCH('Macro Model (LCY)'!H$2,'Detailed Model (LCY)'!$D$2:$XFD$2,0))</f>
        <v>15527.041511382471</v>
      </c>
      <c r="I232" s="431">
        <f ca="1">INDEX('Detailed Model (LCY)'!$D$2:$XFD$329,MATCH('Macro Model (LCY)'!$C232,'Detailed Model (LCY)'!$D$2:$D$329,0),MATCH('Macro Model (LCY)'!I$2,'Detailed Model (LCY)'!$D$2:$XFD$2,0))</f>
        <v>23782.594577833301</v>
      </c>
      <c r="J232" s="431">
        <f ca="1">INDEX('Detailed Model (LCY)'!$D$2:$XFD$329,MATCH('Macro Model (LCY)'!$C232,'Detailed Model (LCY)'!$D$2:$D$329,0),MATCH('Macro Model (LCY)'!J$2,'Detailed Model (LCY)'!$D$2:$XFD$2,0))</f>
        <v>34438.172018726887</v>
      </c>
      <c r="K232" s="431">
        <f ca="1">INDEX('Detailed Model (LCY)'!$D$2:$XFD$329,MATCH('Macro Model (LCY)'!$C232,'Detailed Model (LCY)'!$D$2:$D$329,0),MATCH('Macro Model (LCY)'!K$2,'Detailed Model (LCY)'!$D$2:$XFD$2,0))</f>
        <v>47962.015600656618</v>
      </c>
      <c r="L232" s="431">
        <f ca="1">INDEX('Detailed Model (LCY)'!$D$2:$XFD$329,MATCH('Macro Model (LCY)'!$C232,'Detailed Model (LCY)'!$D$2:$D$329,0),MATCH('Macro Model (LCY)'!L$2,'Detailed Model (LCY)'!$D$2:$XFD$2,0))</f>
        <v>65127.012625105453</v>
      </c>
      <c r="M232" s="431">
        <f ca="1">INDEX('Detailed Model (LCY)'!$D$2:$XFD$329,MATCH('Macro Model (LCY)'!$C232,'Detailed Model (LCY)'!$D$2:$D$329,0),MATCH('Macro Model (LCY)'!M$2,'Detailed Model (LCY)'!$D$2:$XFD$2,0))</f>
        <v>84361.749277211769</v>
      </c>
      <c r="N232" s="431">
        <f ca="1">INDEX('Detailed Model (LCY)'!$D$2:$XFD$329,MATCH('Macro Model (LCY)'!$C232,'Detailed Model (LCY)'!$D$2:$D$329,0),MATCH('Macro Model (LCY)'!N$2,'Detailed Model (LCY)'!$D$2:$XFD$2,0))</f>
        <v>103850.0344266411</v>
      </c>
      <c r="O232" s="431">
        <f ca="1">INDEX('Detailed Model (LCY)'!$D$2:$XFD$329,MATCH('Macro Model (LCY)'!$C232,'Detailed Model (LCY)'!$D$2:$D$329,0),MATCH('Macro Model (LCY)'!O$2,'Detailed Model (LCY)'!$D$2:$XFD$2,0))</f>
        <v>123474.54292394446</v>
      </c>
      <c r="P232" s="431">
        <f ca="1">INDEX('Detailed Model (LCY)'!$D$2:$XFD$329,MATCH('Macro Model (LCY)'!$C232,'Detailed Model (LCY)'!$D$2:$D$329,0),MATCH('Macro Model (LCY)'!P$2,'Detailed Model (LCY)'!$D$2:$XFD$2,0))</f>
        <v>143119.23335231157</v>
      </c>
      <c r="Q232" s="431">
        <f ca="1">INDEX('Detailed Model (LCY)'!$D$2:$XFD$329,MATCH('Macro Model (LCY)'!$C232,'Detailed Model (LCY)'!$D$2:$D$329,0),MATCH('Macro Model (LCY)'!Q$2,'Detailed Model (LCY)'!$D$2:$XFD$2,0))</f>
        <v>162774.35618977321</v>
      </c>
    </row>
    <row r="233" spans="1:82" outlineLevel="1">
      <c r="C233" s="5" t="s">
        <v>198</v>
      </c>
      <c r="H233" s="431">
        <f ca="1">INDEX('Detailed Model (LCY)'!$D$2:$XFD$329,MATCH('Macro Model (LCY)'!$C233,'Detailed Model (LCY)'!$D$2:$D$329,0),MATCH('Macro Model (LCY)'!H$2,'Detailed Model (LCY)'!$D$2:$XFD$2,0))</f>
        <v>77635.207556912355</v>
      </c>
      <c r="I233" s="431">
        <f ca="1">INDEX('Detailed Model (LCY)'!$D$2:$XFD$329,MATCH('Macro Model (LCY)'!$C233,'Detailed Model (LCY)'!$D$2:$D$329,0),MATCH('Macro Model (LCY)'!I$2,'Detailed Model (LCY)'!$D$2:$XFD$2,0))</f>
        <v>118912.9728891665</v>
      </c>
      <c r="J233" s="431">
        <f ca="1">INDEX('Detailed Model (LCY)'!$D$2:$XFD$329,MATCH('Macro Model (LCY)'!$C233,'Detailed Model (LCY)'!$D$2:$D$329,0),MATCH('Macro Model (LCY)'!J$2,'Detailed Model (LCY)'!$D$2:$XFD$2,0))</f>
        <v>172190.86009363443</v>
      </c>
      <c r="K233" s="431">
        <f ca="1">INDEX('Detailed Model (LCY)'!$D$2:$XFD$329,MATCH('Macro Model (LCY)'!$C233,'Detailed Model (LCY)'!$D$2:$D$329,0),MATCH('Macro Model (LCY)'!K$2,'Detailed Model (LCY)'!$D$2:$XFD$2,0))</f>
        <v>239810.0780032831</v>
      </c>
      <c r="L233" s="431">
        <f ca="1">INDEX('Detailed Model (LCY)'!$D$2:$XFD$329,MATCH('Macro Model (LCY)'!$C233,'Detailed Model (LCY)'!$D$2:$D$329,0),MATCH('Macro Model (LCY)'!L$2,'Detailed Model (LCY)'!$D$2:$XFD$2,0))</f>
        <v>325635.06312552729</v>
      </c>
      <c r="M233" s="431">
        <f ca="1">INDEX('Detailed Model (LCY)'!$D$2:$XFD$329,MATCH('Macro Model (LCY)'!$C233,'Detailed Model (LCY)'!$D$2:$D$329,0),MATCH('Macro Model (LCY)'!M$2,'Detailed Model (LCY)'!$D$2:$XFD$2,0))</f>
        <v>421808.74638605886</v>
      </c>
      <c r="N233" s="431">
        <f ca="1">INDEX('Detailed Model (LCY)'!$D$2:$XFD$329,MATCH('Macro Model (LCY)'!$C233,'Detailed Model (LCY)'!$D$2:$D$329,0),MATCH('Macro Model (LCY)'!N$2,'Detailed Model (LCY)'!$D$2:$XFD$2,0))</f>
        <v>519250.17213320546</v>
      </c>
      <c r="O233" s="431">
        <f ca="1">INDEX('Detailed Model (LCY)'!$D$2:$XFD$329,MATCH('Macro Model (LCY)'!$C233,'Detailed Model (LCY)'!$D$2:$D$329,0),MATCH('Macro Model (LCY)'!O$2,'Detailed Model (LCY)'!$D$2:$XFD$2,0))</f>
        <v>617372.71461972233</v>
      </c>
      <c r="P233" s="431">
        <f ca="1">INDEX('Detailed Model (LCY)'!$D$2:$XFD$329,MATCH('Macro Model (LCY)'!$C233,'Detailed Model (LCY)'!$D$2:$D$329,0),MATCH('Macro Model (LCY)'!P$2,'Detailed Model (LCY)'!$D$2:$XFD$2,0))</f>
        <v>715596.1667615578</v>
      </c>
      <c r="Q233" s="431">
        <f ca="1">INDEX('Detailed Model (LCY)'!$D$2:$XFD$329,MATCH('Macro Model (LCY)'!$C233,'Detailed Model (LCY)'!$D$2:$D$329,0),MATCH('Macro Model (LCY)'!Q$2,'Detailed Model (LCY)'!$D$2:$XFD$2,0))</f>
        <v>813871.78094886604</v>
      </c>
    </row>
    <row r="234" spans="1:82" outlineLevel="1">
      <c r="C234" s="5" t="s">
        <v>471</v>
      </c>
      <c r="H234" s="431">
        <f ca="1">INDEX('Detailed Model (LCY)'!$D$2:$XFD$329,MATCH('Macro Model (LCY)'!$C234,'Detailed Model (LCY)'!$D$2:$D$329,0),MATCH('Macro Model (LCY)'!H$2,'Detailed Model (LCY)'!$D$2:$XFD$2,0))</f>
        <v>163.81985630661632</v>
      </c>
      <c r="I234" s="431">
        <f ca="1">INDEX('Detailed Model (LCY)'!$D$2:$XFD$329,MATCH('Macro Model (LCY)'!$C234,'Detailed Model (LCY)'!$D$2:$D$329,0),MATCH('Macro Model (LCY)'!I$2,'Detailed Model (LCY)'!$D$2:$XFD$2,0))</f>
        <v>176.11263869227705</v>
      </c>
      <c r="J234" s="431">
        <f ca="1">INDEX('Detailed Model (LCY)'!$D$2:$XFD$329,MATCH('Macro Model (LCY)'!$C234,'Detailed Model (LCY)'!$D$2:$D$329,0),MATCH('Macro Model (LCY)'!J$2,'Detailed Model (LCY)'!$D$2:$XFD$2,0))</f>
        <v>157.62923085305985</v>
      </c>
      <c r="K234" s="431">
        <f ca="1">INDEX('Detailed Model (LCY)'!$D$2:$XFD$329,MATCH('Macro Model (LCY)'!$C234,'Detailed Model (LCY)'!$D$2:$D$329,0),MATCH('Macro Model (LCY)'!K$2,'Detailed Model (LCY)'!$D$2:$XFD$2,0))</f>
        <v>154.02166142413296</v>
      </c>
      <c r="L234" s="431">
        <f ca="1">INDEX('Detailed Model (LCY)'!$D$2:$XFD$329,MATCH('Macro Model (LCY)'!$C234,'Detailed Model (LCY)'!$D$2:$D$329,0),MATCH('Macro Model (LCY)'!L$2,'Detailed Model (LCY)'!$D$2:$XFD$2,0))</f>
        <v>158.16441094034676</v>
      </c>
      <c r="M234" s="431">
        <f ca="1">INDEX('Detailed Model (LCY)'!$D$2:$XFD$329,MATCH('Macro Model (LCY)'!$C234,'Detailed Model (LCY)'!$D$2:$D$329,0),MATCH('Macro Model (LCY)'!M$2,'Detailed Model (LCY)'!$D$2:$XFD$2,0))</f>
        <v>148.0513951644341</v>
      </c>
      <c r="N234" s="431">
        <f ca="1">INDEX('Detailed Model (LCY)'!$D$2:$XFD$329,MATCH('Macro Model (LCY)'!$C234,'Detailed Model (LCY)'!$D$2:$D$329,0),MATCH('Macro Model (LCY)'!N$2,'Detailed Model (LCY)'!$D$2:$XFD$2,0))</f>
        <v>156.3332420059854</v>
      </c>
      <c r="O234" s="431">
        <f ca="1">INDEX('Detailed Model (LCY)'!$D$2:$XFD$329,MATCH('Macro Model (LCY)'!$C234,'Detailed Model (LCY)'!$D$2:$D$329,0),MATCH('Macro Model (LCY)'!O$2,'Detailed Model (LCY)'!$D$2:$XFD$2,0))</f>
        <v>157.96147093447715</v>
      </c>
      <c r="P234" s="431">
        <f ca="1">INDEX('Detailed Model (LCY)'!$D$2:$XFD$329,MATCH('Macro Model (LCY)'!$C234,'Detailed Model (LCY)'!$D$2:$D$329,0),MATCH('Macro Model (LCY)'!P$2,'Detailed Model (LCY)'!$D$2:$XFD$2,0))</f>
        <v>158.54963070322179</v>
      </c>
      <c r="Q234" s="431">
        <f ca="1">INDEX('Detailed Model (LCY)'!$D$2:$XFD$329,MATCH('Macro Model (LCY)'!$C234,'Detailed Model (LCY)'!$D$2:$D$329,0),MATCH('Macro Model (LCY)'!Q$2,'Detailed Model (LCY)'!$D$2:$XFD$2,0))</f>
        <v>158.6328202270671</v>
      </c>
    </row>
    <row r="235" spans="1:82" outlineLevel="1">
      <c r="C235" s="5" t="s">
        <v>199</v>
      </c>
      <c r="H235" s="431">
        <f ca="1">INDEX('Detailed Model (LCY)'!$D$2:$XFD$329,MATCH('Macro Model (LCY)'!$C235,'Detailed Model (LCY)'!$D$2:$D$329,0),MATCH('Macro Model (LCY)'!H$2,'Detailed Model (LCY)'!$D$2:$XFD$2,0))</f>
        <v>57.336949707315704</v>
      </c>
      <c r="I235" s="431">
        <f ca="1">INDEX('Detailed Model (LCY)'!$D$2:$XFD$329,MATCH('Macro Model (LCY)'!$C235,'Detailed Model (LCY)'!$D$2:$D$329,0),MATCH('Macro Model (LCY)'!I$2,'Detailed Model (LCY)'!$D$2:$XFD$2,0))</f>
        <v>70.445055476910824</v>
      </c>
      <c r="J235" s="431">
        <f ca="1">INDEX('Detailed Model (LCY)'!$D$2:$XFD$329,MATCH('Macro Model (LCY)'!$C235,'Detailed Model (LCY)'!$D$2:$D$329,0),MATCH('Macro Model (LCY)'!J$2,'Detailed Model (LCY)'!$D$2:$XFD$2,0))</f>
        <v>70.93315388387694</v>
      </c>
      <c r="K235" s="431">
        <f ca="1">INDEX('Detailed Model (LCY)'!$D$2:$XFD$329,MATCH('Macro Model (LCY)'!$C235,'Detailed Model (LCY)'!$D$2:$D$329,0),MATCH('Macro Model (LCY)'!K$2,'Detailed Model (LCY)'!$D$2:$XFD$2,0))</f>
        <v>77.010830712066479</v>
      </c>
      <c r="L235" s="431">
        <f ca="1">INDEX('Detailed Model (LCY)'!$D$2:$XFD$329,MATCH('Macro Model (LCY)'!$C235,'Detailed Model (LCY)'!$D$2:$D$329,0),MATCH('Macro Model (LCY)'!L$2,'Detailed Model (LCY)'!$D$2:$XFD$2,0))</f>
        <v>79.082205470173378</v>
      </c>
      <c r="M235" s="431">
        <f ca="1">INDEX('Detailed Model (LCY)'!$D$2:$XFD$329,MATCH('Macro Model (LCY)'!$C235,'Detailed Model (LCY)'!$D$2:$D$329,0),MATCH('Macro Model (LCY)'!M$2,'Detailed Model (LCY)'!$D$2:$XFD$2,0))</f>
        <v>74.025697582217049</v>
      </c>
      <c r="N235" s="431">
        <f ca="1">INDEX('Detailed Model (LCY)'!$D$2:$XFD$329,MATCH('Macro Model (LCY)'!$C235,'Detailed Model (LCY)'!$D$2:$D$329,0),MATCH('Macro Model (LCY)'!N$2,'Detailed Model (LCY)'!$D$2:$XFD$2,0))</f>
        <v>78.166621002992699</v>
      </c>
      <c r="O235" s="431">
        <f ca="1">INDEX('Detailed Model (LCY)'!$D$2:$XFD$329,MATCH('Macro Model (LCY)'!$C235,'Detailed Model (LCY)'!$D$2:$D$329,0),MATCH('Macro Model (LCY)'!O$2,'Detailed Model (LCY)'!$D$2:$XFD$2,0))</f>
        <v>78.980735467238574</v>
      </c>
      <c r="P235" s="431">
        <f ca="1">INDEX('Detailed Model (LCY)'!$D$2:$XFD$329,MATCH('Macro Model (LCY)'!$C235,'Detailed Model (LCY)'!$D$2:$D$329,0),MATCH('Macro Model (LCY)'!P$2,'Detailed Model (LCY)'!$D$2:$XFD$2,0))</f>
        <v>79.274815351610897</v>
      </c>
      <c r="Q235" s="431">
        <f ca="1">INDEX('Detailed Model (LCY)'!$D$2:$XFD$329,MATCH('Macro Model (LCY)'!$C235,'Detailed Model (LCY)'!$D$2:$D$329,0),MATCH('Macro Model (LCY)'!Q$2,'Detailed Model (LCY)'!$D$2:$XFD$2,0))</f>
        <v>79.31641011353355</v>
      </c>
    </row>
    <row r="236" spans="1:82" outlineLevel="1">
      <c r="C236" s="5" t="s">
        <v>200</v>
      </c>
      <c r="H236" s="431">
        <f ca="1">INDEX('Detailed Model (LCY)'!$D$2:$XFD$329,MATCH('Macro Model (LCY)'!$C236,'Detailed Model (LCY)'!$D$2:$D$329,0),MATCH('Macro Model (LCY)'!H$2,'Detailed Model (LCY)'!$D$2:$XFD$2,0))</f>
        <v>2018.5153964797214</v>
      </c>
      <c r="I236" s="431">
        <f ca="1">INDEX('Detailed Model (LCY)'!$D$2:$XFD$329,MATCH('Macro Model (LCY)'!$C236,'Detailed Model (LCY)'!$D$2:$D$329,0),MATCH('Macro Model (LCY)'!I$2,'Detailed Model (LCY)'!$D$2:$XFD$2,0))</f>
        <v>3091.7372951183293</v>
      </c>
      <c r="J236" s="431">
        <f ca="1">INDEX('Detailed Model (LCY)'!$D$2:$XFD$329,MATCH('Macro Model (LCY)'!$C236,'Detailed Model (LCY)'!$D$2:$D$329,0),MATCH('Macro Model (LCY)'!J$2,'Detailed Model (LCY)'!$D$2:$XFD$2,0))</f>
        <v>4476.9623624344958</v>
      </c>
      <c r="K236" s="431">
        <f ca="1">INDEX('Detailed Model (LCY)'!$D$2:$XFD$329,MATCH('Macro Model (LCY)'!$C236,'Detailed Model (LCY)'!$D$2:$D$329,0),MATCH('Macro Model (LCY)'!K$2,'Detailed Model (LCY)'!$D$2:$XFD$2,0))</f>
        <v>6235.0620280853609</v>
      </c>
      <c r="L236" s="431">
        <f ca="1">INDEX('Detailed Model (LCY)'!$D$2:$XFD$329,MATCH('Macro Model (LCY)'!$C236,'Detailed Model (LCY)'!$D$2:$D$329,0),MATCH('Macro Model (LCY)'!L$2,'Detailed Model (LCY)'!$D$2:$XFD$2,0))</f>
        <v>8466.511641263709</v>
      </c>
      <c r="M236" s="431">
        <f ca="1">INDEX('Detailed Model (LCY)'!$D$2:$XFD$329,MATCH('Macro Model (LCY)'!$C236,'Detailed Model (LCY)'!$D$2:$D$329,0),MATCH('Macro Model (LCY)'!M$2,'Detailed Model (LCY)'!$D$2:$XFD$2,0))</f>
        <v>10967.02740603753</v>
      </c>
      <c r="N236" s="431">
        <f ca="1">INDEX('Detailed Model (LCY)'!$D$2:$XFD$329,MATCH('Macro Model (LCY)'!$C236,'Detailed Model (LCY)'!$D$2:$D$329,0),MATCH('Macro Model (LCY)'!N$2,'Detailed Model (LCY)'!$D$2:$XFD$2,0))</f>
        <v>13500.504475463344</v>
      </c>
      <c r="O236" s="431">
        <f ca="1">INDEX('Detailed Model (LCY)'!$D$2:$XFD$329,MATCH('Macro Model (LCY)'!$C236,'Detailed Model (LCY)'!$D$2:$D$329,0),MATCH('Macro Model (LCY)'!O$2,'Detailed Model (LCY)'!$D$2:$XFD$2,0))</f>
        <v>16051.690580112781</v>
      </c>
      <c r="P236" s="431">
        <f ca="1">INDEX('Detailed Model (LCY)'!$D$2:$XFD$329,MATCH('Macro Model (LCY)'!$C236,'Detailed Model (LCY)'!$D$2:$D$329,0),MATCH('Macro Model (LCY)'!P$2,'Detailed Model (LCY)'!$D$2:$XFD$2,0))</f>
        <v>18605.500335800505</v>
      </c>
      <c r="Q236" s="431">
        <f ca="1">INDEX('Detailed Model (LCY)'!$D$2:$XFD$329,MATCH('Macro Model (LCY)'!$C236,'Detailed Model (LCY)'!$D$2:$D$329,0),MATCH('Macro Model (LCY)'!Q$2,'Detailed Model (LCY)'!$D$2:$XFD$2,0))</f>
        <v>21160.666304670518</v>
      </c>
    </row>
    <row r="238" spans="1:82" s="163" customFormat="1">
      <c r="A238" s="160" t="s">
        <v>40</v>
      </c>
      <c r="B238" s="338"/>
      <c r="C238" s="161"/>
      <c r="D238" s="161"/>
      <c r="E238" s="161"/>
      <c r="F238" s="161"/>
      <c r="G238" s="161"/>
      <c r="H238" s="161"/>
      <c r="I238" s="161"/>
      <c r="J238" s="161"/>
      <c r="K238" s="339"/>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c r="BP238" s="161"/>
      <c r="BQ238" s="161"/>
      <c r="BR238" s="161"/>
      <c r="BS238" s="161"/>
      <c r="BT238" s="161"/>
      <c r="BU238" s="161"/>
      <c r="BV238" s="161"/>
      <c r="BW238" s="161"/>
      <c r="BX238" s="161"/>
      <c r="BY238" s="161"/>
      <c r="BZ238" s="161"/>
      <c r="CA238" s="161"/>
      <c r="CB238" s="161"/>
      <c r="CC238" s="161"/>
      <c r="CD238" s="161"/>
    </row>
  </sheetData>
  <sheetProtection sheet="1" objects="1" scenarios="1"/>
  <scenarios current="0" sqref="H120">
    <scenario name="Worst case" locked="1" count="8" user="lea bouguern" comment="Created by lea bouguern on 13/08/2020">
      <inputCells r="M18" val="42458,4575686467"/>
      <inputCells r="M33" val="12023076,8395773"/>
      <inputCells r="M62" val="-5106694,60677176"/>
      <inputCells r="M99" val="-4385433,59824772"/>
      <inputCells r="M101" val="2530948,63455786"/>
      <inputCells r="M115" val="1603129,2054617"/>
      <inputCells r="M232" val="111267,966696824"/>
      <inputCells r="M236" val="14464,8356705871"/>
    </scenario>
    <scenario name="Base case" locked="1" count="8" user="lea bouguern" comment="Created by lea bouguern on 13/08/2020">
      <inputCells r="M18" val="54735,8107282106"/>
      <inputCells r="M33" val="16338649,1956106"/>
      <inputCells r="M62" val="-6485156,70132401"/>
      <inputCells r="M99" val="-4152821,75468954"/>
      <inputCells r="M101" val="5700670,73959706"/>
      <inputCells r="M115" val="3713998,0574741"/>
      <inputCells r="M232" val="134723,453062756"/>
      <inputCells r="M236" val="17514,0488981583"/>
    </scenario>
    <scenario name="Best case" locked="1" count="8" user="lea bouguern" comment="Created by lea bouguern on 13/08/2020">
      <inputCells r="M18" val="71023,756513701"/>
      <inputCells r="M33" val="21476572,9866487"/>
      <inputCells r="M62" val="-8285921,07211518"/>
      <inputCells r="M99" val="-5405029,35831124"/>
      <inputCells r="M101" val="7785622,55622226"/>
      <inputCells r="M115" val="5207510,04814092"/>
      <inputCells r="M232" val="164663,058231761"/>
      <inputCells r="M236" val="21406,1975701289"/>
    </scenario>
  </scenarios>
  <conditionalFormatting sqref="K238">
    <cfRule type="colorScale" priority="6">
      <colorScale>
        <cfvo type="num" val="0"/>
        <cfvo type="num" val="1"/>
        <color rgb="FF00B050"/>
        <color rgb="FFFFC000"/>
      </colorScale>
    </cfRule>
  </conditionalFormatting>
  <conditionalFormatting sqref="C120:C123">
    <cfRule type="cellIs" dxfId="13" priority="4" operator="equal">
      <formula>"FALSE"</formula>
    </cfRule>
    <cfRule type="cellIs" dxfId="12" priority="5" operator="equal">
      <formula>"TRUE"</formula>
    </cfRule>
  </conditionalFormatting>
  <conditionalFormatting sqref="C6:C9">
    <cfRule type="endsWith" dxfId="11" priority="1" operator="endsWith" text="best case">
      <formula>RIGHT(C6,LEN("best case"))="best case"</formula>
    </cfRule>
    <cfRule type="endsWith" dxfId="10" priority="2" operator="endsWith" text="worst case">
      <formula>RIGHT(C6,LEN("worst case"))="worst case"</formula>
    </cfRule>
    <cfRule type="endsWith" dxfId="9" priority="3" operator="endsWith" text="base">
      <formula>RIGHT(C6,LEN("base"))="base"</formula>
    </cfRule>
  </conditionalFormatting>
  <dataValidations disablePrompts="1" count="1">
    <dataValidation allowBlank="1" showErrorMessage="1" sqref="C106:C109 C225:C229 C113:C116 C219:C223 C119:C124" xr:uid="{00000000-0002-0000-0800-000000000000}"/>
  </dataValidations>
  <hyperlinks>
    <hyperlink ref="B3" location="'Cover page'!A1" display="Cover page" xr:uid="{EE270EA6-B8B7-4A1F-A756-075F295878F0}"/>
  </hyperlinks>
  <pageMargins left="0.7" right="0.7" top="0.75" bottom="0.75" header="0.3" footer="0.3"/>
  <pageSetup scale="48" orientation="portrait" horizontalDpi="1200" verticalDpi="1200" r:id="rId1"/>
  <rowBreaks count="1" manualBreakCount="1">
    <brk id="124" max="11" man="1"/>
  </rowBreaks>
  <ignoredErrors>
    <ignoredError sqref="H175:L175 I173:L173 I174:L174" 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F8507-FAAF-4032-B882-D84AEABEEA0D}">
          <x14:formula1>
            <xm:f>List!$B$20:$B$21</xm:f>
          </x14:formula1>
          <xm:sqref>D179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BBAE-4AF4-466C-BA18-F25E510F4E20}">
  <sheetPr>
    <tabColor theme="4" tint="0.79998168889431442"/>
  </sheetPr>
  <dimension ref="A1:CD238"/>
  <sheetViews>
    <sheetView showGridLines="0" zoomScale="80" zoomScaleNormal="80" zoomScaleSheetLayoutView="25" workbookViewId="0">
      <pane xSplit="5" ySplit="4" topLeftCell="H187" activePane="bottomRight" state="frozen"/>
      <selection activeCell="H117" sqref="H117"/>
      <selection pane="topRight" activeCell="H117" sqref="H117"/>
      <selection pane="bottomLeft" activeCell="H117" sqref="H117"/>
      <selection pane="bottomRight" activeCell="H213" sqref="H213"/>
    </sheetView>
  </sheetViews>
  <sheetFormatPr defaultColWidth="11.44140625" defaultRowHeight="13.8" outlineLevelRow="2" outlineLevelCol="1"/>
  <cols>
    <col min="1" max="1" width="6" style="5" customWidth="1"/>
    <col min="2" max="2" width="15.77734375" style="5" customWidth="1"/>
    <col min="3" max="3" width="4.77734375" style="5" customWidth="1"/>
    <col min="4" max="4" width="11.44140625" style="5"/>
    <col min="5" max="5" width="32.77734375" style="5" customWidth="1"/>
    <col min="6" max="6" width="15.77734375" style="5" bestFit="1" customWidth="1"/>
    <col min="7" max="7" width="15.77734375" style="5" customWidth="1" outlineLevel="1"/>
    <col min="8" max="17" width="15.21875" style="5" customWidth="1"/>
    <col min="18" max="18" width="11.44140625" style="5"/>
    <col min="19" max="19" width="20.77734375" style="5" bestFit="1" customWidth="1"/>
    <col min="20" max="20" width="19.77734375" style="5" bestFit="1" customWidth="1"/>
    <col min="21" max="16384" width="11.44140625" style="5"/>
  </cols>
  <sheetData>
    <row r="1" spans="1:17" s="163" customFormat="1">
      <c r="A1" s="160"/>
      <c r="B1" s="160" t="str">
        <f>+Flags!B1</f>
        <v>[Company name]</v>
      </c>
      <c r="C1" s="161"/>
      <c r="D1" s="161"/>
      <c r="E1" s="161"/>
      <c r="F1" s="162" t="str">
        <f>+Flags!C21</f>
        <v>Period Start date</v>
      </c>
      <c r="G1" s="162"/>
      <c r="H1" s="162">
        <f>+Flags!J21</f>
        <v>44927</v>
      </c>
      <c r="I1" s="162">
        <f t="shared" ref="I1:Q1" si="0">+H2+1</f>
        <v>45292</v>
      </c>
      <c r="J1" s="162">
        <f t="shared" si="0"/>
        <v>45658</v>
      </c>
      <c r="K1" s="162">
        <f t="shared" si="0"/>
        <v>46023</v>
      </c>
      <c r="L1" s="162">
        <f t="shared" si="0"/>
        <v>46388</v>
      </c>
      <c r="M1" s="162">
        <f t="shared" si="0"/>
        <v>46753</v>
      </c>
      <c r="N1" s="162">
        <f t="shared" si="0"/>
        <v>47119</v>
      </c>
      <c r="O1" s="162">
        <f t="shared" si="0"/>
        <v>47484</v>
      </c>
      <c r="P1" s="162">
        <f t="shared" si="0"/>
        <v>47849</v>
      </c>
      <c r="Q1" s="162">
        <f t="shared" si="0"/>
        <v>48214</v>
      </c>
    </row>
    <row r="2" spans="1:17" s="163" customFormat="1">
      <c r="A2" s="160"/>
      <c r="B2" s="160" t="str">
        <f ca="1">RIGHT(CELL("filename",$B$1),LEN(CELL("filename",$B$1))-SEARCH("]",CELL("filename",$B$1)))</f>
        <v>Macro Model (USD)</v>
      </c>
      <c r="C2" s="161"/>
      <c r="D2" s="161"/>
      <c r="E2" s="161"/>
      <c r="F2" s="162" t="str">
        <f>+Flags!C22</f>
        <v>Period End date</v>
      </c>
      <c r="G2" s="162"/>
      <c r="H2" s="162">
        <f t="shared" ref="H2:Q2" si="1">EDATE(H1,_monthsinyear-MONTH(H1)+1)-1</f>
        <v>45291</v>
      </c>
      <c r="I2" s="162">
        <f t="shared" si="1"/>
        <v>45657</v>
      </c>
      <c r="J2" s="162">
        <f t="shared" si="1"/>
        <v>46022</v>
      </c>
      <c r="K2" s="162">
        <f t="shared" si="1"/>
        <v>46387</v>
      </c>
      <c r="L2" s="162">
        <f t="shared" si="1"/>
        <v>46752</v>
      </c>
      <c r="M2" s="162">
        <f t="shared" si="1"/>
        <v>47118</v>
      </c>
      <c r="N2" s="162">
        <f t="shared" si="1"/>
        <v>47483</v>
      </c>
      <c r="O2" s="162">
        <f t="shared" si="1"/>
        <v>47848</v>
      </c>
      <c r="P2" s="162">
        <f t="shared" si="1"/>
        <v>48213</v>
      </c>
      <c r="Q2" s="162">
        <f t="shared" si="1"/>
        <v>48579</v>
      </c>
    </row>
    <row r="3" spans="1:17" s="163" customFormat="1">
      <c r="A3" s="160"/>
      <c r="B3" s="340" t="s">
        <v>72</v>
      </c>
      <c r="C3" s="161"/>
      <c r="D3" s="161"/>
      <c r="E3" s="161"/>
      <c r="F3" s="162" t="str">
        <f>+Flags!C23</f>
        <v>Year Ending</v>
      </c>
      <c r="G3" s="162"/>
      <c r="H3" s="165">
        <f t="shared" ref="H3:Q3" si="2">+YEAR(H2)</f>
        <v>2023</v>
      </c>
      <c r="I3" s="165">
        <f t="shared" si="2"/>
        <v>2024</v>
      </c>
      <c r="J3" s="165">
        <f t="shared" si="2"/>
        <v>2025</v>
      </c>
      <c r="K3" s="165">
        <f t="shared" si="2"/>
        <v>2026</v>
      </c>
      <c r="L3" s="165">
        <f t="shared" si="2"/>
        <v>2027</v>
      </c>
      <c r="M3" s="165">
        <f t="shared" si="2"/>
        <v>2028</v>
      </c>
      <c r="N3" s="165">
        <f t="shared" si="2"/>
        <v>2029</v>
      </c>
      <c r="O3" s="165">
        <f t="shared" si="2"/>
        <v>2030</v>
      </c>
      <c r="P3" s="165">
        <f t="shared" si="2"/>
        <v>2031</v>
      </c>
      <c r="Q3" s="165">
        <f t="shared" si="2"/>
        <v>2032</v>
      </c>
    </row>
    <row r="4" spans="1:17" s="163" customFormat="1">
      <c r="A4" s="160"/>
      <c r="B4" s="544" t="str">
        <f ca="1">IF(MasterCheck=0,"All checks are OK","There are "&amp;MasterCheck&amp;" errors!")</f>
        <v>All checks are OK</v>
      </c>
      <c r="C4" s="161"/>
      <c r="D4" s="161"/>
      <c r="E4" s="161"/>
      <c r="F4" s="162"/>
      <c r="G4" s="162"/>
      <c r="H4" s="165"/>
      <c r="I4" s="165"/>
      <c r="J4" s="165"/>
      <c r="K4" s="165"/>
      <c r="L4" s="165"/>
      <c r="M4" s="165"/>
    </row>
    <row r="5" spans="1:17">
      <c r="B5" s="6"/>
      <c r="H5" s="341"/>
      <c r="I5" s="341"/>
      <c r="J5" s="341"/>
      <c r="K5" s="341"/>
      <c r="L5" s="341"/>
      <c r="M5" s="341"/>
    </row>
    <row r="6" spans="1:17">
      <c r="B6" s="6" t="s">
        <v>310</v>
      </c>
      <c r="C6" s="430" t="str">
        <f>'Model Assumptions'!F72</f>
        <v>Growth - base</v>
      </c>
      <c r="F6" s="232" t="s">
        <v>558</v>
      </c>
      <c r="H6" s="341"/>
      <c r="I6" s="341"/>
      <c r="J6" s="341"/>
      <c r="K6" s="341"/>
      <c r="L6" s="341"/>
      <c r="M6" s="341"/>
    </row>
    <row r="7" spans="1:17">
      <c r="B7" s="6"/>
      <c r="C7" s="430" t="str">
        <f>'Model Assumptions'!F79</f>
        <v>Collection - base</v>
      </c>
      <c r="H7" s="341"/>
      <c r="I7" s="341"/>
      <c r="J7" s="341"/>
      <c r="K7" s="341"/>
      <c r="L7" s="341"/>
      <c r="M7" s="341"/>
    </row>
    <row r="8" spans="1:17">
      <c r="B8" s="6"/>
      <c r="C8" s="430" t="str">
        <f>'Model Assumptions'!F82</f>
        <v>Churn - base</v>
      </c>
      <c r="H8" s="341"/>
      <c r="I8" s="341"/>
      <c r="J8" s="341"/>
      <c r="K8" s="341"/>
      <c r="L8" s="341"/>
      <c r="M8" s="341"/>
    </row>
    <row r="9" spans="1:17">
      <c r="B9" s="6"/>
      <c r="C9" s="430" t="str">
        <f>'Model Assumptions'!F95</f>
        <v>Opex - base</v>
      </c>
      <c r="H9" s="341"/>
      <c r="I9" s="341"/>
      <c r="J9" s="341"/>
      <c r="K9" s="341"/>
      <c r="L9" s="341"/>
      <c r="M9" s="341"/>
    </row>
    <row r="10" spans="1:17">
      <c r="B10" s="6"/>
      <c r="C10" s="430"/>
      <c r="H10" s="341"/>
      <c r="I10" s="341"/>
      <c r="J10" s="341"/>
      <c r="K10" s="341"/>
      <c r="L10" s="341"/>
      <c r="M10" s="341"/>
    </row>
    <row r="11" spans="1:17">
      <c r="B11" s="6" t="s">
        <v>24</v>
      </c>
      <c r="H11" s="457"/>
      <c r="I11" s="452"/>
      <c r="J11" s="452"/>
      <c r="K11" s="452"/>
      <c r="L11" s="452"/>
      <c r="M11" s="457"/>
    </row>
    <row r="12" spans="1:17" outlineLevel="1">
      <c r="C12" s="37" t="s">
        <v>126</v>
      </c>
      <c r="D12" s="85"/>
      <c r="E12" s="85"/>
      <c r="F12" s="85"/>
      <c r="G12" s="85"/>
      <c r="H12" s="453">
        <f>'Detailed Model (LCY)'!J25</f>
        <v>4900</v>
      </c>
      <c r="I12" s="453">
        <f t="shared" ref="I12:Q12" ca="1" si="3">+H18</f>
        <v>8190.9928153308156</v>
      </c>
      <c r="J12" s="453">
        <f t="shared" ca="1" si="3"/>
        <v>12327.884708459393</v>
      </c>
      <c r="K12" s="453">
        <f t="shared" ca="1" si="3"/>
        <v>15762.923085305985</v>
      </c>
      <c r="L12" s="453">
        <f t="shared" ca="1" si="3"/>
        <v>20022.815985137284</v>
      </c>
      <c r="M12" s="453">
        <f t="shared" ca="1" si="3"/>
        <v>25306.305750455482</v>
      </c>
      <c r="N12" s="453">
        <f t="shared" ca="1" si="3"/>
        <v>29610.279032886818</v>
      </c>
      <c r="O12" s="453">
        <f t="shared" ca="1" si="3"/>
        <v>31266.648401197079</v>
      </c>
      <c r="P12" s="453">
        <f t="shared" ca="1" si="3"/>
        <v>31592.294186895429</v>
      </c>
      <c r="Q12" s="453">
        <f t="shared" ca="1" si="3"/>
        <v>31709.926140644358</v>
      </c>
    </row>
    <row r="13" spans="1:17" outlineLevel="1">
      <c r="C13" s="79" t="s">
        <v>5</v>
      </c>
      <c r="D13" s="5" t="s">
        <v>128</v>
      </c>
      <c r="H13" s="454">
        <f>+SUMIF('Detailed Model (LCY)'!$J$4:$XFD$4,'Macro Model (USD)'!H$3,'Detailed Model (LCY)'!$J26:$XFD26)</f>
        <v>6292.9525004373136</v>
      </c>
      <c r="I13" s="454">
        <f>+SUMIF('Detailed Model (LCY)'!$J$4:$XFD$4,'Macro Model (USD)'!I$3,'Detailed Model (LCY)'!$J26:$XFD26)</f>
        <v>7980.9853722514781</v>
      </c>
      <c r="J13" s="454">
        <f>+SUMIF('Detailed Model (LCY)'!$J$4:$XFD$4,'Macro Model (USD)'!J$3,'Detailed Model (LCY)'!$J26:$XFD26)</f>
        <v>10121.81921088164</v>
      </c>
      <c r="K13" s="454">
        <f>+SUMIF('Detailed Model (LCY)'!$J$4:$XFD$4,'Macro Model (USD)'!K$3,'Detailed Model (LCY)'!$J26:$XFD26)</f>
        <v>12836.914160246177</v>
      </c>
      <c r="L13" s="454">
        <f>+SUMIF('Detailed Model (LCY)'!$J$4:$XFD$4,'Macro Model (USD)'!L$3,'Detailed Model (LCY)'!$J26:$XFD26)</f>
        <v>16280.311051235967</v>
      </c>
      <c r="M13" s="454">
        <f>+SUMIF('Detailed Model (LCY)'!$J$4:$XFD$4,'Macro Model (USD)'!M$3,'Detailed Model (LCY)'!$J26:$XFD26)</f>
        <v>18111.289951777089</v>
      </c>
      <c r="N13" s="454">
        <f>+SUMIF('Detailed Model (LCY)'!$J$4:$XFD$4,'Macro Model (USD)'!N$3,'Detailed Model (LCY)'!$J26:$XFD26)</f>
        <v>18111.289951777089</v>
      </c>
      <c r="O13" s="454">
        <f>+SUMIF('Detailed Model (LCY)'!$J$4:$XFD$4,'Macro Model (USD)'!O$3,'Detailed Model (LCY)'!$J26:$XFD26)</f>
        <v>18111.289951777089</v>
      </c>
      <c r="P13" s="454">
        <f>+SUMIF('Detailed Model (LCY)'!$J$4:$XFD$4,'Macro Model (USD)'!P$3,'Detailed Model (LCY)'!$J26:$XFD26)</f>
        <v>18111.289951777089</v>
      </c>
      <c r="Q13" s="454">
        <f>+SUMIF('Detailed Model (LCY)'!$J$4:$XFD$4,'Macro Model (USD)'!Q$3,'Detailed Model (LCY)'!$J26:$XFD26)</f>
        <v>18111.289951777089</v>
      </c>
    </row>
    <row r="14" spans="1:17" outlineLevel="1">
      <c r="C14" s="8" t="s">
        <v>5</v>
      </c>
      <c r="D14" s="5" t="s">
        <v>129</v>
      </c>
      <c r="H14" s="454">
        <f ca="1">+SUMIF('Detailed Model (LCY)'!$J$4:$XFD$4,'Macro Model (USD)'!H$3,'Detailed Model (LCY)'!$J27:$XFD27)</f>
        <v>234.08901094515679</v>
      </c>
      <c r="I14" s="454">
        <f ca="1">+SUMIF('Detailed Model (LCY)'!$J$4:$XFD$4,'Macro Model (USD)'!I$3,'Detailed Model (LCY)'!$J27:$XFD27)</f>
        <v>274.56769419935131</v>
      </c>
      <c r="J14" s="454">
        <f ca="1">+SUMIF('Detailed Model (LCY)'!$J$4:$XFD$4,'Macro Model (USD)'!J$3,'Detailed Model (LCY)'!$J27:$XFD27)</f>
        <v>533.75823001194362</v>
      </c>
      <c r="K14" s="454">
        <f ca="1">+SUMIF('Detailed Model (LCY)'!$J$4:$XFD$4,'Macro Model (USD)'!K$3,'Detailed Model (LCY)'!$J27:$XFD27)</f>
        <v>686.92942168354193</v>
      </c>
      <c r="L14" s="454">
        <f ca="1">+SUMIF('Detailed Model (LCY)'!$J$4:$XFD$4,'Macro Model (USD)'!L$3,'Detailed Model (LCY)'!$J27:$XFD27)</f>
        <v>884.68597321286654</v>
      </c>
      <c r="M14" s="454">
        <f ca="1">+SUMIF('Detailed Model (LCY)'!$J$4:$XFD$4,'Macro Model (USD)'!M$3,'Detailed Model (LCY)'!$J27:$XFD27)</f>
        <v>1123.4467003292332</v>
      </c>
      <c r="N14" s="454">
        <f ca="1">+SUMIF('Detailed Model (LCY)'!$J$4:$XFD$4,'Macro Model (USD)'!N$3,'Detailed Model (LCY)'!$J27:$XFD27)</f>
        <v>1376.9951976522684</v>
      </c>
      <c r="O14" s="454">
        <f ca="1">+SUMIF('Detailed Model (LCY)'!$J$4:$XFD$4,'Macro Model (USD)'!O$3,'Detailed Model (LCY)'!$J27:$XFD27)</f>
        <v>1513.2185455262779</v>
      </c>
      <c r="P14" s="454">
        <f ca="1">+SUMIF('Detailed Model (LCY)'!$J$4:$XFD$4,'Macro Model (USD)'!P$3,'Detailed Model (LCY)'!$J27:$XFD27)</f>
        <v>1533.4004765899845</v>
      </c>
      <c r="Q14" s="454">
        <f ca="1">+SUMIF('Detailed Model (LCY)'!$J$4:$XFD$4,'Macro Model (USD)'!Q$3,'Detailed Model (LCY)'!$J27:$XFD27)</f>
        <v>1543.8328856845715</v>
      </c>
    </row>
    <row r="15" spans="1:17" outlineLevel="1">
      <c r="C15" s="8" t="s">
        <v>6</v>
      </c>
      <c r="D15" s="5" t="s">
        <v>130</v>
      </c>
      <c r="H15" s="454">
        <f ca="1">+SUMIF('Detailed Model (LCY)'!$J$4:$XFD$4,'Macro Model (USD)'!H$3,'Detailed Model (LCY)'!$J28:$XFD28)</f>
        <v>2477.6934246784658</v>
      </c>
      <c r="I15" s="454">
        <f ca="1">+SUMIF('Detailed Model (LCY)'!$J$4:$XFD$4,'Macro Model (USD)'!I$3,'Detailed Model (LCY)'!$J28:$XFD28)</f>
        <v>2919.1766239989797</v>
      </c>
      <c r="J15" s="454">
        <f ca="1">+SUMIF('Detailed Model (LCY)'!$J$4:$XFD$4,'Macro Model (USD)'!J$3,'Detailed Model (LCY)'!$J28:$XFD28)</f>
        <v>5557.6218481820815</v>
      </c>
      <c r="K15" s="454">
        <f ca="1">+SUMIF('Detailed Model (LCY)'!$J$4:$XFD$4,'Macro Model (USD)'!K$3,'Detailed Model (LCY)'!$J28:$XFD28)</f>
        <v>7148.3575681451184</v>
      </c>
      <c r="L15" s="454">
        <f ca="1">+SUMIF('Detailed Model (LCY)'!$J$4:$XFD$4,'Macro Model (USD)'!L$3,'Detailed Model (LCY)'!$J28:$XFD28)</f>
        <v>9200.7795375903152</v>
      </c>
      <c r="M15" s="454">
        <f ca="1">+SUMIF('Detailed Model (LCY)'!$J$4:$XFD$4,'Macro Model (USD)'!M$3,'Detailed Model (LCY)'!$J28:$XFD28)</f>
        <v>11628.190697896182</v>
      </c>
      <c r="N15" s="454">
        <f ca="1">+SUMIF('Detailed Model (LCY)'!$J$4:$XFD$4,'Macro Model (USD)'!N$3,'Detailed Model (LCY)'!$J28:$XFD28)</f>
        <v>14163.67567112653</v>
      </c>
      <c r="O15" s="454">
        <f ca="1">+SUMIF('Detailed Model (LCY)'!$J$4:$XFD$4,'Macro Model (USD)'!O$3,'Detailed Model (LCY)'!$J28:$XFD28)</f>
        <v>15525.909149866628</v>
      </c>
      <c r="P15" s="454">
        <f ca="1">+SUMIF('Detailed Model (LCY)'!$J$4:$XFD$4,'Macro Model (USD)'!P$3,'Detailed Model (LCY)'!$J28:$XFD28)</f>
        <v>15727.728460503693</v>
      </c>
      <c r="Q15" s="454">
        <f ca="1">+SUMIF('Detailed Model (LCY)'!$J$4:$XFD$4,'Macro Model (USD)'!Q$3,'Detailed Model (LCY)'!$J28:$XFD28)</f>
        <v>15832.052551449564</v>
      </c>
    </row>
    <row r="16" spans="1:17" outlineLevel="1">
      <c r="C16" s="8" t="s">
        <v>6</v>
      </c>
      <c r="D16" s="5" t="s">
        <v>131</v>
      </c>
      <c r="H16" s="454">
        <f ca="1">+SUMIF('Detailed Model (LCY)'!$J$4:$XFD$4,'Macro Model (USD)'!H$3,'Detailed Model (LCY)'!$J29:$XFD29)</f>
        <v>455.01316282391127</v>
      </c>
      <c r="I16" s="454">
        <f ca="1">+SUMIF('Detailed Model (LCY)'!$J$4:$XFD$4,'Macro Model (USD)'!I$3,'Detailed Model (LCY)'!$J29:$XFD29)</f>
        <v>719.69072959396317</v>
      </c>
      <c r="J16" s="454">
        <f ca="1">+SUMIF('Detailed Model (LCY)'!$J$4:$XFD$4,'Macro Model (USD)'!J$3,'Detailed Model (LCY)'!$J29:$XFD29)</f>
        <v>997.75032951894843</v>
      </c>
      <c r="K16" s="454">
        <f ca="1">+SUMIF('Detailed Model (LCY)'!$J$4:$XFD$4,'Macro Model (USD)'!K$3,'Detailed Model (LCY)'!$J29:$XFD29)</f>
        <v>1269.3558683719812</v>
      </c>
      <c r="L16" s="454">
        <f ca="1">+SUMIF('Detailed Model (LCY)'!$J$4:$XFD$4,'Macro Model (USD)'!L$3,'Detailed Model (LCY)'!$J29:$XFD29)</f>
        <v>1608.4366329241891</v>
      </c>
      <c r="M16" s="454">
        <f ca="1">+SUMIF('Detailed Model (LCY)'!$J$4:$XFD$4,'Macro Model (USD)'!M$3,'Detailed Model (LCY)'!$J29:$XFD29)</f>
        <v>1981.5436030672877</v>
      </c>
      <c r="N16" s="454">
        <f ca="1">+SUMIF('Detailed Model (LCY)'!$J$4:$XFD$4,'Macro Model (USD)'!N$3,'Detailed Model (LCY)'!$J29:$XFD29)</f>
        <v>2200.9440659955399</v>
      </c>
      <c r="O16" s="454">
        <f ca="1">+SUMIF('Detailed Model (LCY)'!$J$4:$XFD$4,'Macro Model (USD)'!O$3,'Detailed Model (LCY)'!$J29:$XFD29)</f>
        <v>2263.7721370430277</v>
      </c>
      <c r="P16" s="454">
        <f ca="1">+SUMIF('Detailed Model (LCY)'!$J$4:$XFD$4,'Macro Model (USD)'!P$3,'Detailed Model (LCY)'!$J29:$XFD29)</f>
        <v>2279.5980084686744</v>
      </c>
      <c r="Q16" s="454">
        <f ca="1">+SUMIF('Detailed Model (LCY)'!$J$4:$XFD$4,'Macro Model (USD)'!Q$3,'Detailed Model (LCY)'!$J29:$XFD29)</f>
        <v>2283.8594287458145</v>
      </c>
    </row>
    <row r="17" spans="2:17" outlineLevel="1">
      <c r="C17" s="8" t="s">
        <v>6</v>
      </c>
      <c r="D17" s="5" t="s">
        <v>132</v>
      </c>
      <c r="H17" s="454">
        <f ca="1">+SUMIF('Detailed Model (LCY)'!$J$4:$XFD$4,'Macro Model (USD)'!H$3,'Detailed Model (LCY)'!$J30:$XFD30)</f>
        <v>303.34210854927414</v>
      </c>
      <c r="I17" s="454">
        <f ca="1">+SUMIF('Detailed Model (LCY)'!$J$4:$XFD$4,'Macro Model (USD)'!I$3,'Detailed Model (LCY)'!$J30:$XFD30)</f>
        <v>479.79381972930884</v>
      </c>
      <c r="J17" s="454">
        <f ca="1">+SUMIF('Detailed Model (LCY)'!$J$4:$XFD$4,'Macro Model (USD)'!J$3,'Detailed Model (LCY)'!$J30:$XFD30)</f>
        <v>665.16688634596562</v>
      </c>
      <c r="K17" s="454">
        <f ca="1">+SUMIF('Detailed Model (LCY)'!$J$4:$XFD$4,'Macro Model (USD)'!K$3,'Detailed Model (LCY)'!$J30:$XFD30)</f>
        <v>846.23724558132074</v>
      </c>
      <c r="L17" s="454">
        <f ca="1">+SUMIF('Detailed Model (LCY)'!$J$4:$XFD$4,'Macro Model (USD)'!L$3,'Detailed Model (LCY)'!$J30:$XFD30)</f>
        <v>1072.291088616126</v>
      </c>
      <c r="M17" s="454">
        <f ca="1">+SUMIF('Detailed Model (LCY)'!$J$4:$XFD$4,'Macro Model (USD)'!M$3,'Detailed Model (LCY)'!$J30:$XFD30)</f>
        <v>1321.0290687115253</v>
      </c>
      <c r="N17" s="454">
        <f ca="1">+SUMIF('Detailed Model (LCY)'!$J$4:$XFD$4,'Macro Model (USD)'!N$3,'Detailed Model (LCY)'!$J30:$XFD30)</f>
        <v>1467.2960439970268</v>
      </c>
      <c r="O17" s="454">
        <f ca="1">+SUMIF('Detailed Model (LCY)'!$J$4:$XFD$4,'Macro Model (USD)'!O$3,'Detailed Model (LCY)'!$J30:$XFD30)</f>
        <v>1509.1814246953522</v>
      </c>
      <c r="P17" s="454">
        <f ca="1">+SUMIF('Detailed Model (LCY)'!$J$4:$XFD$4,'Macro Model (USD)'!P$3,'Detailed Model (LCY)'!$J30:$XFD30)</f>
        <v>1519.7320056457829</v>
      </c>
      <c r="Q17" s="454">
        <f ca="1">+SUMIF('Detailed Model (LCY)'!$J$4:$XFD$4,'Macro Model (USD)'!Q$3,'Detailed Model (LCY)'!$J30:$XFD30)</f>
        <v>1522.5729524972096</v>
      </c>
    </row>
    <row r="18" spans="2:17" ht="14.4" outlineLevel="1" thickBot="1">
      <c r="C18" s="77" t="s">
        <v>127</v>
      </c>
      <c r="D18" s="77"/>
      <c r="E18" s="77"/>
      <c r="F18" s="331"/>
      <c r="G18" s="331"/>
      <c r="H18" s="455">
        <f ca="1">'Macro Model (LCY)'!H18</f>
        <v>8190.9928153308156</v>
      </c>
      <c r="I18" s="455">
        <f ca="1">'Macro Model (LCY)'!I18</f>
        <v>12327.884708459393</v>
      </c>
      <c r="J18" s="455">
        <f ca="1">'Macro Model (LCY)'!J18</f>
        <v>15762.923085305985</v>
      </c>
      <c r="K18" s="455">
        <f ca="1">'Macro Model (LCY)'!K18</f>
        <v>20022.815985137284</v>
      </c>
      <c r="L18" s="455">
        <f ca="1">'Macro Model (LCY)'!L18</f>
        <v>25306.305750455482</v>
      </c>
      <c r="M18" s="455">
        <f ca="1">'Macro Model (LCY)'!M18</f>
        <v>29610.279032886818</v>
      </c>
      <c r="N18" s="455">
        <f ca="1">'Macro Model (LCY)'!N18</f>
        <v>31266.648401197079</v>
      </c>
      <c r="O18" s="455">
        <f ca="1">'Macro Model (LCY)'!O18</f>
        <v>31592.294186895429</v>
      </c>
      <c r="P18" s="455">
        <f ca="1">'Macro Model (LCY)'!P18</f>
        <v>31709.926140644358</v>
      </c>
      <c r="Q18" s="455">
        <f ca="1">'Macro Model (LCY)'!Q18</f>
        <v>31726.564045413419</v>
      </c>
    </row>
    <row r="19" spans="2:17" ht="14.4" outlineLevel="1" thickTop="1">
      <c r="H19" s="452"/>
      <c r="I19" s="452"/>
      <c r="J19" s="452"/>
      <c r="K19" s="452"/>
      <c r="L19" s="452"/>
      <c r="M19" s="452"/>
      <c r="N19" s="452"/>
      <c r="O19" s="452"/>
      <c r="P19" s="452"/>
      <c r="Q19" s="452"/>
    </row>
    <row r="20" spans="2:17" outlineLevel="1">
      <c r="C20" s="5" t="s">
        <v>138</v>
      </c>
      <c r="H20" s="452">
        <f ca="1">+H13+H14</f>
        <v>6527.0415113824702</v>
      </c>
      <c r="I20" s="452">
        <f t="shared" ref="I20:M20" ca="1" si="4">+I13+I14</f>
        <v>8255.5530664508296</v>
      </c>
      <c r="J20" s="452">
        <f t="shared" ca="1" si="4"/>
        <v>10655.577440893583</v>
      </c>
      <c r="K20" s="452">
        <f t="shared" ca="1" si="4"/>
        <v>13523.843581929719</v>
      </c>
      <c r="L20" s="452">
        <f t="shared" ca="1" si="4"/>
        <v>17164.997024448832</v>
      </c>
      <c r="M20" s="452">
        <f t="shared" ca="1" si="4"/>
        <v>19234.736652106323</v>
      </c>
      <c r="N20" s="452">
        <f ca="1">+N13+N14</f>
        <v>19488.285149429357</v>
      </c>
      <c r="O20" s="452">
        <f ca="1">+O13+O14</f>
        <v>19624.508497303366</v>
      </c>
      <c r="P20" s="452">
        <f ca="1">+P13+P14</f>
        <v>19644.690428367074</v>
      </c>
      <c r="Q20" s="452">
        <f ca="1">+Q13+Q14</f>
        <v>19655.122837461662</v>
      </c>
    </row>
    <row r="21" spans="2:17" outlineLevel="1">
      <c r="C21" s="5" t="s">
        <v>141</v>
      </c>
      <c r="H21" s="452">
        <f ca="1">+'Detailed Model (LCY)'!U34</f>
        <v>15527.041511382471</v>
      </c>
      <c r="I21" s="452">
        <f ca="1">+'Detailed Model (LCY)'!AG34</f>
        <v>23782.594577833301</v>
      </c>
      <c r="J21" s="452">
        <f ca="1">+'Detailed Model (LCY)'!AS34</f>
        <v>34438.17201872688</v>
      </c>
      <c r="K21" s="452">
        <f ca="1">+'Detailed Model (LCY)'!BE34</f>
        <v>47962.015600656596</v>
      </c>
      <c r="L21" s="452">
        <f ca="1">+'Detailed Model (LCY)'!BQ34</f>
        <v>65127.012625105432</v>
      </c>
      <c r="M21" s="452">
        <f ca="1">+'Detailed Model (LCY)'!CC34</f>
        <v>84361.74927721174</v>
      </c>
      <c r="N21" s="452">
        <f ca="1">+'Detailed Model (LCY)'!CO34</f>
        <v>103850.0344266411</v>
      </c>
      <c r="O21" s="452">
        <f ca="1">+'Detailed Model (LCY)'!DA34</f>
        <v>123474.54292394448</v>
      </c>
      <c r="P21" s="452">
        <f ca="1">+'Detailed Model (LCY)'!DM34</f>
        <v>143119.23335231157</v>
      </c>
      <c r="Q21" s="452">
        <f ca="1">+'Detailed Model (LCY)'!DY34</f>
        <v>162774.35618977324</v>
      </c>
    </row>
    <row r="22" spans="2:17" outlineLevel="1">
      <c r="B22" s="6"/>
      <c r="C22" s="62" t="s">
        <v>88</v>
      </c>
      <c r="D22" s="62"/>
      <c r="E22" s="62"/>
      <c r="H22" s="456">
        <f>'Model Assumptions'!G80</f>
        <v>0.85</v>
      </c>
      <c r="I22" s="456">
        <f>'Model Assumptions'!H80</f>
        <v>0.85</v>
      </c>
      <c r="J22" s="456">
        <f>'Model Assumptions'!I80</f>
        <v>0.85</v>
      </c>
      <c r="K22" s="456">
        <f>'Model Assumptions'!J80</f>
        <v>0.85</v>
      </c>
      <c r="L22" s="456">
        <f>'Model Assumptions'!K80</f>
        <v>0.85</v>
      </c>
      <c r="M22" s="456">
        <f>'Model Assumptions'!L80</f>
        <v>0.85</v>
      </c>
      <c r="N22" s="456">
        <f>'Model Assumptions'!M80</f>
        <v>0.85</v>
      </c>
      <c r="O22" s="456">
        <f>'Model Assumptions'!N80</f>
        <v>0.85</v>
      </c>
      <c r="P22" s="456">
        <f>'Model Assumptions'!O80</f>
        <v>0.85</v>
      </c>
      <c r="Q22" s="456">
        <f>'Model Assumptions'!P80</f>
        <v>0.85</v>
      </c>
    </row>
    <row r="23" spans="2:17" outlineLevel="1">
      <c r="B23" s="6"/>
      <c r="H23" s="452"/>
      <c r="I23" s="452"/>
      <c r="J23" s="452"/>
      <c r="K23" s="452"/>
      <c r="L23" s="452"/>
      <c r="M23" s="452"/>
      <c r="N23" s="452"/>
      <c r="O23" s="452"/>
      <c r="P23" s="452"/>
      <c r="Q23" s="452"/>
    </row>
    <row r="24" spans="2:17" outlineLevel="1">
      <c r="B24" s="6"/>
      <c r="C24" s="520" t="s">
        <v>399</v>
      </c>
      <c r="D24" s="62"/>
      <c r="E24" s="62"/>
      <c r="F24" s="62"/>
      <c r="G24" s="611">
        <f>H24</f>
        <v>10</v>
      </c>
      <c r="H24" s="521">
        <f>INDEX(Flags!$E$22:$XFD$30,MATCH($C24,Flags!$E$22:$E$30,0),MATCH('Macro Model (USD)'!H$2,Flags!$E$22:$XFD$22,0))</f>
        <v>10</v>
      </c>
      <c r="I24" s="521">
        <f>INDEX(Flags!$E$22:$XFD$30,MATCH($C24,Flags!$E$22:$E$30,0),MATCH('Macro Model (USD)'!I$2,Flags!$E$22:$XFD$22,0))</f>
        <v>10</v>
      </c>
      <c r="J24" s="521">
        <f>INDEX(Flags!$E$22:$XFD$30,MATCH($C24,Flags!$E$22:$E$30,0),MATCH('Macro Model (USD)'!J$2,Flags!$E$22:$XFD$22,0))</f>
        <v>10</v>
      </c>
      <c r="K24" s="521">
        <f>INDEX(Flags!$E$22:$XFD$30,MATCH($C24,Flags!$E$22:$E$30,0),MATCH('Macro Model (USD)'!K$2,Flags!$E$22:$XFD$22,0))</f>
        <v>10</v>
      </c>
      <c r="L24" s="521">
        <f>INDEX(Flags!$E$22:$XFD$30,MATCH($C24,Flags!$E$22:$E$30,0),MATCH('Macro Model (USD)'!L$2,Flags!$E$22:$XFD$22,0))</f>
        <v>10</v>
      </c>
      <c r="M24" s="521">
        <f>INDEX(Flags!$E$22:$XFD$30,MATCH($C24,Flags!$E$22:$E$30,0),MATCH('Macro Model (USD)'!M$2,Flags!$E$22:$XFD$22,0))</f>
        <v>10</v>
      </c>
      <c r="N24" s="521">
        <f>INDEX(Flags!$E$22:$XFD$30,MATCH($C24,Flags!$E$22:$E$30,0),MATCH('Macro Model (USD)'!N$2,Flags!$E$22:$XFD$22,0))</f>
        <v>10</v>
      </c>
      <c r="O24" s="521">
        <f>INDEX(Flags!$E$22:$XFD$30,MATCH($C24,Flags!$E$22:$E$30,0),MATCH('Macro Model (USD)'!O$2,Flags!$E$22:$XFD$22,0))</f>
        <v>10</v>
      </c>
      <c r="P24" s="521">
        <f>INDEX(Flags!$E$22:$XFD$30,MATCH($C24,Flags!$E$22:$E$30,0),MATCH('Macro Model (USD)'!P$2,Flags!$E$22:$XFD$22,0))</f>
        <v>10</v>
      </c>
      <c r="Q24" s="521">
        <f>INDEX(Flags!$E$22:$XFD$30,MATCH($C24,Flags!$E$22:$E$30,0),MATCH('Macro Model (USD)'!Q$2,Flags!$E$22:$XFD$22,0))</f>
        <v>10</v>
      </c>
    </row>
    <row r="25" spans="2:17">
      <c r="B25" s="6"/>
      <c r="H25" s="452"/>
      <c r="I25" s="452"/>
      <c r="J25" s="452"/>
      <c r="K25" s="452"/>
      <c r="L25" s="452"/>
      <c r="M25" s="452"/>
      <c r="N25" s="452"/>
      <c r="O25" s="452"/>
      <c r="P25" s="452"/>
      <c r="Q25" s="452"/>
    </row>
    <row r="26" spans="2:17">
      <c r="B26" s="6" t="s">
        <v>175</v>
      </c>
    </row>
    <row r="27" spans="2:17" outlineLevel="1">
      <c r="B27" s="6"/>
      <c r="H27" s="452"/>
      <c r="I27" s="452"/>
      <c r="J27" s="452"/>
      <c r="K27" s="452"/>
      <c r="L27" s="452"/>
      <c r="M27" s="452"/>
      <c r="N27" s="452"/>
      <c r="O27" s="452"/>
      <c r="P27" s="452"/>
      <c r="Q27" s="452"/>
    </row>
    <row r="28" spans="2:17" outlineLevel="2">
      <c r="B28" s="6"/>
      <c r="C28" s="5" t="str">
        <f>+'Detailed Model (LCY)'!C101</f>
        <v>Product 1</v>
      </c>
      <c r="D28" s="30"/>
      <c r="E28" s="30"/>
      <c r="H28" s="452">
        <f ca="1">'Macro Model (LCY)'!H28/H$24</f>
        <v>27360.663045379624</v>
      </c>
      <c r="I28" s="452">
        <f ca="1">'Macro Model (LCY)'!I28/I$24</f>
        <v>34699.936401093371</v>
      </c>
      <c r="J28" s="452">
        <f ca="1">'Macro Model (LCY)'!J28/J$24</f>
        <v>44007.909612528871</v>
      </c>
      <c r="K28" s="452">
        <f ca="1">'Macro Model (LCY)'!K28/K$24</f>
        <v>55812.670261939908</v>
      </c>
      <c r="L28" s="452">
        <f ca="1">'Macro Model (LCY)'!L28/L$24</f>
        <v>70783.961092330253</v>
      </c>
      <c r="M28" s="452">
        <f ca="1">'Macro Model (LCY)'!M28/M$24</f>
        <v>78744.738920769931</v>
      </c>
      <c r="N28" s="452">
        <f ca="1">'Macro Model (LCY)'!N28/N$24</f>
        <v>78744.738920769931</v>
      </c>
      <c r="O28" s="452">
        <f ca="1">'Macro Model (LCY)'!O28/O$24</f>
        <v>78744.738920769931</v>
      </c>
      <c r="P28" s="452">
        <f ca="1">'Macro Model (LCY)'!P28/P$24</f>
        <v>78744.738920769931</v>
      </c>
      <c r="Q28" s="452">
        <f ca="1">'Macro Model (LCY)'!Q28/Q$24</f>
        <v>78744.738920769931</v>
      </c>
    </row>
    <row r="29" spans="2:17" outlineLevel="2">
      <c r="B29" s="6"/>
      <c r="C29" s="5" t="str">
        <f>+'Detailed Model (LCY)'!C102</f>
        <v>Product 2</v>
      </c>
      <c r="D29" s="30"/>
      <c r="E29" s="30"/>
      <c r="H29" s="452">
        <f ca="1">'Macro Model (LCY)'!H29/H$24</f>
        <v>1132844.7097348403</v>
      </c>
      <c r="I29" s="452">
        <f ca="1">'Macro Model (LCY)'!I29/I$24</f>
        <v>1525496.8781810824</v>
      </c>
      <c r="J29" s="452">
        <f ca="1">'Macro Model (LCY)'!J29/J$24</f>
        <v>1930045.6317872331</v>
      </c>
      <c r="K29" s="452">
        <f ca="1">'Macro Model (LCY)'!K29/K$24</f>
        <v>2436252.56592659</v>
      </c>
      <c r="L29" s="452">
        <f ca="1">'Macro Model (LCY)'!L29/L$24</f>
        <v>3078898.4838204915</v>
      </c>
      <c r="M29" s="452">
        <f ca="1">'Macro Model (LCY)'!M29/M$24</f>
        <v>3697960.3026626045</v>
      </c>
      <c r="N29" s="452">
        <f ca="1">'Macro Model (LCY)'!N29/N$24</f>
        <v>3860034.7646232462</v>
      </c>
      <c r="O29" s="452">
        <f ca="1">'Macro Model (LCY)'!O29/O$24</f>
        <v>3872362.2153740218</v>
      </c>
      <c r="P29" s="452">
        <f ca="1">'Macro Model (LCY)'!P29/P$24</f>
        <v>3871647.931617009</v>
      </c>
      <c r="Q29" s="452">
        <f ca="1">'Macro Model (LCY)'!Q29/Q$24</f>
        <v>3869982.9474103726</v>
      </c>
    </row>
    <row r="30" spans="2:17" outlineLevel="2">
      <c r="B30" s="6"/>
      <c r="C30" s="5" t="str">
        <f>+'Detailed Model (LCY)'!C103</f>
        <v>Product 3</v>
      </c>
      <c r="D30" s="30"/>
      <c r="E30" s="30"/>
      <c r="H30" s="452">
        <f ca="1">'Macro Model (LCY)'!H30/H$24</f>
        <v>502523.21914999309</v>
      </c>
      <c r="I30" s="452">
        <f ca="1">'Macro Model (LCY)'!I30/I$24</f>
        <v>707777.85521759652</v>
      </c>
      <c r="J30" s="452">
        <f ca="1">'Macro Model (LCY)'!J30/J$24</f>
        <v>975387.0783285806</v>
      </c>
      <c r="K30" s="452">
        <f ca="1">'Macro Model (LCY)'!K30/K$24</f>
        <v>1246986.5319368937</v>
      </c>
      <c r="L30" s="452">
        <f ca="1">'Macro Model (LCY)'!L30/L$24</f>
        <v>1576617.1517243667</v>
      </c>
      <c r="M30" s="452">
        <f ca="1">'Macro Model (LCY)'!M30/M$24</f>
        <v>1927670.3840977319</v>
      </c>
      <c r="N30" s="452">
        <f ca="1">'Macro Model (LCY)'!N30/N$24</f>
        <v>2161344.3062075465</v>
      </c>
      <c r="O30" s="452">
        <f ca="1">'Macro Model (LCY)'!O30/O$24</f>
        <v>2262983.5379222343</v>
      </c>
      <c r="P30" s="452">
        <f ca="1">'Macro Model (LCY)'!P30/P$24</f>
        <v>2286256.7138940995</v>
      </c>
      <c r="Q30" s="452">
        <f ca="1">'Macro Model (LCY)'!Q30/Q$24</f>
        <v>2296936.7059331047</v>
      </c>
    </row>
    <row r="31" spans="2:17" outlineLevel="2">
      <c r="B31" s="6"/>
      <c r="C31" s="5" t="str">
        <f>+'Detailed Model (LCY)'!C104</f>
        <v>Product 4</v>
      </c>
      <c r="D31" s="30"/>
      <c r="E31" s="30"/>
      <c r="H31" s="452">
        <f ca="1">'Macro Model (LCY)'!H31/H$24</f>
        <v>417350.43973573303</v>
      </c>
      <c r="I31" s="452">
        <f ca="1">'Macro Model (LCY)'!I31/I$24</f>
        <v>584687.78934860765</v>
      </c>
      <c r="J31" s="452">
        <f ca="1">'Macro Model (LCY)'!J31/J$24</f>
        <v>780543.20236567233</v>
      </c>
      <c r="K31" s="452">
        <f ca="1">'Macro Model (LCY)'!K31/K$24</f>
        <v>985899.28154280002</v>
      </c>
      <c r="L31" s="452">
        <f ca="1">'Macro Model (LCY)'!L31/L$24</f>
        <v>1246005.3215604771</v>
      </c>
      <c r="M31" s="452">
        <f ca="1">'Macro Model (LCY)'!M31/M$24</f>
        <v>1518545.0409752245</v>
      </c>
      <c r="N31" s="452">
        <f ca="1">'Macro Model (LCY)'!N31/N$24</f>
        <v>1679171.5744804435</v>
      </c>
      <c r="O31" s="452">
        <f ca="1">'Macro Model (LCY)'!O31/O$24</f>
        <v>1723312.3360132989</v>
      </c>
      <c r="P31" s="452">
        <f ca="1">'Macro Model (LCY)'!P31/P$24</f>
        <v>1734569.826342358</v>
      </c>
      <c r="Q31" s="452">
        <f ca="1">'Macro Model (LCY)'!Q31/Q$24</f>
        <v>1736830.0944987696</v>
      </c>
    </row>
    <row r="32" spans="2:17" outlineLevel="2">
      <c r="B32" s="6"/>
      <c r="C32" s="5" t="s">
        <v>216</v>
      </c>
      <c r="D32" s="30"/>
      <c r="E32" s="30"/>
      <c r="H32" s="452">
        <f ca="1">'Macro Model (LCY)'!H32/H$24</f>
        <v>94759.194409204254</v>
      </c>
      <c r="I32" s="452">
        <f ca="1">'Macro Model (LCY)'!I32/I$24</f>
        <v>239046.84830657448</v>
      </c>
      <c r="J32" s="452">
        <f ca="1">'Macro Model (LCY)'!J32/J$24</f>
        <v>371092.71632015111</v>
      </c>
      <c r="K32" s="452">
        <f ca="1">'Macro Model (LCY)'!K32/K$24</f>
        <v>479695.59753036743</v>
      </c>
      <c r="L32" s="452">
        <f ca="1">'Macro Model (LCY)'!L32/L$24</f>
        <v>613459.311059498</v>
      </c>
      <c r="M32" s="452">
        <f ca="1">'Macro Model (LCY)'!M32/M$24</f>
        <v>751107.74135705479</v>
      </c>
      <c r="N32" s="452">
        <f ca="1">'Macro Model (LCY)'!N32/N$24</f>
        <v>832521.87950199028</v>
      </c>
      <c r="O32" s="452">
        <f ca="1">'Macro Model (LCY)'!O32/O$24</f>
        <v>855417.94969254243</v>
      </c>
      <c r="P32" s="452">
        <f ca="1">'Macro Model (LCY)'!P32/P$24</f>
        <v>861769.06105212902</v>
      </c>
      <c r="Q32" s="452">
        <f ca="1">'Macro Model (LCY)'!Q32/Q$24</f>
        <v>863527.69607173675</v>
      </c>
    </row>
    <row r="33" spans="2:17" outlineLevel="1">
      <c r="B33" s="6"/>
      <c r="C33" s="68" t="s">
        <v>103</v>
      </c>
      <c r="D33" s="65"/>
      <c r="E33" s="65"/>
      <c r="F33" s="555" t="s">
        <v>16</v>
      </c>
      <c r="G33" s="56"/>
      <c r="H33" s="362">
        <f t="shared" ref="H33:Q33" ca="1" si="5">+SUM(H28:H32)</f>
        <v>2174838.2260751501</v>
      </c>
      <c r="I33" s="362">
        <f t="shared" ca="1" si="5"/>
        <v>3091709.3074549544</v>
      </c>
      <c r="J33" s="362">
        <f t="shared" ca="1" si="5"/>
        <v>4101076.5384141658</v>
      </c>
      <c r="K33" s="362">
        <f t="shared" ca="1" si="5"/>
        <v>5204646.6471985914</v>
      </c>
      <c r="L33" s="362">
        <f t="shared" ca="1" si="5"/>
        <v>6585764.2292571636</v>
      </c>
      <c r="M33" s="362">
        <f t="shared" ca="1" si="5"/>
        <v>7974028.2080133855</v>
      </c>
      <c r="N33" s="362">
        <f t="shared" ca="1" si="5"/>
        <v>8611817.2637339961</v>
      </c>
      <c r="O33" s="362">
        <f t="shared" ca="1" si="5"/>
        <v>8792820.7779228669</v>
      </c>
      <c r="P33" s="362">
        <f t="shared" ca="1" si="5"/>
        <v>8832988.271826366</v>
      </c>
      <c r="Q33" s="362">
        <f t="shared" ca="1" si="5"/>
        <v>8846022.1828347538</v>
      </c>
    </row>
    <row r="34" spans="2:17" outlineLevel="2">
      <c r="B34" s="6"/>
      <c r="C34" s="37"/>
      <c r="D34" s="30"/>
      <c r="E34" s="30"/>
      <c r="H34" s="452"/>
      <c r="I34" s="452"/>
      <c r="J34" s="452"/>
      <c r="K34" s="452"/>
      <c r="L34" s="452"/>
      <c r="M34" s="452"/>
      <c r="N34" s="452"/>
      <c r="O34" s="452"/>
      <c r="P34" s="452"/>
      <c r="Q34" s="452"/>
    </row>
    <row r="35" spans="2:17" outlineLevel="2">
      <c r="B35" s="6"/>
      <c r="C35" s="5" t="str">
        <f>+'Detailed Model (LCY)'!C108</f>
        <v>Product 1</v>
      </c>
      <c r="D35" s="30"/>
      <c r="E35" s="30"/>
      <c r="H35" s="452">
        <f>'Macro Model (LCY)'!H35/H$24</f>
        <v>27360.663045379624</v>
      </c>
      <c r="I35" s="452">
        <f>'Macro Model (LCY)'!I35/I$24</f>
        <v>34699.936401093371</v>
      </c>
      <c r="J35" s="452">
        <f>'Macro Model (LCY)'!J35/J$24</f>
        <v>44007.909612528871</v>
      </c>
      <c r="K35" s="452">
        <f>'Macro Model (LCY)'!K35/K$24</f>
        <v>55812.670261939908</v>
      </c>
      <c r="L35" s="452">
        <f>'Macro Model (LCY)'!L35/L$24</f>
        <v>70783.961092330253</v>
      </c>
      <c r="M35" s="452">
        <f>'Macro Model (LCY)'!M35/M$24</f>
        <v>78744.738920769931</v>
      </c>
      <c r="N35" s="452">
        <f>'Macro Model (LCY)'!N35/N$24</f>
        <v>78744.738920769931</v>
      </c>
      <c r="O35" s="452">
        <f>'Macro Model (LCY)'!O35/O$24</f>
        <v>78744.738920769931</v>
      </c>
      <c r="P35" s="452">
        <f>'Macro Model (LCY)'!P35/P$24</f>
        <v>78744.738920769931</v>
      </c>
      <c r="Q35" s="452">
        <f>'Macro Model (LCY)'!Q35/Q$24</f>
        <v>78744.738920769931</v>
      </c>
    </row>
    <row r="36" spans="2:17" outlineLevel="2">
      <c r="B36" s="6"/>
      <c r="C36" s="5" t="str">
        <f>+'Detailed Model (LCY)'!C109</f>
        <v>Product 2</v>
      </c>
      <c r="D36" s="30"/>
      <c r="E36" s="30"/>
      <c r="H36" s="452">
        <f ca="1">'Macro Model (LCY)'!H36/H$24</f>
        <v>1573205.3705958419</v>
      </c>
      <c r="I36" s="452">
        <f ca="1">'Macro Model (LCY)'!I36/I$24</f>
        <v>2013243.1097189146</v>
      </c>
      <c r="J36" s="452">
        <f ca="1">'Macro Model (LCY)'!J36/J$24</f>
        <v>2554877.9426307166</v>
      </c>
      <c r="K36" s="452">
        <f ca="1">'Macro Model (LCY)'!K36/K$24</f>
        <v>3240344.7098876648</v>
      </c>
      <c r="L36" s="452">
        <f ca="1">'Macro Model (LCY)'!L36/L$24</f>
        <v>4109553.1519848173</v>
      </c>
      <c r="M36" s="452">
        <f ca="1">'Macro Model (LCY)'!M36/M$24</f>
        <v>4616480.4760648441</v>
      </c>
      <c r="N36" s="452">
        <f ca="1">'Macro Model (LCY)'!N36/N$24</f>
        <v>4661413.7471772516</v>
      </c>
      <c r="O36" s="452">
        <f ca="1">'Macro Model (LCY)'!O36/O$24</f>
        <v>4665396.564352328</v>
      </c>
      <c r="P36" s="452">
        <f ca="1">'Macro Model (LCY)'!P36/P$24</f>
        <v>4665749.5952414069</v>
      </c>
      <c r="Q36" s="452">
        <f ca="1">'Macro Model (LCY)'!Q36/Q$24</f>
        <v>4665780.8873653403</v>
      </c>
    </row>
    <row r="37" spans="2:17" outlineLevel="2">
      <c r="B37" s="6"/>
      <c r="C37" s="5" t="str">
        <f>+'Detailed Model (LCY)'!C110</f>
        <v>Product 3</v>
      </c>
      <c r="D37" s="30"/>
      <c r="E37" s="30"/>
      <c r="H37" s="452">
        <f ca="1">'Macro Model (LCY)'!H37/H$24</f>
        <v>927069.9543886194</v>
      </c>
      <c r="I37" s="452">
        <f ca="1">'Macro Model (LCY)'!I37/I$24</f>
        <v>1167431.1567882448</v>
      </c>
      <c r="J37" s="452">
        <f ca="1">'Macro Model (LCY)'!J37/J$24</f>
        <v>1489084.3438832294</v>
      </c>
      <c r="K37" s="452">
        <f ca="1">'Macro Model (LCY)'!K37/K$24</f>
        <v>1904802.6121789119</v>
      </c>
      <c r="L37" s="452">
        <f ca="1">'Macro Model (LCY)'!L37/L$24</f>
        <v>2415135.0221448657</v>
      </c>
      <c r="M37" s="452">
        <f ca="1">'Macro Model (LCY)'!M37/M$24</f>
        <v>2704022.8831039527</v>
      </c>
      <c r="N37" s="452">
        <f ca="1">'Macro Model (LCY)'!N37/N$24</f>
        <v>2737543.1877906136</v>
      </c>
      <c r="O37" s="452">
        <f ca="1">'Macro Model (LCY)'!O37/O$24</f>
        <v>2773243.3748038327</v>
      </c>
      <c r="P37" s="452">
        <f ca="1">'Macro Model (LCY)'!P37/P$24</f>
        <v>2780073.0580334202</v>
      </c>
      <c r="Q37" s="452">
        <f ca="1">'Macro Model (LCY)'!Q37/Q$24</f>
        <v>2782865.3757128203</v>
      </c>
    </row>
    <row r="38" spans="2:17" outlineLevel="2">
      <c r="B38" s="6"/>
      <c r="C38" s="5" t="str">
        <f>+'Detailed Model (LCY)'!C111</f>
        <v>Product 4</v>
      </c>
      <c r="D38" s="30"/>
      <c r="E38" s="30"/>
      <c r="H38" s="452">
        <f ca="1">'Macro Model (LCY)'!H38/H$24</f>
        <v>742018.68667135166</v>
      </c>
      <c r="I38" s="452">
        <f ca="1">'Macro Model (LCY)'!I38/I$24</f>
        <v>932839.79391990951</v>
      </c>
      <c r="J38" s="452">
        <f ca="1">'Macro Model (LCY)'!J38/J$24</f>
        <v>1202504.4361445666</v>
      </c>
      <c r="K38" s="452">
        <f ca="1">'Macro Model (LCY)'!K38/K$24</f>
        <v>1524420.6103062362</v>
      </c>
      <c r="L38" s="452">
        <f ca="1">'Macro Model (LCY)'!L38/L$24</f>
        <v>1934861.1333708367</v>
      </c>
      <c r="M38" s="452">
        <f ca="1">'Macro Model (LCY)'!M38/M$24</f>
        <v>2167133.6070313794</v>
      </c>
      <c r="N38" s="452">
        <f ca="1">'Macro Model (LCY)'!N38/N$24</f>
        <v>2199381.0217387136</v>
      </c>
      <c r="O38" s="452">
        <f ca="1">'Macro Model (LCY)'!O38/O$24</f>
        <v>2217630.1622653441</v>
      </c>
      <c r="P38" s="452">
        <f ca="1">'Macro Model (LCY)'!P38/P$24</f>
        <v>2220163.7711486537</v>
      </c>
      <c r="Q38" s="452">
        <f ca="1">'Macro Model (LCY)'!Q38/Q$24</f>
        <v>2221597.5662286831</v>
      </c>
    </row>
    <row r="39" spans="2:17" outlineLevel="2">
      <c r="B39" s="6"/>
      <c r="C39" s="5" t="s">
        <v>216</v>
      </c>
      <c r="D39" s="30"/>
      <c r="E39" s="30"/>
      <c r="H39" s="452">
        <f ca="1">'Macro Model (LCY)'!H39/H$24</f>
        <v>356710.00117298443</v>
      </c>
      <c r="I39" s="452">
        <f ca="1">'Macro Model (LCY)'!I39/I$24</f>
        <v>452120.55479726335</v>
      </c>
      <c r="J39" s="452">
        <f ca="1">'Macro Model (LCY)'!J39/J$24</f>
        <v>600128.75001576846</v>
      </c>
      <c r="K39" s="452">
        <f ca="1">'Macro Model (LCY)'!K39/K$24</f>
        <v>761086.83709660289</v>
      </c>
      <c r="L39" s="452">
        <f ca="1">'Macro Model (LCY)'!L39/L$24</f>
        <v>967342.29825602868</v>
      </c>
      <c r="M39" s="452">
        <f ca="1">'Macro Model (LCY)'!M39/M$24</f>
        <v>1083478.5350862998</v>
      </c>
      <c r="N39" s="452">
        <f ca="1">'Macro Model (LCY)'!N39/N$24</f>
        <v>1099683.5758118073</v>
      </c>
      <c r="O39" s="452">
        <f ca="1">'Macro Model (LCY)'!O39/O$24</f>
        <v>1108808.1460751225</v>
      </c>
      <c r="P39" s="452">
        <f ca="1">'Macro Model (LCY)'!P39/P$24</f>
        <v>1110081.3407020145</v>
      </c>
      <c r="Q39" s="452">
        <f ca="1">'Macro Model (LCY)'!Q39/Q$24</f>
        <v>1110798.2382420294</v>
      </c>
    </row>
    <row r="40" spans="2:17" outlineLevel="1">
      <c r="B40" s="6"/>
      <c r="C40" s="210" t="s">
        <v>104</v>
      </c>
      <c r="D40" s="211"/>
      <c r="E40" s="211"/>
      <c r="F40" s="212"/>
      <c r="G40" s="553"/>
      <c r="H40" s="343">
        <f t="shared" ref="H40:Q40" ca="1" si="6">+SUM(H35:H39)</f>
        <v>3626364.6758741769</v>
      </c>
      <c r="I40" s="343">
        <f t="shared" ca="1" si="6"/>
        <v>4600334.551625425</v>
      </c>
      <c r="J40" s="343">
        <f t="shared" ca="1" si="6"/>
        <v>5890603.3822868103</v>
      </c>
      <c r="K40" s="343">
        <f t="shared" ca="1" si="6"/>
        <v>7486467.4397313558</v>
      </c>
      <c r="L40" s="343">
        <f t="shared" ca="1" si="6"/>
        <v>9497675.5668488778</v>
      </c>
      <c r="M40" s="343">
        <f t="shared" ca="1" si="6"/>
        <v>10649860.240207246</v>
      </c>
      <c r="N40" s="343">
        <f t="shared" ca="1" si="6"/>
        <v>10776766.271439156</v>
      </c>
      <c r="O40" s="343">
        <f t="shared" ca="1" si="6"/>
        <v>10843822.986417396</v>
      </c>
      <c r="P40" s="343">
        <f t="shared" ca="1" si="6"/>
        <v>10854812.504046265</v>
      </c>
      <c r="Q40" s="343">
        <f t="shared" ca="1" si="6"/>
        <v>10859786.806469643</v>
      </c>
    </row>
    <row r="41" spans="2:17" outlineLevel="1">
      <c r="B41" s="6"/>
      <c r="C41" s="210" t="s">
        <v>369</v>
      </c>
      <c r="D41" s="211"/>
      <c r="E41" s="211"/>
      <c r="F41" s="212"/>
      <c r="G41" s="212"/>
      <c r="H41" s="460">
        <f ca="1">'Macro Model (LCY)'!H41/H$24</f>
        <v>3311736.2595455316</v>
      </c>
      <c r="I41" s="460">
        <f ca="1">'Macro Model (LCY)'!I41/I$24</f>
        <v>4191938.9974909844</v>
      </c>
      <c r="J41" s="460">
        <f ca="1">'Macro Model (LCY)'!J41/J$24</f>
        <v>5414600.4434451507</v>
      </c>
      <c r="K41" s="460">
        <f ca="1">'Macro Model (LCY)'!K41/K$24</f>
        <v>6982100.7344638677</v>
      </c>
      <c r="L41" s="460">
        <f ca="1">'Macro Model (LCY)'!L41/L$24</f>
        <v>8859496.5399355255</v>
      </c>
      <c r="M41" s="460">
        <f ca="1">'Macro Model (LCY)'!M41/M$24</f>
        <v>9865006.0533307362</v>
      </c>
      <c r="N41" s="460">
        <f ca="1">'Macro Model (LCY)'!N41/N$24</f>
        <v>9909860.7237487864</v>
      </c>
      <c r="O41" s="460">
        <f ca="1">'Macro Model (LCY)'!O41/O$24</f>
        <v>9950966.1104215495</v>
      </c>
      <c r="P41" s="460">
        <f ca="1">'Macro Model (LCY)'!P41/P$24</f>
        <v>9955894.7769430541</v>
      </c>
      <c r="Q41" s="460">
        <f ca="1">'Macro Model (LCY)'!Q41/Q$24</f>
        <v>9958754.2901702374</v>
      </c>
    </row>
    <row r="42" spans="2:17" outlineLevel="1">
      <c r="B42" s="6"/>
      <c r="D42" s="30"/>
      <c r="E42" s="30"/>
      <c r="H42" s="341"/>
      <c r="I42" s="341"/>
      <c r="J42" s="341"/>
      <c r="K42" s="341"/>
      <c r="L42" s="341"/>
      <c r="M42" s="341"/>
      <c r="N42" s="341"/>
      <c r="O42" s="341"/>
      <c r="P42" s="341"/>
      <c r="Q42" s="341"/>
    </row>
    <row r="43" spans="2:17" outlineLevel="1">
      <c r="B43" s="6"/>
      <c r="C43" s="5" t="s">
        <v>77</v>
      </c>
      <c r="D43" s="244"/>
      <c r="E43" s="244" t="s">
        <v>480</v>
      </c>
      <c r="F43" s="435" t="str">
        <f>_VATtaxbasis</f>
        <v>Cash basis</v>
      </c>
      <c r="G43" s="554"/>
      <c r="H43" s="454">
        <f ca="1">'Macro Model (LCY)'!H43/H$24</f>
        <v>-197712.566006832</v>
      </c>
      <c r="I43" s="454">
        <f ca="1">'Macro Model (LCY)'!I43/I$24</f>
        <v>-281064.48249590513</v>
      </c>
      <c r="J43" s="454">
        <f ca="1">'Macro Model (LCY)'!J43/J$24</f>
        <v>-372825.13985583355</v>
      </c>
      <c r="K43" s="454">
        <f ca="1">'Macro Model (LCY)'!K43/K$24</f>
        <v>-473149.69519987237</v>
      </c>
      <c r="L43" s="454">
        <f ca="1">'Macro Model (LCY)'!L43/L$24</f>
        <v>-598705.83902337914</v>
      </c>
      <c r="M43" s="454">
        <f ca="1">'Macro Model (LCY)'!M43/M$24</f>
        <v>-724911.65527394484</v>
      </c>
      <c r="N43" s="454">
        <f ca="1">'Macro Model (LCY)'!N43/N$24</f>
        <v>-782892.47852127301</v>
      </c>
      <c r="O43" s="454">
        <f ca="1">'Macro Model (LCY)'!O43/O$24</f>
        <v>-799347.34344753413</v>
      </c>
      <c r="P43" s="454">
        <f ca="1">'Macro Model (LCY)'!P43/P$24</f>
        <v>-802998.93380239734</v>
      </c>
      <c r="Q43" s="454">
        <f ca="1">'Macro Model (LCY)'!Q43/Q$24</f>
        <v>-804183.83480316005</v>
      </c>
    </row>
    <row r="44" spans="2:17" outlineLevel="1">
      <c r="B44" s="6"/>
      <c r="D44" s="30"/>
      <c r="E44" s="30"/>
      <c r="F44" s="430"/>
      <c r="G44" s="430"/>
      <c r="H44" s="452"/>
      <c r="I44" s="452"/>
      <c r="J44" s="452"/>
      <c r="K44" s="452"/>
      <c r="L44" s="452"/>
      <c r="M44" s="452"/>
      <c r="N44" s="452"/>
      <c r="O44" s="452"/>
      <c r="P44" s="452"/>
      <c r="Q44" s="452"/>
    </row>
    <row r="45" spans="2:17" outlineLevel="1">
      <c r="B45" s="6"/>
      <c r="C45" s="56" t="s">
        <v>678</v>
      </c>
      <c r="D45" s="65"/>
      <c r="E45" s="65"/>
      <c r="F45" s="459"/>
      <c r="G45" s="459"/>
      <c r="H45" s="463">
        <f ca="1">'Macro Model (LCY)'!H45/H$24</f>
        <v>1977125.6600683178</v>
      </c>
      <c r="I45" s="463">
        <f ca="1">'Macro Model (LCY)'!I45/I$24</f>
        <v>2810644.8249590495</v>
      </c>
      <c r="J45" s="463">
        <f ca="1">'Macro Model (LCY)'!J45/J$24</f>
        <v>3728251.3985583326</v>
      </c>
      <c r="K45" s="463">
        <f ca="1">'Macro Model (LCY)'!K45/K$24</f>
        <v>4731496.9519987181</v>
      </c>
      <c r="L45" s="463">
        <f ca="1">'Macro Model (LCY)'!L45/L$24</f>
        <v>5987058.390233784</v>
      </c>
      <c r="M45" s="463">
        <f ca="1">'Macro Model (LCY)'!M45/M$24</f>
        <v>7249116.5527394414</v>
      </c>
      <c r="N45" s="463">
        <f ca="1">'Macro Model (LCY)'!N45/N$24</f>
        <v>7828924.7852127226</v>
      </c>
      <c r="O45" s="463">
        <f ca="1">'Macro Model (LCY)'!O45/O$24</f>
        <v>7993473.4344753344</v>
      </c>
      <c r="P45" s="463">
        <f ca="1">'Macro Model (LCY)'!P45/P$24</f>
        <v>8029989.3380239662</v>
      </c>
      <c r="Q45" s="463">
        <f ca="1">'Macro Model (LCY)'!Q45/Q$24</f>
        <v>8041838.3480315935</v>
      </c>
    </row>
    <row r="46" spans="2:17" outlineLevel="1">
      <c r="B46" s="6"/>
      <c r="C46" s="212" t="s">
        <v>679</v>
      </c>
      <c r="D46" s="603"/>
      <c r="E46" s="603"/>
      <c r="F46" s="212"/>
      <c r="G46" s="212"/>
      <c r="H46" s="462">
        <f ca="1">'Macro Model (LCY)'!H46/H$24</f>
        <v>3114023.6935386993</v>
      </c>
      <c r="I46" s="462">
        <f ca="1">'Macro Model (LCY)'!I46/I$24</f>
        <v>3910874.5149950786</v>
      </c>
      <c r="J46" s="462">
        <f ca="1">'Macro Model (LCY)'!J46/J$24</f>
        <v>5041775.303589317</v>
      </c>
      <c r="K46" s="462">
        <f ca="1">'Macro Model (LCY)'!K46/K$24</f>
        <v>6508951.0392639944</v>
      </c>
      <c r="L46" s="462">
        <f ca="1">'Macro Model (LCY)'!L46/L$24</f>
        <v>8260790.7009121459</v>
      </c>
      <c r="M46" s="462">
        <f ca="1">'Macro Model (LCY)'!M46/M$24</f>
        <v>9140094.3980567902</v>
      </c>
      <c r="N46" s="462">
        <f ca="1">'Macro Model (LCY)'!N46/N$24</f>
        <v>9126968.2452275176</v>
      </c>
      <c r="O46" s="462">
        <f ca="1">'Macro Model (LCY)'!O46/O$24</f>
        <v>9151618.7669740133</v>
      </c>
      <c r="P46" s="462">
        <f ca="1">'Macro Model (LCY)'!P46/P$24</f>
        <v>9152895.843140658</v>
      </c>
      <c r="Q46" s="462">
        <f ca="1">'Macro Model (LCY)'!Q46/Q$24</f>
        <v>9154570.4553670771</v>
      </c>
    </row>
    <row r="47" spans="2:17" outlineLevel="1">
      <c r="B47" s="6"/>
      <c r="D47" s="30"/>
      <c r="E47" s="30"/>
      <c r="F47" s="430"/>
      <c r="G47" s="430"/>
      <c r="H47" s="602"/>
      <c r="I47" s="602"/>
      <c r="J47" s="602"/>
      <c r="K47" s="602"/>
      <c r="L47" s="602"/>
      <c r="M47" s="602"/>
      <c r="N47" s="602"/>
      <c r="O47" s="602"/>
      <c r="P47" s="602"/>
      <c r="Q47" s="602"/>
    </row>
    <row r="48" spans="2:17" outlineLevel="1">
      <c r="B48" s="6"/>
      <c r="D48" s="30"/>
      <c r="E48" s="30"/>
      <c r="F48" s="430"/>
      <c r="G48" s="430"/>
      <c r="H48" s="458"/>
      <c r="I48" s="458"/>
      <c r="J48" s="458"/>
      <c r="K48" s="458"/>
      <c r="L48" s="458"/>
      <c r="M48" s="458"/>
      <c r="N48" s="458"/>
      <c r="O48" s="458"/>
      <c r="P48" s="458"/>
      <c r="Q48" s="458"/>
    </row>
    <row r="49" spans="2:17" outlineLevel="1">
      <c r="B49" s="6"/>
      <c r="C49" s="203" t="s">
        <v>110</v>
      </c>
      <c r="D49" s="204"/>
      <c r="E49" s="204"/>
      <c r="F49" s="459"/>
      <c r="G49" s="459"/>
      <c r="H49" s="460">
        <f>'Macro Model (LCY)'!H49/H$24</f>
        <v>500000</v>
      </c>
      <c r="I49" s="460">
        <f>'Macro Model (LCY)'!I49/I$24</f>
        <v>300000</v>
      </c>
      <c r="J49" s="460">
        <f>'Macro Model (LCY)'!J49/J$24</f>
        <v>0</v>
      </c>
      <c r="K49" s="460">
        <f>'Macro Model (LCY)'!K49/K$24</f>
        <v>0</v>
      </c>
      <c r="L49" s="460">
        <f>'Macro Model (LCY)'!L49/L$24</f>
        <v>0</v>
      </c>
      <c r="M49" s="460">
        <f>'Macro Model (LCY)'!M49/M$24</f>
        <v>0</v>
      </c>
      <c r="N49" s="460">
        <f>'Macro Model (LCY)'!N49/N$24</f>
        <v>0</v>
      </c>
      <c r="O49" s="460">
        <f>'Macro Model (LCY)'!O49/O$24</f>
        <v>0</v>
      </c>
      <c r="P49" s="460">
        <f>'Macro Model (LCY)'!P49/P$24</f>
        <v>0</v>
      </c>
      <c r="Q49" s="460">
        <f>'Macro Model (LCY)'!Q49/Q$24</f>
        <v>0</v>
      </c>
    </row>
    <row r="50" spans="2:17" hidden="1" outlineLevel="2">
      <c r="B50" s="6"/>
      <c r="D50" s="30"/>
      <c r="E50" s="30"/>
      <c r="F50" s="430"/>
      <c r="G50" s="430"/>
      <c r="H50" s="452"/>
      <c r="I50" s="452"/>
      <c r="J50" s="452"/>
      <c r="K50" s="452"/>
      <c r="L50" s="452"/>
      <c r="M50" s="452"/>
      <c r="N50" s="452"/>
      <c r="O50" s="452"/>
      <c r="P50" s="452"/>
      <c r="Q50" s="452"/>
    </row>
    <row r="51" spans="2:17" hidden="1" outlineLevel="2">
      <c r="B51" s="6"/>
      <c r="C51" s="5" t="str">
        <f>+'Detailed Model (LCY)'!C133</f>
        <v>Product 1 - COGS related to active installations</v>
      </c>
      <c r="D51" s="30"/>
      <c r="E51" s="30"/>
      <c r="F51" s="430"/>
      <c r="G51" s="430"/>
      <c r="H51" s="454">
        <f>'Macro Model (LCY)'!H51/H$24</f>
        <v>-12620.105829681353</v>
      </c>
      <c r="I51" s="454">
        <f>'Macro Model (LCY)'!I51/I$24</f>
        <v>-16005.345665004319</v>
      </c>
      <c r="J51" s="454">
        <f>'Macro Model (LCY)'!J51/J$24</f>
        <v>-20298.648308778938</v>
      </c>
      <c r="K51" s="454">
        <f>'Macro Model (LCY)'!K51/K$24</f>
        <v>-25743.594158319778</v>
      </c>
      <c r="L51" s="454">
        <f>'Macro Model (LCY)'!L51/L$24</f>
        <v>-32649.102053837338</v>
      </c>
      <c r="M51" s="454">
        <f>'Macro Model (LCY)'!M51/M$24</f>
        <v>-36321.010827205122</v>
      </c>
      <c r="N51" s="454">
        <f>'Macro Model (LCY)'!N51/N$24</f>
        <v>-36321.010827205122</v>
      </c>
      <c r="O51" s="454">
        <f>'Macro Model (LCY)'!O51/O$24</f>
        <v>-36321.010827205122</v>
      </c>
      <c r="P51" s="454">
        <f>'Macro Model (LCY)'!P51/P$24</f>
        <v>-36321.010827205122</v>
      </c>
      <c r="Q51" s="454">
        <f>'Macro Model (LCY)'!Q51/Q$24</f>
        <v>-36321.010827205122</v>
      </c>
    </row>
    <row r="52" spans="2:17" hidden="1" outlineLevel="2">
      <c r="B52" s="6"/>
      <c r="C52" s="5" t="str">
        <f>+'Detailed Model (LCY)'!C134</f>
        <v>Product 2 - COGS related to active installations</v>
      </c>
      <c r="D52" s="30"/>
      <c r="E52" s="30"/>
      <c r="F52" s="430"/>
      <c r="G52" s="430"/>
      <c r="H52" s="454">
        <f ca="1">'Macro Model (LCY)'!H52/H$24</f>
        <v>-475050.28372073232</v>
      </c>
      <c r="I52" s="454">
        <f ca="1">'Macro Model (LCY)'!I52/I$24</f>
        <v>-638896.0411553859</v>
      </c>
      <c r="J52" s="454">
        <f ca="1">'Macro Model (LCY)'!J52/J$24</f>
        <v>-807537.34833565273</v>
      </c>
      <c r="K52" s="454">
        <f ca="1">'Macro Model (LCY)'!K52/K$24</f>
        <v>-1018622.434452517</v>
      </c>
      <c r="L52" s="454">
        <f ca="1">'Macro Model (LCY)'!L52/L$24</f>
        <v>-1286682.5529635861</v>
      </c>
      <c r="M52" s="454">
        <f ca="1">'Macro Model (LCY)'!M52/M$24</f>
        <v>-1546773.1547030986</v>
      </c>
      <c r="N52" s="454">
        <f ca="1">'Macro Model (LCY)'!N52/N$24</f>
        <v>-1609351.2049768849</v>
      </c>
      <c r="O52" s="454">
        <f ca="1">'Macro Model (LCY)'!O52/O$24</f>
        <v>-1613926.8943082814</v>
      </c>
      <c r="P52" s="454">
        <f ca="1">'Macro Model (LCY)'!P52/P$24</f>
        <v>-1613471.6776699601</v>
      </c>
      <c r="Q52" s="454">
        <f ca="1">'Macro Model (LCY)'!Q52/Q$24</f>
        <v>-1612668.3289055626</v>
      </c>
    </row>
    <row r="53" spans="2:17" hidden="1" outlineLevel="2">
      <c r="B53" s="6"/>
      <c r="C53" s="5" t="str">
        <f>+'Detailed Model (LCY)'!C135</f>
        <v>Product 3 - COGS related to active installations</v>
      </c>
      <c r="D53" s="30"/>
      <c r="E53" s="30"/>
      <c r="F53" s="430"/>
      <c r="G53" s="430"/>
      <c r="H53" s="454">
        <f ca="1">'Macro Model (LCY)'!H53/H$24</f>
        <v>-149769.11453216372</v>
      </c>
      <c r="I53" s="454">
        <f ca="1">'Macro Model (LCY)'!I53/I$24</f>
        <v>-214761.13382697065</v>
      </c>
      <c r="J53" s="454">
        <f ca="1">'Macro Model (LCY)'!J53/J$24</f>
        <v>-297712.53011298296</v>
      </c>
      <c r="K53" s="454">
        <f ca="1">'Macro Model (LCY)'!K53/K$24</f>
        <v>-379060.67558323027</v>
      </c>
      <c r="L53" s="454">
        <f ca="1">'Macro Model (LCY)'!L53/L$24</f>
        <v>-479165.09622300987</v>
      </c>
      <c r="M53" s="454">
        <f ca="1">'Macro Model (LCY)'!M53/M$24</f>
        <v>-589883.25241422909</v>
      </c>
      <c r="N53" s="454">
        <f ca="1">'Macro Model (LCY)'!N53/N$24</f>
        <v>-665125.84875723941</v>
      </c>
      <c r="O53" s="454">
        <f ca="1">'Macro Model (LCY)'!O53/O$24</f>
        <v>-695411.11278223922</v>
      </c>
      <c r="P53" s="454">
        <f ca="1">'Macro Model (LCY)'!P53/P$24</f>
        <v>-702501.30647124501</v>
      </c>
      <c r="Q53" s="454">
        <f ca="1">'Macro Model (LCY)'!Q53/Q$24</f>
        <v>-705794.50267384783</v>
      </c>
    </row>
    <row r="54" spans="2:17" hidden="1" outlineLevel="2">
      <c r="B54" s="6"/>
      <c r="C54" s="5" t="str">
        <f>+'Detailed Model (LCY)'!C136</f>
        <v>Product 4 - COGS related to active installations</v>
      </c>
      <c r="D54" s="30"/>
      <c r="E54" s="30"/>
      <c r="F54" s="430"/>
      <c r="G54" s="430"/>
      <c r="H54" s="454">
        <f ca="1">'Macro Model (LCY)'!H54/H$24</f>
        <v>-147045.9201491907</v>
      </c>
      <c r="I54" s="454">
        <f ca="1">'Macro Model (LCY)'!I54/I$24</f>
        <v>-209434.87627936149</v>
      </c>
      <c r="J54" s="454">
        <f ca="1">'Macro Model (LCY)'!J54/J$24</f>
        <v>-278073.56663775811</v>
      </c>
      <c r="K54" s="454">
        <f ca="1">'Macro Model (LCY)'!K54/K$24</f>
        <v>-351182.26152280625</v>
      </c>
      <c r="L54" s="454">
        <f ca="1">'Macro Model (LCY)'!L54/L$24</f>
        <v>-443451.16003522818</v>
      </c>
      <c r="M54" s="454">
        <f ca="1">'Macro Model (LCY)'!M54/M$24</f>
        <v>-543137.83685074293</v>
      </c>
      <c r="N54" s="454">
        <f ca="1">'Macro Model (LCY)'!N54/N$24</f>
        <v>-601445.66788884811</v>
      </c>
      <c r="O54" s="454">
        <f ca="1">'Macro Model (LCY)'!O54/O$24</f>
        <v>-616090.44669126137</v>
      </c>
      <c r="P54" s="454">
        <f ca="1">'Macro Model (LCY)'!P54/P$24</f>
        <v>-620136.775840202</v>
      </c>
      <c r="Q54" s="454">
        <f ca="1">'Macro Model (LCY)'!Q54/Q$24</f>
        <v>-620813.35461693432</v>
      </c>
    </row>
    <row r="55" spans="2:17" hidden="1" outlineLevel="2">
      <c r="B55" s="6"/>
      <c r="C55" s="5" t="str">
        <f>+'Detailed Model (LCY)'!C137</f>
        <v>Product 5 - COGS related to active installations</v>
      </c>
      <c r="D55" s="30"/>
      <c r="E55" s="30"/>
      <c r="F55" s="430"/>
      <c r="G55" s="430"/>
      <c r="H55" s="454">
        <f ca="1">'Macro Model (LCY)'!H55/H$24</f>
        <v>-30912.694185863424</v>
      </c>
      <c r="I55" s="454">
        <f ca="1">'Macro Model (LCY)'!I55/I$24</f>
        <v>-85899.007224671412</v>
      </c>
      <c r="J55" s="454">
        <f ca="1">'Macro Model (LCY)'!J55/J$24</f>
        <v>-131674.39083582655</v>
      </c>
      <c r="K55" s="454">
        <f ca="1">'Macro Model (LCY)'!K55/K$24</f>
        <v>-170554.12970231942</v>
      </c>
      <c r="L55" s="454">
        <f ca="1">'Macro Model (LCY)'!L55/L$24</f>
        <v>-217992.95179944305</v>
      </c>
      <c r="M55" s="454">
        <f ca="1">'Macro Model (LCY)'!M55/M$24</f>
        <v>-268377.35382247611</v>
      </c>
      <c r="N55" s="454">
        <f ca="1">'Macro Model (LCY)'!N55/N$24</f>
        <v>-297951.39833512262</v>
      </c>
      <c r="O55" s="454">
        <f ca="1">'Macro Model (LCY)'!O55/O$24</f>
        <v>-305597.85565718368</v>
      </c>
      <c r="P55" s="454">
        <f ca="1">'Macro Model (LCY)'!P55/P$24</f>
        <v>-307903.59736541787</v>
      </c>
      <c r="Q55" s="454">
        <f ca="1">'Macro Model (LCY)'!Q55/Q$24</f>
        <v>-308488.56181995815</v>
      </c>
    </row>
    <row r="56" spans="2:17" hidden="1" outlineLevel="2">
      <c r="B56" s="6"/>
      <c r="C56" s="5" t="str">
        <f>+'Detailed Model (LCY)'!C138</f>
        <v>Product 1 - COGS related to lost systems</v>
      </c>
      <c r="D56" s="30"/>
      <c r="E56" s="30"/>
      <c r="F56" s="430"/>
      <c r="G56" s="430"/>
      <c r="H56" s="454">
        <f>'Macro Model (LCY)'!H56/H$24</f>
        <v>0</v>
      </c>
      <c r="I56" s="454">
        <f>'Macro Model (LCY)'!I56/I$24</f>
        <v>0</v>
      </c>
      <c r="J56" s="454">
        <f>'Macro Model (LCY)'!J56/J$24</f>
        <v>0</v>
      </c>
      <c r="K56" s="454">
        <f>'Macro Model (LCY)'!K56/K$24</f>
        <v>0</v>
      </c>
      <c r="L56" s="454">
        <f>'Macro Model (LCY)'!L56/L$24</f>
        <v>0</v>
      </c>
      <c r="M56" s="454">
        <f>'Macro Model (LCY)'!M56/M$24</f>
        <v>0</v>
      </c>
      <c r="N56" s="454">
        <f>'Macro Model (LCY)'!N56/N$24</f>
        <v>0</v>
      </c>
      <c r="O56" s="454">
        <f>'Macro Model (LCY)'!O56/O$24</f>
        <v>0</v>
      </c>
      <c r="P56" s="454">
        <f>'Macro Model (LCY)'!P56/P$24</f>
        <v>0</v>
      </c>
      <c r="Q56" s="454">
        <f>'Macro Model (LCY)'!Q56/Q$24</f>
        <v>0</v>
      </c>
    </row>
    <row r="57" spans="2:17" hidden="1" outlineLevel="2">
      <c r="B57" s="6"/>
      <c r="C57" s="5" t="str">
        <f>+'Detailed Model (LCY)'!C139</f>
        <v>Product 2 - COGS related to lost systems</v>
      </c>
      <c r="D57" s="30"/>
      <c r="E57" s="30"/>
      <c r="F57" s="430"/>
      <c r="G57" s="430"/>
      <c r="H57" s="454">
        <f ca="1">'Macro Model (LCY)'!H57/H$24</f>
        <v>-17702.400986834029</v>
      </c>
      <c r="I57" s="454">
        <f ca="1">'Macro Model (LCY)'!I57/I$24</f>
        <v>-21047.47755000235</v>
      </c>
      <c r="J57" s="454">
        <f ca="1">'Macro Model (LCY)'!J57/J$24</f>
        <v>-22813.015418499464</v>
      </c>
      <c r="K57" s="454">
        <f ca="1">'Macro Model (LCY)'!K57/K$24</f>
        <v>-23977.221502491138</v>
      </c>
      <c r="L57" s="454">
        <f ca="1">'Macro Model (LCY)'!L57/L$24</f>
        <v>-30283.494646804604</v>
      </c>
      <c r="M57" s="454">
        <f ca="1">'Macro Model (LCY)'!M57/M$24</f>
        <v>-36782.274368096034</v>
      </c>
      <c r="N57" s="454">
        <f ca="1">'Macro Model (LCY)'!N57/N$24</f>
        <v>-38596.33903638793</v>
      </c>
      <c r="O57" s="454">
        <f ca="1">'Macro Model (LCY)'!O57/O$24</f>
        <v>-38733.592332701141</v>
      </c>
      <c r="P57" s="454">
        <f ca="1">'Macro Model (LCY)'!P57/P$24</f>
        <v>-38724.890407102066</v>
      </c>
      <c r="Q57" s="454">
        <f ca="1">'Macro Model (LCY)'!Q57/Q$24</f>
        <v>-38705.622134908961</v>
      </c>
    </row>
    <row r="58" spans="2:17" hidden="1" outlineLevel="2">
      <c r="B58" s="6"/>
      <c r="C58" s="5" t="str">
        <f>+'Detailed Model (LCY)'!C140</f>
        <v>Product 3 - COGS related to lost systems</v>
      </c>
      <c r="D58" s="30"/>
      <c r="E58" s="30"/>
      <c r="F58" s="430"/>
      <c r="G58" s="430"/>
      <c r="H58" s="454">
        <f ca="1">'Macro Model (LCY)'!H58/H$24</f>
        <v>-13943.309527372363</v>
      </c>
      <c r="I58" s="454">
        <f ca="1">'Macro Model (LCY)'!I58/I$24</f>
        <v>-17517.245438941223</v>
      </c>
      <c r="J58" s="454">
        <f ca="1">'Macro Model (LCY)'!J58/J$24</f>
        <v>-20939.445019507853</v>
      </c>
      <c r="K58" s="454">
        <f ca="1">'Macro Model (LCY)'!K58/K$24</f>
        <v>-22306.555545567797</v>
      </c>
      <c r="L58" s="454">
        <f ca="1">'Macro Model (LCY)'!L58/L$24</f>
        <v>-28191.369473993393</v>
      </c>
      <c r="M58" s="454">
        <f ca="1">'Macro Model (LCY)'!M58/M$24</f>
        <v>-34897.353453874312</v>
      </c>
      <c r="N58" s="454">
        <f ca="1">'Macro Model (LCY)'!N58/N$24</f>
        <v>-39634.684576660933</v>
      </c>
      <c r="O58" s="454">
        <f ca="1">'Macro Model (LCY)'!O58/O$24</f>
        <v>-41658.850803287925</v>
      </c>
      <c r="P58" s="454">
        <f ca="1">'Macro Model (LCY)'!P58/P$24</f>
        <v>-42124.658250309425</v>
      </c>
      <c r="Q58" s="454">
        <f ca="1">'Macro Model (LCY)'!Q58/Q$24</f>
        <v>-42339.004877165185</v>
      </c>
    </row>
    <row r="59" spans="2:17" hidden="1" outlineLevel="2">
      <c r="B59" s="6"/>
      <c r="C59" s="5" t="str">
        <f>+'Detailed Model (LCY)'!C141</f>
        <v>Product 4 - COGS related to lost systems</v>
      </c>
      <c r="D59" s="30"/>
      <c r="E59" s="30"/>
      <c r="F59" s="430"/>
      <c r="G59" s="430"/>
      <c r="H59" s="454">
        <f ca="1">'Macro Model (LCY)'!H59/H$24</f>
        <v>-10969.225188564295</v>
      </c>
      <c r="I59" s="454">
        <f ca="1">'Macro Model (LCY)'!I59/I$24</f>
        <v>-13665.082147879953</v>
      </c>
      <c r="J59" s="454">
        <f ca="1">'Macro Model (LCY)'!J59/J$24</f>
        <v>-15711.661099308965</v>
      </c>
      <c r="K59" s="454">
        <f ca="1">'Macro Model (LCY)'!K59/K$24</f>
        <v>-16529.635118073209</v>
      </c>
      <c r="L59" s="454">
        <f ca="1">'Macro Model (LCY)'!L59/L$24</f>
        <v>-20878.496846955299</v>
      </c>
      <c r="M59" s="454">
        <f ca="1">'Macro Model (LCY)'!M59/M$24</f>
        <v>-25724.766732790296</v>
      </c>
      <c r="N59" s="454">
        <f ca="1">'Macro Model (LCY)'!N59/N$24</f>
        <v>-28734.191384366655</v>
      </c>
      <c r="O59" s="454">
        <f ca="1">'Macro Model (LCY)'!O59/O$24</f>
        <v>-29547.451002765105</v>
      </c>
      <c r="P59" s="454">
        <f ca="1">'Macro Model (LCY)'!P59/P$24</f>
        <v>-29757.965722697722</v>
      </c>
      <c r="Q59" s="454">
        <f ca="1">'Macro Model (LCY)'!Q59/Q$24</f>
        <v>-29798.878505609035</v>
      </c>
    </row>
    <row r="60" spans="2:17" hidden="1" outlineLevel="2">
      <c r="B60" s="6"/>
      <c r="C60" s="5" t="str">
        <f>+'Detailed Model (LCY)'!C142</f>
        <v>Product 5 - COGS related to lost systems</v>
      </c>
      <c r="D60" s="30"/>
      <c r="E60" s="30"/>
      <c r="F60" s="430"/>
      <c r="G60" s="430"/>
      <c r="H60" s="454">
        <f ca="1">'Macro Model (LCY)'!H60/H$24</f>
        <v>-2049.694890196909</v>
      </c>
      <c r="I60" s="454">
        <f ca="1">'Macro Model (LCY)'!I60/I$24</f>
        <v>-5441.949002293838</v>
      </c>
      <c r="J60" s="454">
        <f ca="1">'Macro Model (LCY)'!J60/J$24</f>
        <v>-7419.8485132359874</v>
      </c>
      <c r="K60" s="454">
        <f ca="1">'Macro Model (LCY)'!K60/K$24</f>
        <v>-8014.2454462136157</v>
      </c>
      <c r="L60" s="454">
        <f ca="1">'Macro Model (LCY)'!L60/L$24</f>
        <v>-10257.773299433906</v>
      </c>
      <c r="M60" s="454">
        <f ca="1">'Macro Model (LCY)'!M60/M$24</f>
        <v>-12707.141629758713</v>
      </c>
      <c r="N60" s="454">
        <f ca="1">'Macro Model (LCY)'!N60/N$24</f>
        <v>-14232.683834708154</v>
      </c>
      <c r="O60" s="454">
        <f ca="1">'Macro Model (LCY)'!O60/O$24</f>
        <v>-14655.026027948803</v>
      </c>
      <c r="P60" s="454">
        <f ca="1">'Macro Model (LCY)'!P60/P$24</f>
        <v>-14774.02023772682</v>
      </c>
      <c r="Q60" s="454">
        <f ca="1">'Macro Model (LCY)'!Q60/Q$24</f>
        <v>-14806.43663239092</v>
      </c>
    </row>
    <row r="61" spans="2:17" hidden="1" outlineLevel="2">
      <c r="B61" s="6"/>
      <c r="C61" s="5" t="s">
        <v>614</v>
      </c>
      <c r="D61" s="30"/>
      <c r="E61" s="30"/>
      <c r="F61" s="430"/>
      <c r="G61" s="430"/>
      <c r="H61" s="454">
        <f ca="1">'Macro Model (LCY)'!H61/H$24</f>
        <v>0</v>
      </c>
      <c r="I61" s="454">
        <f ca="1">'Macro Model (LCY)'!I61/I$24</f>
        <v>0</v>
      </c>
      <c r="J61" s="454">
        <f ca="1">'Macro Model (LCY)'!J61/J$24</f>
        <v>0</v>
      </c>
      <c r="K61" s="454">
        <f ca="1">'Macro Model (LCY)'!K61/K$24</f>
        <v>0</v>
      </c>
      <c r="L61" s="454">
        <f ca="1">'Macro Model (LCY)'!L61/L$24</f>
        <v>0</v>
      </c>
      <c r="M61" s="454">
        <f ca="1">'Macro Model (LCY)'!M61/M$24</f>
        <v>0</v>
      </c>
      <c r="N61" s="454">
        <f ca="1">'Macro Model (LCY)'!N61/N$24</f>
        <v>0</v>
      </c>
      <c r="O61" s="454">
        <f ca="1">'Macro Model (LCY)'!O61/O$24</f>
        <v>0</v>
      </c>
      <c r="P61" s="454">
        <f ca="1">'Macro Model (LCY)'!P61/P$24</f>
        <v>0</v>
      </c>
      <c r="Q61" s="454">
        <f ca="1">'Macro Model (LCY)'!Q61/Q$24</f>
        <v>0</v>
      </c>
    </row>
    <row r="62" spans="2:17" outlineLevel="1" collapsed="1">
      <c r="B62" s="6"/>
      <c r="C62" s="203" t="s">
        <v>107</v>
      </c>
      <c r="D62" s="204"/>
      <c r="E62" s="204"/>
      <c r="F62" s="56"/>
      <c r="G62" s="56"/>
      <c r="H62" s="289">
        <f t="shared" ref="H62:Q62" ca="1" si="7">SUM(H51:H61)</f>
        <v>-860062.74901059899</v>
      </c>
      <c r="I62" s="289">
        <f t="shared" ca="1" si="7"/>
        <v>-1222668.1582905112</v>
      </c>
      <c r="J62" s="289">
        <f t="shared" ca="1" si="7"/>
        <v>-1602180.4542815515</v>
      </c>
      <c r="K62" s="289">
        <f t="shared" ca="1" si="7"/>
        <v>-2015990.7530315383</v>
      </c>
      <c r="L62" s="289">
        <f t="shared" ca="1" si="7"/>
        <v>-2549551.9973422913</v>
      </c>
      <c r="M62" s="289">
        <f t="shared" ca="1" si="7"/>
        <v>-3094604.1448022714</v>
      </c>
      <c r="N62" s="289">
        <f t="shared" ca="1" si="7"/>
        <v>-3331393.0296174237</v>
      </c>
      <c r="O62" s="289">
        <f t="shared" ca="1" si="7"/>
        <v>-3391942.2404328729</v>
      </c>
      <c r="P62" s="289">
        <f t="shared" ca="1" si="7"/>
        <v>-3405715.9027918661</v>
      </c>
      <c r="Q62" s="289">
        <f t="shared" ca="1" si="7"/>
        <v>-3409735.7009935821</v>
      </c>
    </row>
    <row r="63" spans="2:17" hidden="1" outlineLevel="2">
      <c r="B63" s="6"/>
      <c r="C63" s="61"/>
      <c r="D63" s="30"/>
      <c r="E63" s="30"/>
      <c r="H63" s="341"/>
      <c r="I63" s="341"/>
      <c r="J63" s="341"/>
      <c r="K63" s="341"/>
      <c r="L63" s="341"/>
      <c r="M63" s="341"/>
      <c r="N63" s="341"/>
      <c r="O63" s="341"/>
      <c r="P63" s="341"/>
      <c r="Q63" s="341"/>
    </row>
    <row r="64" spans="2:17" hidden="1" outlineLevel="2">
      <c r="B64" s="6"/>
      <c r="C64" s="5" t="str">
        <f>+'Detailed Model (LCY)'!C146</f>
        <v>Product 1 - COGS related to new sales</v>
      </c>
      <c r="D64" s="30"/>
      <c r="E64" s="30"/>
      <c r="H64" s="454">
        <f>'Macro Model (LCY)'!H64/H$24</f>
        <v>-12620.105829681353</v>
      </c>
      <c r="I64" s="454">
        <f>'Macro Model (LCY)'!I64/I$24</f>
        <v>-16005.345665004319</v>
      </c>
      <c r="J64" s="454">
        <f>'Macro Model (LCY)'!J64/J$24</f>
        <v>-20298.648308778938</v>
      </c>
      <c r="K64" s="454">
        <f>'Macro Model (LCY)'!K64/K$24</f>
        <v>-25743.594158319778</v>
      </c>
      <c r="L64" s="454">
        <f>'Macro Model (LCY)'!L64/L$24</f>
        <v>-32649.102053837338</v>
      </c>
      <c r="M64" s="454">
        <f>'Macro Model (LCY)'!M64/M$24</f>
        <v>-36321.010827205122</v>
      </c>
      <c r="N64" s="454">
        <f>'Macro Model (LCY)'!N64/N$24</f>
        <v>-36321.010827205122</v>
      </c>
      <c r="O64" s="454">
        <f>'Macro Model (LCY)'!O64/O$24</f>
        <v>-36321.010827205122</v>
      </c>
      <c r="P64" s="454">
        <f>'Macro Model (LCY)'!P64/P$24</f>
        <v>-36321.010827205122</v>
      </c>
      <c r="Q64" s="454">
        <f>'Macro Model (LCY)'!Q64/Q$24</f>
        <v>-36321.010827205122</v>
      </c>
    </row>
    <row r="65" spans="2:20" hidden="1" outlineLevel="2">
      <c r="B65" s="6"/>
      <c r="C65" s="5" t="str">
        <f>+'Detailed Model (LCY)'!C147</f>
        <v>Product 2 - COGS related to new sales</v>
      </c>
      <c r="D65" s="30"/>
      <c r="E65" s="30"/>
      <c r="H65" s="454">
        <f ca="1">'Macro Model (LCY)'!H65/H$24</f>
        <v>-571962.11922634928</v>
      </c>
      <c r="I65" s="454">
        <f ca="1">'Macro Model (LCY)'!I65/I$24</f>
        <v>-731944.35836215911</v>
      </c>
      <c r="J65" s="454">
        <f ca="1">'Macro Model (LCY)'!J65/J$24</f>
        <v>-928863.72608699161</v>
      </c>
      <c r="K65" s="454">
        <f ca="1">'Macro Model (LCY)'!K65/K$24</f>
        <v>-1178075.3243864737</v>
      </c>
      <c r="L65" s="454">
        <f ca="1">'Macro Model (LCY)'!L65/L$24</f>
        <v>-1494088.930672999</v>
      </c>
      <c r="M65" s="454">
        <f ca="1">'Macro Model (LCY)'!M65/M$24</f>
        <v>-1678389.8693767234</v>
      </c>
      <c r="N65" s="454">
        <f ca="1">'Macro Model (LCY)'!N65/N$24</f>
        <v>-1694726.0257677299</v>
      </c>
      <c r="O65" s="454">
        <f ca="1">'Macro Model (LCY)'!O65/O$24</f>
        <v>-1696174.0379564273</v>
      </c>
      <c r="P65" s="454">
        <f ca="1">'Macro Model (LCY)'!P65/P$24</f>
        <v>-1696302.3875662398</v>
      </c>
      <c r="Q65" s="454">
        <f ca="1">'Macro Model (LCY)'!Q65/Q$24</f>
        <v>-1696313.7642814827</v>
      </c>
    </row>
    <row r="66" spans="2:20" hidden="1" outlineLevel="2">
      <c r="B66" s="6"/>
      <c r="C66" s="5" t="str">
        <f>+'Detailed Model (LCY)'!C148</f>
        <v>Product 3 - COGS related to new sales</v>
      </c>
      <c r="D66" s="30"/>
      <c r="E66" s="30"/>
      <c r="H66" s="454">
        <f ca="1">'Macro Model (LCY)'!H66/H$24</f>
        <v>-269504.89723667636</v>
      </c>
      <c r="I66" s="454">
        <f ca="1">'Macro Model (LCY)'!I66/I$24</f>
        <v>-339379.36662891862</v>
      </c>
      <c r="J66" s="454">
        <f ca="1">'Macro Model (LCY)'!J66/J$24</f>
        <v>-432885.91241170297</v>
      </c>
      <c r="K66" s="454">
        <f ca="1">'Macro Model (LCY)'!K66/K$24</f>
        <v>-553737.75174277415</v>
      </c>
      <c r="L66" s="454">
        <f ca="1">'Macro Model (LCY)'!L66/L$24</f>
        <v>-702094.49985367816</v>
      </c>
      <c r="M66" s="454">
        <f ca="1">'Macro Model (LCY)'!M66/M$24</f>
        <v>-786075.96523516253</v>
      </c>
      <c r="N66" s="454">
        <f ca="1">'Macro Model (LCY)'!N66/N$24</f>
        <v>-795820.52251172555</v>
      </c>
      <c r="O66" s="454">
        <f ca="1">'Macro Model (LCY)'!O66/O$24</f>
        <v>-806198.78489287745</v>
      </c>
      <c r="P66" s="454">
        <f ca="1">'Macro Model (LCY)'!P66/P$24</f>
        <v>-808184.21551570774</v>
      </c>
      <c r="Q66" s="454">
        <f ca="1">'Macro Model (LCY)'!Q66/Q$24</f>
        <v>-808995.95931743132</v>
      </c>
    </row>
    <row r="67" spans="2:20" hidden="1" outlineLevel="2">
      <c r="B67" s="6"/>
      <c r="C67" s="5" t="str">
        <f>+'Detailed Model (LCY)'!C149</f>
        <v>Product 4 - COGS related to new sales</v>
      </c>
      <c r="D67" s="30"/>
      <c r="E67" s="30"/>
      <c r="H67" s="454">
        <f ca="1">'Macro Model (LCY)'!H67/H$24</f>
        <v>-230810.62032517529</v>
      </c>
      <c r="I67" s="454">
        <f ca="1">'Macro Model (LCY)'!I67/I$24</f>
        <v>-290166.99358951033</v>
      </c>
      <c r="J67" s="454">
        <f ca="1">'Macro Model (LCY)'!J67/J$24</f>
        <v>-374048.25489689165</v>
      </c>
      <c r="K67" s="454">
        <f ca="1">'Macro Model (LCY)'!K67/K$24</f>
        <v>-474182.75714814162</v>
      </c>
      <c r="L67" s="454">
        <f ca="1">'Macro Model (LCY)'!L67/L$24</f>
        <v>-601853.43908217864</v>
      </c>
      <c r="M67" s="454">
        <f ca="1">'Macro Model (LCY)'!M67/M$24</f>
        <v>-674103.57872562611</v>
      </c>
      <c r="N67" s="454">
        <f ca="1">'Macro Model (LCY)'!N67/N$24</f>
        <v>-684134.38512737863</v>
      </c>
      <c r="O67" s="454">
        <f ca="1">'Macro Model (LCY)'!O67/O$24</f>
        <v>-689810.92066619103</v>
      </c>
      <c r="P67" s="454">
        <f ca="1">'Macro Model (LCY)'!P67/P$24</f>
        <v>-690599.01919864374</v>
      </c>
      <c r="Q67" s="454">
        <f ca="1">'Macro Model (LCY)'!Q67/Q$24</f>
        <v>-691045.01218747976</v>
      </c>
    </row>
    <row r="68" spans="2:20" hidden="1" outlineLevel="2">
      <c r="B68" s="6"/>
      <c r="C68" s="5" t="str">
        <f>+'Detailed Model (LCY)'!C150</f>
        <v>Product 5 - COGS related to new sales</v>
      </c>
      <c r="D68" s="30"/>
      <c r="E68" s="30"/>
      <c r="H68" s="454">
        <f ca="1">'Macro Model (LCY)'!H68/H$24</f>
        <v>-110957.38978794278</v>
      </c>
      <c r="I68" s="454">
        <f ca="1">'Macro Model (LCY)'!I68/I$24</f>
        <v>-140635.57642011027</v>
      </c>
      <c r="J68" s="454">
        <f ca="1">'Macro Model (LCY)'!J68/J$24</f>
        <v>-186674.66406740487</v>
      </c>
      <c r="K68" s="454">
        <f ca="1">'Macro Model (LCY)'!K68/K$24</f>
        <v>-236741.91519302991</v>
      </c>
      <c r="L68" s="454">
        <f ca="1">'Macro Model (LCY)'!L68/L$24</f>
        <v>-300899.26296713966</v>
      </c>
      <c r="M68" s="454">
        <f ca="1">'Macro Model (LCY)'!M68/M$24</f>
        <v>-337024.33278886345</v>
      </c>
      <c r="N68" s="454">
        <f ca="1">'Macro Model (LCY)'!N68/N$24</f>
        <v>-342065.03536069189</v>
      </c>
      <c r="O68" s="454">
        <f ca="1">'Macro Model (LCY)'!O68/O$24</f>
        <v>-344903.30313009827</v>
      </c>
      <c r="P68" s="454">
        <f ca="1">'Macro Model (LCY)'!P68/P$24</f>
        <v>-345299.34011259791</v>
      </c>
      <c r="Q68" s="454">
        <f ca="1">'Macro Model (LCY)'!Q68/Q$24</f>
        <v>-345522.33660701587</v>
      </c>
    </row>
    <row r="69" spans="2:20" hidden="1" outlineLevel="2">
      <c r="B69" s="6"/>
      <c r="C69" s="5" t="str">
        <f>+'Detailed Model (LCY)'!C151</f>
        <v>Product 1 - COGS reduction related to repossessed systems</v>
      </c>
      <c r="D69" s="30"/>
      <c r="E69" s="30"/>
      <c r="H69" s="454">
        <f>'Macro Model (LCY)'!H69/H$24</f>
        <v>0</v>
      </c>
      <c r="I69" s="454">
        <f>'Macro Model (LCY)'!I69/I$24</f>
        <v>0</v>
      </c>
      <c r="J69" s="454">
        <f>'Macro Model (LCY)'!J69/J$24</f>
        <v>0</v>
      </c>
      <c r="K69" s="454">
        <f>'Macro Model (LCY)'!K69/K$24</f>
        <v>0</v>
      </c>
      <c r="L69" s="454">
        <f>'Macro Model (LCY)'!L69/L$24</f>
        <v>0</v>
      </c>
      <c r="M69" s="454">
        <f>'Macro Model (LCY)'!M69/M$24</f>
        <v>0</v>
      </c>
      <c r="N69" s="454">
        <f>'Macro Model (LCY)'!N69/N$24</f>
        <v>0</v>
      </c>
      <c r="O69" s="454">
        <f>'Macro Model (LCY)'!O69/O$24</f>
        <v>0</v>
      </c>
      <c r="P69" s="454">
        <f>'Macro Model (LCY)'!P69/P$24</f>
        <v>0</v>
      </c>
      <c r="Q69" s="454">
        <f>'Macro Model (LCY)'!Q69/Q$24</f>
        <v>0</v>
      </c>
    </row>
    <row r="70" spans="2:20" hidden="1" outlineLevel="2">
      <c r="B70" s="6"/>
      <c r="C70" s="5" t="str">
        <f>+'Detailed Model (LCY)'!C152</f>
        <v>Product 2 - COGS reduction related to repossessed systems</v>
      </c>
      <c r="D70" s="30"/>
      <c r="E70" s="30"/>
      <c r="H70" s="454">
        <f ca="1">'Macro Model (LCY)'!H70/H$24</f>
        <v>6638.4003700627582</v>
      </c>
      <c r="I70" s="454">
        <f ca="1">'Macro Model (LCY)'!I70/I$24</f>
        <v>13530.521282144375</v>
      </c>
      <c r="J70" s="454">
        <f ca="1">'Macro Model (LCY)'!J70/J$24</f>
        <v>22813.015418499468</v>
      </c>
      <c r="K70" s="454">
        <f ca="1">'Macro Model (LCY)'!K70/K$24</f>
        <v>35965.832253736713</v>
      </c>
      <c r="L70" s="454">
        <f ca="1">'Macro Model (LCY)'!L70/L$24</f>
        <v>45425.241970206887</v>
      </c>
      <c r="M70" s="454">
        <f ca="1">'Macro Model (LCY)'!M70/M$24</f>
        <v>55173.41155214404</v>
      </c>
      <c r="N70" s="454">
        <f ca="1">'Macro Model (LCY)'!N70/N$24</f>
        <v>57894.508554581917</v>
      </c>
      <c r="O70" s="454">
        <f ca="1">'Macro Model (LCY)'!O70/O$24</f>
        <v>58100.388499051696</v>
      </c>
      <c r="P70" s="454">
        <f ca="1">'Macro Model (LCY)'!P70/P$24</f>
        <v>58087.335610653085</v>
      </c>
      <c r="Q70" s="454">
        <f ca="1">'Macro Model (LCY)'!Q70/Q$24</f>
        <v>58058.433202363449</v>
      </c>
    </row>
    <row r="71" spans="2:20" hidden="1" outlineLevel="2">
      <c r="B71" s="6"/>
      <c r="C71" s="5" t="str">
        <f>+'Detailed Model (LCY)'!C153</f>
        <v>Product 3 - COGS reduction related to repossessed systems</v>
      </c>
      <c r="D71" s="30"/>
      <c r="E71" s="30"/>
      <c r="H71" s="454">
        <f ca="1">'Macro Model (LCY)'!H71/H$24</f>
        <v>5228.7410727646347</v>
      </c>
      <c r="I71" s="454">
        <f ca="1">'Macro Model (LCY)'!I71/I$24</f>
        <v>11261.086353605075</v>
      </c>
      <c r="J71" s="454">
        <f ca="1">'Macro Model (LCY)'!J71/J$24</f>
        <v>20939.44501950785</v>
      </c>
      <c r="K71" s="454">
        <f ca="1">'Macro Model (LCY)'!K71/K$24</f>
        <v>33459.833318351695</v>
      </c>
      <c r="L71" s="454">
        <f ca="1">'Macro Model (LCY)'!L71/L$24</f>
        <v>42287.054210990085</v>
      </c>
      <c r="M71" s="454">
        <f ca="1">'Macro Model (LCY)'!M71/M$24</f>
        <v>52346.030180811467</v>
      </c>
      <c r="N71" s="454">
        <f ca="1">'Macro Model (LCY)'!N71/N$24</f>
        <v>59452.026864991407</v>
      </c>
      <c r="O71" s="454">
        <f ca="1">'Macro Model (LCY)'!O71/O$24</f>
        <v>62488.276204931877</v>
      </c>
      <c r="P71" s="454">
        <f ca="1">'Macro Model (LCY)'!P71/P$24</f>
        <v>63186.987375464138</v>
      </c>
      <c r="Q71" s="454">
        <f ca="1">'Macro Model (LCY)'!Q71/Q$24</f>
        <v>63508.507315747775</v>
      </c>
    </row>
    <row r="72" spans="2:20" hidden="1" outlineLevel="2">
      <c r="B72" s="6"/>
      <c r="C72" s="5" t="str">
        <f>+'Detailed Model (LCY)'!C154</f>
        <v>Product 4 - COGS reduction related to repossessed systems</v>
      </c>
      <c r="D72" s="30"/>
      <c r="E72" s="30"/>
      <c r="H72" s="454">
        <f ca="1">'Macro Model (LCY)'!H72/H$24</f>
        <v>4113.4594457116091</v>
      </c>
      <c r="I72" s="454">
        <f ca="1">'Macro Model (LCY)'!I72/I$24</f>
        <v>8784.6956664942591</v>
      </c>
      <c r="J72" s="454">
        <f ca="1">'Macro Model (LCY)'!J72/J$24</f>
        <v>15711.661099308967</v>
      </c>
      <c r="K72" s="454">
        <f ca="1">'Macro Model (LCY)'!K72/K$24</f>
        <v>24794.452677109806</v>
      </c>
      <c r="L72" s="454">
        <f ca="1">'Macro Model (LCY)'!L72/L$24</f>
        <v>31317.745270432944</v>
      </c>
      <c r="M72" s="454">
        <f ca="1">'Macro Model (LCY)'!M72/M$24</f>
        <v>38587.150099185448</v>
      </c>
      <c r="N72" s="454">
        <f ca="1">'Macro Model (LCY)'!N72/N$24</f>
        <v>43101.287076549976</v>
      </c>
      <c r="O72" s="454">
        <f ca="1">'Macro Model (LCY)'!O72/O$24</f>
        <v>44321.176504147668</v>
      </c>
      <c r="P72" s="454">
        <f ca="1">'Macro Model (LCY)'!P72/P$24</f>
        <v>44636.948584046579</v>
      </c>
      <c r="Q72" s="454">
        <f ca="1">'Macro Model (LCY)'!Q72/Q$24</f>
        <v>44698.317758413556</v>
      </c>
    </row>
    <row r="73" spans="2:20" hidden="1" outlineLevel="2">
      <c r="B73" s="6"/>
      <c r="C73" s="5" t="str">
        <f>+'Detailed Model (LCY)'!C155</f>
        <v>Product 5 - COGS reduction related to repossessed systems</v>
      </c>
      <c r="D73" s="30"/>
      <c r="E73" s="30"/>
      <c r="H73" s="454">
        <f ca="1">'Macro Model (LCY)'!H73/H$24</f>
        <v>768.63558382384076</v>
      </c>
      <c r="I73" s="454">
        <f ca="1">'Macro Model (LCY)'!I73/I$24</f>
        <v>3498.395787188897</v>
      </c>
      <c r="J73" s="454">
        <f ca="1">'Macro Model (LCY)'!J73/J$24</f>
        <v>7419.8485132359883</v>
      </c>
      <c r="K73" s="454">
        <f ca="1">'Macro Model (LCY)'!K73/K$24</f>
        <v>12021.368169320423</v>
      </c>
      <c r="L73" s="454">
        <f ca="1">'Macro Model (LCY)'!L73/L$24</f>
        <v>15386.659949150862</v>
      </c>
      <c r="M73" s="454">
        <f ca="1">'Macro Model (LCY)'!M73/M$24</f>
        <v>19060.712444638069</v>
      </c>
      <c r="N73" s="454">
        <f ca="1">'Macro Model (LCY)'!N73/N$24</f>
        <v>21349.025752062233</v>
      </c>
      <c r="O73" s="454">
        <f ca="1">'Macro Model (LCY)'!O73/O$24</f>
        <v>21982.539041923203</v>
      </c>
      <c r="P73" s="454">
        <f ca="1">'Macro Model (LCY)'!P73/P$24</f>
        <v>22161.030356590229</v>
      </c>
      <c r="Q73" s="454">
        <f ca="1">'Macro Model (LCY)'!Q73/Q$24</f>
        <v>22209.654948586372</v>
      </c>
    </row>
    <row r="74" spans="2:20" hidden="1" outlineLevel="2">
      <c r="B74" s="6"/>
      <c r="C74" s="5" t="s">
        <v>614</v>
      </c>
      <c r="D74" s="30"/>
      <c r="E74" s="30"/>
      <c r="H74" s="454">
        <f ca="1">'Macro Model (LCY)'!H74/H$24</f>
        <v>0</v>
      </c>
      <c r="I74" s="454">
        <f ca="1">'Macro Model (LCY)'!I74/I$24</f>
        <v>0</v>
      </c>
      <c r="J74" s="454">
        <f ca="1">'Macro Model (LCY)'!J74/J$24</f>
        <v>0</v>
      </c>
      <c r="K74" s="454">
        <f ca="1">'Macro Model (LCY)'!K74/K$24</f>
        <v>0</v>
      </c>
      <c r="L74" s="454">
        <f ca="1">'Macro Model (LCY)'!L74/L$24</f>
        <v>0</v>
      </c>
      <c r="M74" s="454">
        <f ca="1">'Macro Model (LCY)'!M74/M$24</f>
        <v>0</v>
      </c>
      <c r="N74" s="454">
        <f ca="1">'Macro Model (LCY)'!N74/N$24</f>
        <v>0</v>
      </c>
      <c r="O74" s="454">
        <f ca="1">'Macro Model (LCY)'!O74/O$24</f>
        <v>0</v>
      </c>
      <c r="P74" s="454">
        <f ca="1">'Macro Model (LCY)'!P74/P$24</f>
        <v>0</v>
      </c>
      <c r="Q74" s="454">
        <f ca="1">'Macro Model (LCY)'!Q74/Q$24</f>
        <v>0</v>
      </c>
    </row>
    <row r="75" spans="2:20" outlineLevel="1" collapsed="1">
      <c r="B75" s="6"/>
      <c r="C75" s="210" t="s">
        <v>108</v>
      </c>
      <c r="D75" s="211"/>
      <c r="E75" s="211"/>
      <c r="F75" s="212"/>
      <c r="G75" s="212"/>
      <c r="H75" s="345">
        <f t="shared" ref="H75:Q75" ca="1" si="8">+SUM(H64:H74)</f>
        <v>-1179105.8959334623</v>
      </c>
      <c r="I75" s="345">
        <f t="shared" ca="1" si="8"/>
        <v>-1481056.9415762699</v>
      </c>
      <c r="J75" s="345">
        <f t="shared" ca="1" si="8"/>
        <v>-1875887.2357212177</v>
      </c>
      <c r="K75" s="345">
        <f t="shared" ca="1" si="8"/>
        <v>-2362239.8562102201</v>
      </c>
      <c r="L75" s="345">
        <f t="shared" ca="1" si="8"/>
        <v>-2997168.5332290516</v>
      </c>
      <c r="M75" s="345">
        <f t="shared" ca="1" si="8"/>
        <v>-3346747.4526768024</v>
      </c>
      <c r="N75" s="345">
        <f t="shared" ca="1" si="8"/>
        <v>-3371270.1313465452</v>
      </c>
      <c r="O75" s="345">
        <f t="shared" ca="1" si="8"/>
        <v>-3386515.6772227446</v>
      </c>
      <c r="P75" s="345">
        <f t="shared" ca="1" si="8"/>
        <v>-3388633.6712936396</v>
      </c>
      <c r="Q75" s="345">
        <f t="shared" ca="1" si="8"/>
        <v>-3389723.1699955035</v>
      </c>
    </row>
    <row r="76" spans="2:20" hidden="1" outlineLevel="2">
      <c r="B76" s="6"/>
      <c r="C76" s="586" t="s">
        <v>656</v>
      </c>
      <c r="D76" s="30"/>
      <c r="E76" s="30"/>
      <c r="H76" s="587">
        <f ca="1">(H45+H62)/H45</f>
        <v>0.56499338085527639</v>
      </c>
      <c r="I76" s="587">
        <f t="shared" ref="I76:Q76" ca="1" si="9">(I45+I62)/I45</f>
        <v>0.56498660114113664</v>
      </c>
      <c r="J76" s="587">
        <f t="shared" ca="1" si="9"/>
        <v>0.57025954448750571</v>
      </c>
      <c r="K76" s="587">
        <f t="shared" ca="1" si="9"/>
        <v>0.57392115571797486</v>
      </c>
      <c r="L76" s="587">
        <f t="shared" ca="1" si="9"/>
        <v>0.57415614962079298</v>
      </c>
      <c r="M76" s="587">
        <f t="shared" ca="1" si="9"/>
        <v>0.57310602991576676</v>
      </c>
      <c r="N76" s="587">
        <f t="shared" ca="1" si="9"/>
        <v>0.57447630153379925</v>
      </c>
      <c r="O76" s="587">
        <f t="shared" ca="1" si="9"/>
        <v>0.57566103543878111</v>
      </c>
      <c r="P76" s="587">
        <f t="shared" ca="1" si="9"/>
        <v>0.5758754140973803</v>
      </c>
      <c r="Q76" s="587">
        <f t="shared" ca="1" si="9"/>
        <v>0.57600046737719046</v>
      </c>
    </row>
    <row r="77" spans="2:20" hidden="1" outlineLevel="2">
      <c r="B77" s="6"/>
      <c r="C77" s="586" t="s">
        <v>657</v>
      </c>
      <c r="D77" s="30"/>
      <c r="E77" s="30"/>
      <c r="H77" s="587">
        <f ca="1">(H46+H75)/H46</f>
        <v>0.62135615782885856</v>
      </c>
      <c r="I77" s="587">
        <f t="shared" ref="I77:Q77" ca="1" si="10">(I46+I75)/I46</f>
        <v>0.62129775938921072</v>
      </c>
      <c r="J77" s="587">
        <f t="shared" ca="1" si="10"/>
        <v>0.6279312101858755</v>
      </c>
      <c r="K77" s="587">
        <f t="shared" ca="1" si="10"/>
        <v>0.63707825700939169</v>
      </c>
      <c r="L77" s="587">
        <f t="shared" ca="1" si="10"/>
        <v>0.63718139803516538</v>
      </c>
      <c r="M77" s="587">
        <f t="shared" ca="1" si="10"/>
        <v>0.63383885254091787</v>
      </c>
      <c r="N77" s="587">
        <f t="shared" ca="1" si="10"/>
        <v>0.63062541242987458</v>
      </c>
      <c r="O77" s="587">
        <f t="shared" ca="1" si="10"/>
        <v>0.629954463417569</v>
      </c>
      <c r="P77" s="587">
        <f t="shared" ca="1" si="10"/>
        <v>0.62977469323731661</v>
      </c>
      <c r="Q77" s="587">
        <f t="shared" ca="1" si="10"/>
        <v>0.62972340575431363</v>
      </c>
      <c r="T77" s="26"/>
    </row>
    <row r="78" spans="2:20" hidden="1" outlineLevel="2">
      <c r="B78" s="6"/>
      <c r="C78" s="61"/>
      <c r="D78" s="30"/>
      <c r="E78" s="30"/>
      <c r="H78" s="346"/>
      <c r="I78" s="341"/>
      <c r="J78" s="341"/>
      <c r="K78" s="341"/>
      <c r="L78" s="341"/>
      <c r="M78" s="341"/>
      <c r="N78" s="341"/>
      <c r="O78" s="341"/>
      <c r="P78" s="341"/>
      <c r="Q78" s="341"/>
    </row>
    <row r="79" spans="2:20" hidden="1" outlineLevel="2">
      <c r="B79" s="6"/>
      <c r="C79" s="5" t="str">
        <f>+'Detailed Model (LCY)'!C159</f>
        <v>Product 1</v>
      </c>
      <c r="H79" s="454">
        <f ca="1">'Macro Model (LCY)'!H79/H$24</f>
        <v>-704.53707341852532</v>
      </c>
      <c r="I79" s="454">
        <f ca="1">'Macro Model (LCY)'!I79/I$24</f>
        <v>-893.52336232815435</v>
      </c>
      <c r="J79" s="454">
        <f ca="1">'Macro Model (LCY)'!J79/J$24</f>
        <v>-1133.2036725226183</v>
      </c>
      <c r="K79" s="454">
        <f ca="1">'Macro Model (LCY)'!K79/K$24</f>
        <v>-1437.1762592449522</v>
      </c>
      <c r="L79" s="454">
        <f ca="1">'Macro Model (LCY)'!L79/L$24</f>
        <v>-1822.6869981275042</v>
      </c>
      <c r="M79" s="454">
        <f ca="1">'Macro Model (LCY)'!M79/M$24</f>
        <v>-2027.6770272098252</v>
      </c>
      <c r="N79" s="454">
        <f ca="1">'Macro Model (LCY)'!N79/N$24</f>
        <v>-2027.6770272098252</v>
      </c>
      <c r="O79" s="454">
        <f ca="1">'Macro Model (LCY)'!O79/O$24</f>
        <v>-2027.6770272098252</v>
      </c>
      <c r="P79" s="454">
        <f ca="1">'Macro Model (LCY)'!P79/P$24</f>
        <v>-2027.6770272098252</v>
      </c>
      <c r="Q79" s="454">
        <f ca="1">'Macro Model (LCY)'!Q79/Q$24</f>
        <v>-2027.6770272098252</v>
      </c>
    </row>
    <row r="80" spans="2:20" hidden="1" outlineLevel="2">
      <c r="B80" s="6"/>
      <c r="C80" s="5" t="str">
        <f>+'Detailed Model (LCY)'!C160</f>
        <v>Product 2</v>
      </c>
      <c r="H80" s="454">
        <f ca="1">'Macro Model (LCY)'!H80/H$24</f>
        <v>-58351.398881712186</v>
      </c>
      <c r="I80" s="454">
        <f ca="1">'Macro Model (LCY)'!I80/I$24</f>
        <v>-74679.424607394671</v>
      </c>
      <c r="J80" s="454">
        <f ca="1">'Macro Model (LCY)'!J80/J$24</f>
        <v>-94770.359307337101</v>
      </c>
      <c r="K80" s="454">
        <f ca="1">'Macro Model (LCY)'!K80/K$24</f>
        <v>-120195.96240918482</v>
      </c>
      <c r="L80" s="454">
        <f ca="1">'Macro Model (LCY)'!L80/L$24</f>
        <v>-152437.0500722281</v>
      </c>
      <c r="M80" s="454">
        <f ca="1">'Macro Model (LCY)'!M80/M$24</f>
        <v>-171261.78937520241</v>
      </c>
      <c r="N80" s="454">
        <f ca="1">'Macro Model (LCY)'!N80/N$24</f>
        <v>-172939.84476714212</v>
      </c>
      <c r="O80" s="454">
        <f ca="1">'Macro Model (LCY)'!O80/O$24</f>
        <v>-173088.40518338265</v>
      </c>
      <c r="P80" s="454">
        <f ca="1">'Macro Model (LCY)'!P80/P$24</f>
        <v>-173101.41391537219</v>
      </c>
      <c r="Q80" s="454">
        <f ca="1">'Macro Model (LCY)'!Q80/Q$24</f>
        <v>-173102.42566576853</v>
      </c>
    </row>
    <row r="81" spans="2:19" hidden="1" outlineLevel="2">
      <c r="B81" s="6"/>
      <c r="C81" s="5" t="str">
        <f>+'Detailed Model (LCY)'!C161</f>
        <v>Product 3</v>
      </c>
      <c r="H81" s="454">
        <f ca="1">'Macro Model (LCY)'!H81/H$24</f>
        <v>-21299.259823971934</v>
      </c>
      <c r="I81" s="454">
        <f ca="1">'Macro Model (LCY)'!I81/I$24</f>
        <v>-26833.632123362633</v>
      </c>
      <c r="J81" s="454">
        <f ca="1">'Macro Model (LCY)'!J81/J$24</f>
        <v>-34238.629252018276</v>
      </c>
      <c r="K81" s="454">
        <f ca="1">'Macro Model (LCY)'!K81/K$24</f>
        <v>-43797.156748952737</v>
      </c>
      <c r="L81" s="454">
        <f ca="1">'Macro Model (LCY)'!L81/L$24</f>
        <v>-55530.516914678192</v>
      </c>
      <c r="M81" s="454">
        <f ca="1">'Macro Model (LCY)'!M81/M$24</f>
        <v>-62199.096743691989</v>
      </c>
      <c r="N81" s="454">
        <f ca="1">'Macro Model (LCY)'!N81/N$24</f>
        <v>-63004.056270154928</v>
      </c>
      <c r="O81" s="454">
        <f ca="1">'Macro Model (LCY)'!O81/O$24</f>
        <v>-63837.56344566714</v>
      </c>
      <c r="P81" s="454">
        <f ca="1">'Macro Model (LCY)'!P81/P$24</f>
        <v>-63997.637865744517</v>
      </c>
      <c r="Q81" s="454">
        <f ca="1">'Macro Model (LCY)'!Q81/Q$24</f>
        <v>-64063.272616436509</v>
      </c>
    </row>
    <row r="82" spans="2:19" hidden="1" outlineLevel="2">
      <c r="B82" s="6"/>
      <c r="C82" s="5" t="str">
        <f>+'Detailed Model (LCY)'!C162</f>
        <v>Product 4</v>
      </c>
      <c r="H82" s="454">
        <f ca="1">'Macro Model (LCY)'!H82/H$24</f>
        <v>-57332.670216161539</v>
      </c>
      <c r="I82" s="454">
        <f ca="1">'Macro Model (LCY)'!I82/I$24</f>
        <v>-72118.976082578316</v>
      </c>
      <c r="J82" s="454">
        <f ca="1">'Macro Model (LCY)'!J82/J$24</f>
        <v>-92986.018555624178</v>
      </c>
      <c r="K82" s="454">
        <f ca="1">'Macro Model (LCY)'!K82/K$24</f>
        <v>-117876.27880453854</v>
      </c>
      <c r="L82" s="454">
        <f ca="1">'Macro Model (LCY)'!L82/L$24</f>
        <v>-149609.94463288333</v>
      </c>
      <c r="M82" s="454">
        <f ca="1">'Macro Model (LCY)'!M82/M$24</f>
        <v>-167656.82688977924</v>
      </c>
      <c r="N82" s="454">
        <f ca="1">'Macro Model (LCY)'!N82/N$24</f>
        <v>-170249.02969645345</v>
      </c>
      <c r="O82" s="454">
        <f ca="1">'Macro Model (LCY)'!O82/O$24</f>
        <v>-171682.97701801691</v>
      </c>
      <c r="P82" s="454">
        <f ca="1">'Macro Model (LCY)'!P82/P$24</f>
        <v>-171885.67890127935</v>
      </c>
      <c r="Q82" s="454">
        <f ca="1">'Macro Model (LCY)'!Q82/Q$24</f>
        <v>-171997.48846079042</v>
      </c>
    </row>
    <row r="83" spans="2:19" hidden="1" outlineLevel="2">
      <c r="B83" s="6"/>
      <c r="C83" s="5" t="s">
        <v>216</v>
      </c>
      <c r="H83" s="454">
        <f ca="1">'Macro Model (LCY)'!H83/H$24</f>
        <v>-27486.750833730755</v>
      </c>
      <c r="I83" s="454">
        <f ca="1">'Macro Model (LCY)'!I83/I$24</f>
        <v>-34922.693634532741</v>
      </c>
      <c r="J83" s="454">
        <f ca="1">'Macro Model (LCY)'!J83/J$24</f>
        <v>-46393.111624496909</v>
      </c>
      <c r="K83" s="454">
        <f ca="1">'Macro Model (LCY)'!K83/K$24</f>
        <v>-58842.423990098774</v>
      </c>
      <c r="L83" s="454">
        <f ca="1">'Macro Model (LCY)'!L83/L$24</f>
        <v>-74791.450747957904</v>
      </c>
      <c r="M83" s="454">
        <f ca="1">'Macro Model (LCY)'!M83/M$24</f>
        <v>-83815.864985057749</v>
      </c>
      <c r="N83" s="454">
        <f ca="1">'Macro Model (LCY)'!N83/N$24</f>
        <v>-85118.995471010363</v>
      </c>
      <c r="O83" s="454">
        <f ca="1">'Macro Model (LCY)'!O83/O$24</f>
        <v>-85836.551971385605</v>
      </c>
      <c r="P83" s="454">
        <f ca="1">'Macro Model (LCY)'!P83/P$24</f>
        <v>-85938.904024298463</v>
      </c>
      <c r="Q83" s="454">
        <f ca="1">'Macro Model (LCY)'!Q83/Q$24</f>
        <v>-85995.252451777313</v>
      </c>
    </row>
    <row r="84" spans="2:19" hidden="1" outlineLevel="2" collapsed="1">
      <c r="B84" s="6"/>
      <c r="C84" s="55" t="s">
        <v>415</v>
      </c>
      <c r="D84" s="55"/>
      <c r="E84" s="55"/>
      <c r="F84" s="55"/>
      <c r="G84" s="55"/>
      <c r="H84" s="347">
        <f t="shared" ref="H84:M84" ca="1" si="11">+SUM(H79:H83)</f>
        <v>-165174.61682899497</v>
      </c>
      <c r="I84" s="347">
        <f t="shared" ca="1" si="11"/>
        <v>-209448.24981019652</v>
      </c>
      <c r="J84" s="347">
        <f t="shared" ca="1" si="11"/>
        <v>-269521.32241199911</v>
      </c>
      <c r="K84" s="347">
        <f t="shared" ca="1" si="11"/>
        <v>-342148.9982120198</v>
      </c>
      <c r="L84" s="347">
        <f t="shared" ca="1" si="11"/>
        <v>-434191.64936587506</v>
      </c>
      <c r="M84" s="347">
        <f t="shared" ca="1" si="11"/>
        <v>-486961.2550209412</v>
      </c>
      <c r="N84" s="347">
        <f ca="1">+SUM(N79:N83)</f>
        <v>-493339.60323197069</v>
      </c>
      <c r="O84" s="347">
        <f ca="1">+SUM(O79:O83)</f>
        <v>-496473.17464566213</v>
      </c>
      <c r="P84" s="347">
        <f ca="1">+SUM(P79:P83)</f>
        <v>-496951.31173390435</v>
      </c>
      <c r="Q84" s="347">
        <f ca="1">+SUM(Q79:Q83)</f>
        <v>-497186.11622198264</v>
      </c>
      <c r="R84" s="26"/>
      <c r="S84" s="26"/>
    </row>
    <row r="85" spans="2:19" hidden="1" outlineLevel="2">
      <c r="B85" s="6"/>
      <c r="C85" s="5" t="s">
        <v>416</v>
      </c>
      <c r="H85" s="454">
        <f ca="1">'Macro Model (LCY)'!H85/H$24</f>
        <v>0</v>
      </c>
      <c r="I85" s="454">
        <f ca="1">'Macro Model (LCY)'!I85/I$24</f>
        <v>0</v>
      </c>
      <c r="J85" s="454">
        <f ca="1">'Macro Model (LCY)'!J85/J$24</f>
        <v>0</v>
      </c>
      <c r="K85" s="454">
        <f ca="1">'Macro Model (LCY)'!K85/K$24</f>
        <v>0</v>
      </c>
      <c r="L85" s="454">
        <f ca="1">'Macro Model (LCY)'!L85/L$24</f>
        <v>0</v>
      </c>
      <c r="M85" s="454">
        <f ca="1">'Macro Model (LCY)'!M85/M$24</f>
        <v>0</v>
      </c>
      <c r="N85" s="454">
        <f ca="1">'Macro Model (LCY)'!N85/N$24</f>
        <v>0</v>
      </c>
      <c r="O85" s="454">
        <f ca="1">'Macro Model (LCY)'!O85/O$24</f>
        <v>0</v>
      </c>
      <c r="P85" s="454">
        <f ca="1">'Macro Model (LCY)'!P85/P$24</f>
        <v>0</v>
      </c>
      <c r="Q85" s="454">
        <f ca="1">'Macro Model (LCY)'!Q85/Q$24</f>
        <v>0</v>
      </c>
      <c r="R85" s="26"/>
      <c r="S85" s="26"/>
    </row>
    <row r="86" spans="2:19" hidden="1" outlineLevel="2">
      <c r="B86" s="6"/>
      <c r="C86" s="5" t="s">
        <v>341</v>
      </c>
      <c r="D86" s="37"/>
      <c r="E86" s="37"/>
      <c r="F86" s="37"/>
      <c r="G86" s="37"/>
      <c r="H86" s="454">
        <f ca="1">'Macro Model (LCY)'!H86/H$24</f>
        <v>-10874.191130375752</v>
      </c>
      <c r="I86" s="454">
        <f ca="1">'Macro Model (LCY)'!I86/I$24</f>
        <v>-15458.546537274771</v>
      </c>
      <c r="J86" s="454">
        <f ca="1">'Macro Model (LCY)'!J86/J$24</f>
        <v>-20505.382692070831</v>
      </c>
      <c r="K86" s="454">
        <f ca="1">'Macro Model (LCY)'!K86/K$24</f>
        <v>-26023.233235992953</v>
      </c>
      <c r="L86" s="454">
        <f ca="1">'Macro Model (LCY)'!L86/L$24</f>
        <v>-32928.821146285823</v>
      </c>
      <c r="M86" s="454">
        <f ca="1">'Macro Model (LCY)'!M86/M$24</f>
        <v>-39870.141040066934</v>
      </c>
      <c r="N86" s="454">
        <f ca="1">'Macro Model (LCY)'!N86/N$24</f>
        <v>-43059.086318669986</v>
      </c>
      <c r="O86" s="454">
        <f ca="1">'Macro Model (LCY)'!O86/O$24</f>
        <v>-43964.103889614351</v>
      </c>
      <c r="P86" s="454">
        <f ca="1">'Macro Model (LCY)'!P86/P$24</f>
        <v>-44164.94135913183</v>
      </c>
      <c r="Q86" s="454">
        <f ca="1">'Macro Model (LCY)'!Q86/Q$24</f>
        <v>-44230.110914173762</v>
      </c>
      <c r="R86" s="26"/>
      <c r="S86" s="26"/>
    </row>
    <row r="87" spans="2:19" hidden="1" outlineLevel="2">
      <c r="B87" s="6"/>
      <c r="C87" s="5" t="s">
        <v>339</v>
      </c>
      <c r="D87" s="37"/>
      <c r="E87" s="37"/>
      <c r="F87" s="37"/>
      <c r="G87" s="37"/>
      <c r="H87" s="454">
        <f ca="1">'Macro Model (LCY)'!H87/H$24</f>
        <v>-10874.191130375752</v>
      </c>
      <c r="I87" s="454">
        <f ca="1">'Macro Model (LCY)'!I87/I$24</f>
        <v>-15458.546537274771</v>
      </c>
      <c r="J87" s="454">
        <f ca="1">'Macro Model (LCY)'!J87/J$24</f>
        <v>-20505.382692070831</v>
      </c>
      <c r="K87" s="454">
        <f ca="1">'Macro Model (LCY)'!K87/K$24</f>
        <v>-26023.233235992953</v>
      </c>
      <c r="L87" s="454">
        <f ca="1">'Macro Model (LCY)'!L87/L$24</f>
        <v>-32928.821146285823</v>
      </c>
      <c r="M87" s="454">
        <f ca="1">'Macro Model (LCY)'!M87/M$24</f>
        <v>-39870.141040066934</v>
      </c>
      <c r="N87" s="454">
        <f ca="1">'Macro Model (LCY)'!N87/N$24</f>
        <v>-43059.086318669986</v>
      </c>
      <c r="O87" s="454">
        <f ca="1">'Macro Model (LCY)'!O87/O$24</f>
        <v>-43964.103889614351</v>
      </c>
      <c r="P87" s="454">
        <f ca="1">'Macro Model (LCY)'!P87/P$24</f>
        <v>-44164.94135913183</v>
      </c>
      <c r="Q87" s="454">
        <f ca="1">'Macro Model (LCY)'!Q87/Q$24</f>
        <v>-44230.110914173762</v>
      </c>
      <c r="R87" s="26"/>
      <c r="S87" s="26"/>
    </row>
    <row r="88" spans="2:19" hidden="1" outlineLevel="2">
      <c r="B88" s="6"/>
      <c r="C88" s="5" t="s">
        <v>414</v>
      </c>
      <c r="D88" s="37"/>
      <c r="E88" s="37"/>
      <c r="F88" s="37"/>
      <c r="G88" s="37"/>
      <c r="H88" s="454">
        <f ca="1">'Macro Model (LCY)'!H88/H$24</f>
        <v>-32622.573391127247</v>
      </c>
      <c r="I88" s="454">
        <f ca="1">'Macro Model (LCY)'!I88/I$24</f>
        <v>-46375.639611824314</v>
      </c>
      <c r="J88" s="454">
        <f ca="1">'Macro Model (LCY)'!J88/J$24</f>
        <v>-61516.148076212499</v>
      </c>
      <c r="K88" s="454">
        <f ca="1">'Macro Model (LCY)'!K88/K$24</f>
        <v>-78069.699707978842</v>
      </c>
      <c r="L88" s="454">
        <f ca="1">'Macro Model (LCY)'!L88/L$24</f>
        <v>-98786.463438857449</v>
      </c>
      <c r="M88" s="454">
        <f ca="1">'Macro Model (LCY)'!M88/M$24</f>
        <v>-119610.42312020078</v>
      </c>
      <c r="N88" s="454">
        <f ca="1">'Macro Model (LCY)'!N88/N$24</f>
        <v>-129177.25895600994</v>
      </c>
      <c r="O88" s="454">
        <f ca="1">'Macro Model (LCY)'!O88/O$24</f>
        <v>-131892.31166884303</v>
      </c>
      <c r="P88" s="454">
        <f ca="1">'Macro Model (LCY)'!P88/P$24</f>
        <v>-132494.82407739549</v>
      </c>
      <c r="Q88" s="454">
        <f ca="1">'Macro Model (LCY)'!Q88/Q$24</f>
        <v>-132690.33274252128</v>
      </c>
      <c r="R88" s="26"/>
      <c r="S88" s="26"/>
    </row>
    <row r="89" spans="2:19" hidden="1" outlineLevel="2">
      <c r="B89" s="6"/>
      <c r="C89" s="69" t="s">
        <v>501</v>
      </c>
      <c r="D89" s="69"/>
      <c r="E89" s="69"/>
      <c r="F89" s="69"/>
      <c r="G89" s="69"/>
      <c r="H89" s="348">
        <f t="shared" ref="H89:M89" ca="1" si="12">SUM(H84:H88)</f>
        <v>-219545.57248087373</v>
      </c>
      <c r="I89" s="348">
        <f t="shared" ca="1" si="12"/>
        <v>-286740.98249657039</v>
      </c>
      <c r="J89" s="348">
        <f t="shared" ca="1" si="12"/>
        <v>-372048.23587235331</v>
      </c>
      <c r="K89" s="348">
        <f t="shared" ca="1" si="12"/>
        <v>-472265.16439198458</v>
      </c>
      <c r="L89" s="348">
        <f t="shared" ca="1" si="12"/>
        <v>-598835.75509730412</v>
      </c>
      <c r="M89" s="348">
        <f t="shared" ca="1" si="12"/>
        <v>-686311.9602212758</v>
      </c>
      <c r="N89" s="348">
        <f ca="1">SUM(N84:N88)</f>
        <v>-708635.03482532059</v>
      </c>
      <c r="O89" s="348">
        <f ca="1">SUM(O84:O88)</f>
        <v>-716293.69409373391</v>
      </c>
      <c r="P89" s="348">
        <f ca="1">SUM(P84:P88)</f>
        <v>-717776.01852956344</v>
      </c>
      <c r="Q89" s="348">
        <f ca="1">SUM(Q84:Q88)</f>
        <v>-718336.67079285148</v>
      </c>
      <c r="R89" s="588"/>
    </row>
    <row r="90" spans="2:19" hidden="1" outlineLevel="2">
      <c r="B90" s="6"/>
      <c r="C90" s="5" t="s">
        <v>338</v>
      </c>
      <c r="D90" s="37"/>
      <c r="E90" s="37"/>
      <c r="H90" s="454">
        <f>'Macro Model (LCY)'!H90/H$24</f>
        <v>-240000</v>
      </c>
      <c r="I90" s="454">
        <f>'Macro Model (LCY)'!I90/I$24</f>
        <v>-240000</v>
      </c>
      <c r="J90" s="454">
        <f>'Macro Model (LCY)'!J90/J$24</f>
        <v>-240000</v>
      </c>
      <c r="K90" s="454">
        <f>'Macro Model (LCY)'!K90/K$24</f>
        <v>-240000</v>
      </c>
      <c r="L90" s="454">
        <f>'Macro Model (LCY)'!L90/L$24</f>
        <v>-240000</v>
      </c>
      <c r="M90" s="454">
        <f>'Macro Model (LCY)'!M90/M$24</f>
        <v>-240000</v>
      </c>
      <c r="N90" s="454">
        <f>'Macro Model (LCY)'!N90/N$24</f>
        <v>-240000</v>
      </c>
      <c r="O90" s="454">
        <f>'Macro Model (LCY)'!O90/O$24</f>
        <v>-240000</v>
      </c>
      <c r="P90" s="454">
        <f>'Macro Model (LCY)'!P90/P$24</f>
        <v>-240000</v>
      </c>
      <c r="Q90" s="454">
        <f>'Macro Model (LCY)'!Q90/Q$24</f>
        <v>-240000</v>
      </c>
      <c r="R90" s="588"/>
      <c r="S90" s="26"/>
    </row>
    <row r="91" spans="2:19" hidden="1" outlineLevel="2">
      <c r="B91" s="6"/>
      <c r="C91" s="5" t="s">
        <v>332</v>
      </c>
      <c r="D91" s="37"/>
      <c r="E91" s="37"/>
      <c r="H91" s="454">
        <f ca="1">'Macro Model (LCY)'!H91/H$24</f>
        <v>-65245.146782254495</v>
      </c>
      <c r="I91" s="454">
        <f ca="1">'Macro Model (LCY)'!I91/I$24</f>
        <v>-92751.279223648628</v>
      </c>
      <c r="J91" s="454">
        <f ca="1">'Macro Model (LCY)'!J91/J$24</f>
        <v>-123032.296152425</v>
      </c>
      <c r="K91" s="454">
        <f ca="1">'Macro Model (LCY)'!K91/K$24</f>
        <v>-104092.93294397181</v>
      </c>
      <c r="L91" s="454">
        <f ca="1">'Macro Model (LCY)'!L91/L$24</f>
        <v>-131715.28458514329</v>
      </c>
      <c r="M91" s="454">
        <f ca="1">'Macro Model (LCY)'!M91/M$24</f>
        <v>-239220.84624040156</v>
      </c>
      <c r="N91" s="454">
        <f ca="1">'Macro Model (LCY)'!N91/N$24</f>
        <v>-258354.51791201989</v>
      </c>
      <c r="O91" s="454">
        <f ca="1">'Macro Model (LCY)'!O91/O$24</f>
        <v>-263784.62333768606</v>
      </c>
      <c r="P91" s="454">
        <f ca="1">'Macro Model (LCY)'!P91/P$24</f>
        <v>-264989.64815479098</v>
      </c>
      <c r="Q91" s="454">
        <f ca="1">'Macro Model (LCY)'!Q91/Q$24</f>
        <v>-265380.66548504255</v>
      </c>
      <c r="R91" s="588"/>
      <c r="S91" s="26"/>
    </row>
    <row r="92" spans="2:19" hidden="1" outlineLevel="2">
      <c r="B92" s="6"/>
      <c r="C92" s="5" t="s">
        <v>333</v>
      </c>
      <c r="D92" s="37"/>
      <c r="E92" s="37"/>
      <c r="H92" s="454">
        <f ca="1">'Macro Model (LCY)'!H92/H$24</f>
        <v>-108741.9113037575</v>
      </c>
      <c r="I92" s="454">
        <f ca="1">'Macro Model (LCY)'!I92/I$24</f>
        <v>-154585.46537274771</v>
      </c>
      <c r="J92" s="454">
        <f ca="1">'Macro Model (LCY)'!J92/J$24</f>
        <v>-205053.82692070835</v>
      </c>
      <c r="K92" s="454">
        <f ca="1">'Macro Model (LCY)'!K92/K$24</f>
        <v>-208185.86588794363</v>
      </c>
      <c r="L92" s="454">
        <f ca="1">'Macro Model (LCY)'!L92/L$24</f>
        <v>-263430.56917028659</v>
      </c>
      <c r="M92" s="454">
        <f ca="1">'Macro Model (LCY)'!M92/M$24</f>
        <v>-318961.12832053547</v>
      </c>
      <c r="N92" s="454">
        <f ca="1">'Macro Model (LCY)'!N92/N$24</f>
        <v>-344472.69054935989</v>
      </c>
      <c r="O92" s="454">
        <f ca="1">'Macro Model (LCY)'!O92/O$24</f>
        <v>-351712.83111691481</v>
      </c>
      <c r="P92" s="454">
        <f ca="1">'Macro Model (LCY)'!P92/P$24</f>
        <v>-353319.53087305464</v>
      </c>
      <c r="Q92" s="454">
        <f ca="1">'Macro Model (LCY)'!Q92/Q$24</f>
        <v>-353840.88731339009</v>
      </c>
      <c r="R92" s="588"/>
      <c r="S92" s="26"/>
    </row>
    <row r="93" spans="2:19" hidden="1" outlineLevel="2">
      <c r="B93" s="6"/>
      <c r="C93" s="8" t="s">
        <v>410</v>
      </c>
      <c r="D93" s="37"/>
      <c r="E93" s="37"/>
      <c r="H93" s="454">
        <f ca="1">'Macro Model (LCY)'!H93/H$24</f>
        <v>-326225.73391127249</v>
      </c>
      <c r="I93" s="454">
        <f ca="1">'Macro Model (LCY)'!I93/I$24</f>
        <v>-463756.39611824305</v>
      </c>
      <c r="J93" s="454">
        <f ca="1">'Macro Model (LCY)'!J93/J$24</f>
        <v>-615161.48076212499</v>
      </c>
      <c r="K93" s="454">
        <f ca="1">'Macro Model (LCY)'!K93/K$24</f>
        <v>-780696.99707978859</v>
      </c>
      <c r="L93" s="454">
        <f ca="1">'Macro Model (LCY)'!L93/L$24</f>
        <v>-987864.63438857463</v>
      </c>
      <c r="M93" s="454">
        <f ca="1">'Macro Model (LCY)'!M93/M$24</f>
        <v>-1196104.2312020077</v>
      </c>
      <c r="N93" s="454">
        <f ca="1">'Macro Model (LCY)'!N93/N$24</f>
        <v>-1291772.5895600994</v>
      </c>
      <c r="O93" s="454">
        <f ca="1">'Macro Model (LCY)'!O93/O$24</f>
        <v>-1318923.1166884301</v>
      </c>
      <c r="P93" s="454">
        <f ca="1">'Macro Model (LCY)'!P93/P$24</f>
        <v>-1324948.2407739547</v>
      </c>
      <c r="Q93" s="454">
        <f ca="1">'Macro Model (LCY)'!Q93/Q$24</f>
        <v>-1326903.3274252128</v>
      </c>
      <c r="R93" s="588"/>
      <c r="S93" s="26"/>
    </row>
    <row r="94" spans="2:19" hidden="1" outlineLevel="2">
      <c r="C94" s="5" t="s">
        <v>336</v>
      </c>
      <c r="D94" s="37"/>
      <c r="H94" s="454">
        <f ca="1">'Macro Model (LCY)'!H94/H$24</f>
        <v>-22649.029356450897</v>
      </c>
      <c r="I94" s="454">
        <f ca="1">'Macro Model (LCY)'!I94/I$24</f>
        <v>-28150.255844729727</v>
      </c>
      <c r="J94" s="454">
        <f ca="1">'Macro Model (LCY)'!J94/J$24</f>
        <v>-34206.459230484994</v>
      </c>
      <c r="K94" s="454">
        <f ca="1">'Macro Model (LCY)'!K94/K$24</f>
        <v>-30620.909912393654</v>
      </c>
      <c r="L94" s="454">
        <f ca="1">'Macro Model (LCY)'!L94/L$24</f>
        <v>-36835.939031657239</v>
      </c>
      <c r="M94" s="454">
        <f ca="1">'Macro Model (LCY)'!M94/M$24</f>
        <v>-43083.126936060231</v>
      </c>
      <c r="N94" s="454">
        <f ca="1">'Macro Model (LCY)'!N94/N$24</f>
        <v>-45953.177686802985</v>
      </c>
      <c r="O94" s="454">
        <f ca="1">'Macro Model (LCY)'!O94/O$24</f>
        <v>-46767.693500652902</v>
      </c>
      <c r="P94" s="454">
        <f ca="1">'Macro Model (LCY)'!P94/P$24</f>
        <v>-46948.447223218638</v>
      </c>
      <c r="Q94" s="454">
        <f ca="1">'Macro Model (LCY)'!Q94/Q$24</f>
        <v>-47007.099822756383</v>
      </c>
      <c r="R94" s="588"/>
      <c r="S94" s="26"/>
    </row>
    <row r="95" spans="2:19" hidden="1" outlineLevel="2">
      <c r="C95" s="5" t="s">
        <v>342</v>
      </c>
      <c r="D95" s="37"/>
      <c r="H95" s="454">
        <f>'Macro Model (LCY)'!H95/H$24</f>
        <v>-240000</v>
      </c>
      <c r="I95" s="454">
        <f>'Macro Model (LCY)'!I95/I$24</f>
        <v>-240000</v>
      </c>
      <c r="J95" s="454">
        <f>'Macro Model (LCY)'!J95/J$24</f>
        <v>-240000</v>
      </c>
      <c r="K95" s="454">
        <f>'Macro Model (LCY)'!K95/K$24</f>
        <v>-240000</v>
      </c>
      <c r="L95" s="454">
        <f>'Macro Model (LCY)'!L95/L$24</f>
        <v>-240000</v>
      </c>
      <c r="M95" s="454">
        <f>'Macro Model (LCY)'!M95/M$24</f>
        <v>-240000</v>
      </c>
      <c r="N95" s="454">
        <f>'Macro Model (LCY)'!N95/N$24</f>
        <v>-240000</v>
      </c>
      <c r="O95" s="454">
        <f>'Macro Model (LCY)'!O95/O$24</f>
        <v>-240000</v>
      </c>
      <c r="P95" s="454">
        <f>'Macro Model (LCY)'!P95/P$24</f>
        <v>-240000</v>
      </c>
      <c r="Q95" s="454">
        <f>'Macro Model (LCY)'!Q95/Q$24</f>
        <v>-240000</v>
      </c>
      <c r="R95" s="588"/>
      <c r="S95" s="26"/>
    </row>
    <row r="96" spans="2:19" hidden="1" outlineLevel="2">
      <c r="C96" s="5" t="s">
        <v>230</v>
      </c>
      <c r="H96" s="454">
        <f ca="1">'Macro Model (LCY)'!H96/H$24</f>
        <v>-21748.382260751503</v>
      </c>
      <c r="I96" s="454">
        <f ca="1">'Macro Model (LCY)'!I96/I$24</f>
        <v>-30917.093074549543</v>
      </c>
      <c r="J96" s="454">
        <f ca="1">'Macro Model (LCY)'!J96/J$24</f>
        <v>-41010.765384141661</v>
      </c>
      <c r="K96" s="454">
        <f ca="1">'Macro Model (LCY)'!K96/K$24</f>
        <v>-52046.466471985907</v>
      </c>
      <c r="L96" s="454">
        <f ca="1">'Macro Model (LCY)'!L96/L$24</f>
        <v>-65857.642292571647</v>
      </c>
      <c r="M96" s="454">
        <f ca="1">'Macro Model (LCY)'!M96/M$24</f>
        <v>-79740.282080133868</v>
      </c>
      <c r="N96" s="454">
        <f ca="1">'Macro Model (LCY)'!N96/N$24</f>
        <v>-86118.172637339972</v>
      </c>
      <c r="O96" s="454">
        <f ca="1">'Macro Model (LCY)'!O96/O$24</f>
        <v>-87928.207779228702</v>
      </c>
      <c r="P96" s="454">
        <f ca="1">'Macro Model (LCY)'!P96/P$24</f>
        <v>-88329.88271826366</v>
      </c>
      <c r="Q96" s="454">
        <f ca="1">'Macro Model (LCY)'!Q96/Q$24</f>
        <v>-88460.221828347523</v>
      </c>
      <c r="R96" s="588"/>
      <c r="S96" s="26"/>
    </row>
    <row r="97" spans="2:20" hidden="1" outlineLevel="2">
      <c r="C97" s="69" t="s">
        <v>418</v>
      </c>
      <c r="D97" s="55"/>
      <c r="E97" s="55"/>
      <c r="F97" s="55"/>
      <c r="G97" s="55"/>
      <c r="H97" s="240">
        <f t="shared" ref="H97:M97" ca="1" si="13">SUM(H90:H96)</f>
        <v>-1024610.2036144868</v>
      </c>
      <c r="I97" s="240">
        <f t="shared" ca="1" si="13"/>
        <v>-1250160.4896339185</v>
      </c>
      <c r="J97" s="240">
        <f t="shared" ca="1" si="13"/>
        <v>-1498464.8284498849</v>
      </c>
      <c r="K97" s="240">
        <f t="shared" ca="1" si="13"/>
        <v>-1655643.1722960838</v>
      </c>
      <c r="L97" s="240">
        <f t="shared" ca="1" si="13"/>
        <v>-1965704.0694682335</v>
      </c>
      <c r="M97" s="240">
        <f t="shared" ca="1" si="13"/>
        <v>-2357109.6147791385</v>
      </c>
      <c r="N97" s="240">
        <f ca="1">SUM(N90:N96)</f>
        <v>-2506671.1483456222</v>
      </c>
      <c r="O97" s="240">
        <f ca="1">SUM(O90:O96)</f>
        <v>-2549116.4724229127</v>
      </c>
      <c r="P97" s="240">
        <f ca="1">SUM(P90:P96)</f>
        <v>-2558535.7497432828</v>
      </c>
      <c r="Q97" s="240">
        <f ca="1">SUM(Q90:Q96)</f>
        <v>-2561592.2018747493</v>
      </c>
      <c r="R97" s="588"/>
    </row>
    <row r="98" spans="2:20" hidden="1" outlineLevel="2">
      <c r="H98" s="342"/>
      <c r="I98" s="342"/>
      <c r="J98" s="342"/>
      <c r="K98" s="342"/>
      <c r="L98" s="342"/>
      <c r="M98" s="342"/>
      <c r="N98" s="342"/>
      <c r="O98" s="342"/>
      <c r="P98" s="342"/>
      <c r="Q98" s="342"/>
      <c r="R98" s="588"/>
    </row>
    <row r="99" spans="2:20" outlineLevel="1" collapsed="1">
      <c r="C99" s="68" t="s">
        <v>147</v>
      </c>
      <c r="D99" s="68"/>
      <c r="E99" s="68"/>
      <c r="F99" s="68"/>
      <c r="G99" s="68"/>
      <c r="H99" s="64">
        <f t="shared" ref="H99:M99" ca="1" si="14">SUM(H89,H97)</f>
        <v>-1244155.7760953605</v>
      </c>
      <c r="I99" s="64">
        <f t="shared" ca="1" si="14"/>
        <v>-1536901.4721304888</v>
      </c>
      <c r="J99" s="64">
        <f t="shared" ca="1" si="14"/>
        <v>-1870513.0643222383</v>
      </c>
      <c r="K99" s="64">
        <f t="shared" ca="1" si="14"/>
        <v>-2127908.3366880682</v>
      </c>
      <c r="L99" s="64">
        <f t="shared" ca="1" si="14"/>
        <v>-2564539.8245655377</v>
      </c>
      <c r="M99" s="64">
        <f t="shared" ca="1" si="14"/>
        <v>-3043421.5750004142</v>
      </c>
      <c r="N99" s="64">
        <f ca="1">SUM(N89,N97)</f>
        <v>-3215306.1831709426</v>
      </c>
      <c r="O99" s="64">
        <f ca="1">SUM(O89,O97)</f>
        <v>-3265410.1665166467</v>
      </c>
      <c r="P99" s="64">
        <f ca="1">SUM(P89,P97)</f>
        <v>-3276311.768272846</v>
      </c>
      <c r="Q99" s="64">
        <f ca="1">SUM(Q89,Q97)</f>
        <v>-3279928.8726676009</v>
      </c>
      <c r="R99" s="588"/>
      <c r="S99" s="591"/>
      <c r="T99" s="590"/>
    </row>
    <row r="100" spans="2:20" outlineLevel="1">
      <c r="C100" s="37"/>
      <c r="H100" s="349"/>
      <c r="I100" s="349"/>
      <c r="J100" s="349"/>
      <c r="K100" s="349"/>
      <c r="L100" s="349"/>
      <c r="M100" s="349"/>
      <c r="N100" s="349"/>
      <c r="O100" s="349"/>
      <c r="P100" s="349"/>
      <c r="Q100" s="349"/>
      <c r="R100" s="588"/>
    </row>
    <row r="101" spans="2:20" outlineLevel="1">
      <c r="C101" s="68" t="s">
        <v>7</v>
      </c>
      <c r="D101" s="68"/>
      <c r="E101" s="68"/>
      <c r="F101" s="555" t="s">
        <v>17</v>
      </c>
      <c r="G101" s="56"/>
      <c r="H101" s="94">
        <f ca="1">+H33+H49+H62+H99+H43</f>
        <v>372907.13496235857</v>
      </c>
      <c r="I101" s="94">
        <f t="shared" ref="I101:Q101" ca="1" si="15">+I33+I49+I62+I99+I43</f>
        <v>351075.19453804893</v>
      </c>
      <c r="J101" s="94">
        <f t="shared" ca="1" si="15"/>
        <v>255557.87995454267</v>
      </c>
      <c r="K101" s="94">
        <f t="shared" ca="1" si="15"/>
        <v>587597.86227911245</v>
      </c>
      <c r="L101" s="94">
        <f t="shared" ca="1" si="15"/>
        <v>872966.56832595542</v>
      </c>
      <c r="M101" s="94">
        <f t="shared" ca="1" si="15"/>
        <v>1111090.8329367551</v>
      </c>
      <c r="N101" s="94">
        <f t="shared" ca="1" si="15"/>
        <v>1282225.5724243573</v>
      </c>
      <c r="O101" s="94">
        <f t="shared" ca="1" si="15"/>
        <v>1336121.0275258126</v>
      </c>
      <c r="P101" s="94">
        <f t="shared" ca="1" si="15"/>
        <v>1347961.6669592564</v>
      </c>
      <c r="Q101" s="94">
        <f t="shared" ca="1" si="15"/>
        <v>1352173.7743704102</v>
      </c>
      <c r="R101" s="588"/>
    </row>
    <row r="102" spans="2:20" outlineLevel="1">
      <c r="B102" s="37"/>
      <c r="C102" s="212" t="s">
        <v>9</v>
      </c>
      <c r="D102" s="212"/>
      <c r="E102" s="212"/>
      <c r="F102" s="212"/>
      <c r="G102" s="212"/>
      <c r="H102" s="345">
        <f t="shared" ref="H102:Q102" ca="1" si="16">+H41+H49+H75+H99+H43</f>
        <v>1190762.0215098767</v>
      </c>
      <c r="I102" s="345">
        <f t="shared" ca="1" si="16"/>
        <v>1192916.1012883205</v>
      </c>
      <c r="J102" s="345">
        <f t="shared" ca="1" si="16"/>
        <v>1295375.0035458615</v>
      </c>
      <c r="K102" s="345">
        <f t="shared" ca="1" si="16"/>
        <v>2018802.8463657075</v>
      </c>
      <c r="L102" s="345">
        <f t="shared" ca="1" si="16"/>
        <v>2699082.3431175575</v>
      </c>
      <c r="M102" s="345">
        <f t="shared" ca="1" si="16"/>
        <v>2749925.3703795746</v>
      </c>
      <c r="N102" s="345">
        <f t="shared" ca="1" si="16"/>
        <v>2540391.9307100256</v>
      </c>
      <c r="O102" s="345">
        <f t="shared" ca="1" si="16"/>
        <v>2499692.9232346239</v>
      </c>
      <c r="P102" s="345">
        <f t="shared" ca="1" si="16"/>
        <v>2487950.403574171</v>
      </c>
      <c r="Q102" s="345">
        <f t="shared" ca="1" si="16"/>
        <v>2484918.4127039732</v>
      </c>
      <c r="R102" s="588"/>
    </row>
    <row r="103" spans="2:20" outlineLevel="1">
      <c r="B103" s="37"/>
      <c r="C103" s="62" t="s">
        <v>321</v>
      </c>
      <c r="D103" s="62"/>
      <c r="E103" s="62"/>
      <c r="F103" s="62"/>
      <c r="G103" s="62"/>
      <c r="H103" s="350">
        <f ca="1">(H101-H49)/H33</f>
        <v>-5.8437847704654891E-2</v>
      </c>
      <c r="I103" s="350">
        <f t="shared" ref="I103:Q103" ca="1" si="17">(I101-I49)/I33</f>
        <v>1.6520050709454705E-2</v>
      </c>
      <c r="J103" s="350">
        <f t="shared" ca="1" si="17"/>
        <v>6.2314828206879468E-2</v>
      </c>
      <c r="K103" s="350">
        <f t="shared" ca="1" si="17"/>
        <v>0.1128987041983701</v>
      </c>
      <c r="L103" s="350">
        <f t="shared" ca="1" si="17"/>
        <v>0.13255357129971551</v>
      </c>
      <c r="M103" s="350">
        <f t="shared" ca="1" si="17"/>
        <v>0.1393387136278475</v>
      </c>
      <c r="N103" s="350">
        <f t="shared" ca="1" si="17"/>
        <v>0.14889140504920531</v>
      </c>
      <c r="O103" s="350">
        <f t="shared" ca="1" si="17"/>
        <v>0.1519559037164232</v>
      </c>
      <c r="P103" s="350">
        <f t="shared" ca="1" si="17"/>
        <v>0.15260539530644515</v>
      </c>
      <c r="Q103" s="350">
        <f t="shared" ca="1" si="17"/>
        <v>0.1528567017381251</v>
      </c>
      <c r="R103" s="588"/>
    </row>
    <row r="104" spans="2:20" outlineLevel="1">
      <c r="B104" s="37"/>
      <c r="C104" s="62" t="s">
        <v>322</v>
      </c>
      <c r="D104" s="62"/>
      <c r="E104" s="62"/>
      <c r="F104" s="62"/>
      <c r="G104" s="62"/>
      <c r="H104" s="351">
        <f ca="1">(H102-H49)/H40</f>
        <v>0.1904833306218329</v>
      </c>
      <c r="I104" s="351">
        <f t="shared" ref="I104:Q104" ca="1" si="18">(I102-I49)/I40</f>
        <v>0.19409807944790203</v>
      </c>
      <c r="J104" s="351">
        <f t="shared" ca="1" si="18"/>
        <v>0.21990531690541007</v>
      </c>
      <c r="K104" s="351">
        <f t="shared" ca="1" si="18"/>
        <v>0.26966027203320747</v>
      </c>
      <c r="L104" s="351">
        <f t="shared" ca="1" si="18"/>
        <v>0.28418346406130762</v>
      </c>
      <c r="M104" s="351">
        <f t="shared" ca="1" si="18"/>
        <v>0.25821234348198935</v>
      </c>
      <c r="N104" s="351">
        <f t="shared" ca="1" si="18"/>
        <v>0.23572859118626643</v>
      </c>
      <c r="O104" s="351">
        <f t="shared" ca="1" si="18"/>
        <v>0.23051768056022809</v>
      </c>
      <c r="P104" s="351">
        <f t="shared" ca="1" si="18"/>
        <v>0.22920252216671241</v>
      </c>
      <c r="Q104" s="351">
        <f t="shared" ca="1" si="18"/>
        <v>0.2288183421081158</v>
      </c>
      <c r="R104" s="588"/>
    </row>
    <row r="105" spans="2:20" outlineLevel="1">
      <c r="H105" s="349"/>
      <c r="I105" s="349"/>
      <c r="J105" s="349"/>
      <c r="K105" s="349"/>
      <c r="L105" s="349"/>
      <c r="M105" s="349"/>
      <c r="N105" s="349"/>
      <c r="O105" s="349"/>
      <c r="P105" s="349"/>
      <c r="Q105" s="349"/>
      <c r="R105" s="588"/>
    </row>
    <row r="106" spans="2:20" outlineLevel="1">
      <c r="C106" s="42" t="s">
        <v>79</v>
      </c>
      <c r="H106" s="454">
        <f>'Macro Model (LCY)'!H106/H$24</f>
        <v>-135000</v>
      </c>
      <c r="I106" s="454">
        <f>'Macro Model (LCY)'!I106/I$24</f>
        <v>-91145.833333333343</v>
      </c>
      <c r="J106" s="454">
        <f>'Macro Model (LCY)'!J106/J$24</f>
        <v>-320543.98148148146</v>
      </c>
      <c r="K106" s="454">
        <f>'Macro Model (LCY)'!K106/K$24</f>
        <v>-192129.62962962969</v>
      </c>
      <c r="L106" s="454">
        <f>'Macro Model (LCY)'!L106/L$24</f>
        <v>-276685.18518518523</v>
      </c>
      <c r="M106" s="454">
        <f>'Macro Model (LCY)'!M106/M$24</f>
        <v>-290000.00000000012</v>
      </c>
      <c r="N106" s="454">
        <f>'Macro Model (LCY)'!N106/N$24</f>
        <v>-284629.6296296299</v>
      </c>
      <c r="O106" s="454">
        <f>'Macro Model (LCY)'!O106/O$24</f>
        <v>-287129.62962963001</v>
      </c>
      <c r="P106" s="454">
        <f>'Macro Model (LCY)'!P106/P$24</f>
        <v>-292870.37037037092</v>
      </c>
      <c r="Q106" s="454">
        <f>'Macro Model (LCY)'!Q106/Q$24</f>
        <v>-325861.11111111182</v>
      </c>
      <c r="R106" s="588"/>
    </row>
    <row r="107" spans="2:20" outlineLevel="1">
      <c r="C107" s="42" t="s">
        <v>402</v>
      </c>
      <c r="H107" s="454">
        <f>'Macro Model (LCY)'!H107/H$24</f>
        <v>0</v>
      </c>
      <c r="I107" s="454">
        <f>'Macro Model (LCY)'!I107/I$24</f>
        <v>0</v>
      </c>
      <c r="J107" s="454">
        <f>'Macro Model (LCY)'!J107/J$24</f>
        <v>0</v>
      </c>
      <c r="K107" s="454">
        <f>'Macro Model (LCY)'!K107/K$24</f>
        <v>0</v>
      </c>
      <c r="L107" s="454">
        <f>'Macro Model (LCY)'!L107/L$24</f>
        <v>0</v>
      </c>
      <c r="M107" s="454">
        <f>'Macro Model (LCY)'!M107/M$24</f>
        <v>0</v>
      </c>
      <c r="N107" s="454">
        <f>'Macro Model (LCY)'!N107/N$24</f>
        <v>0</v>
      </c>
      <c r="O107" s="454">
        <f>'Macro Model (LCY)'!O107/O$24</f>
        <v>0</v>
      </c>
      <c r="P107" s="454">
        <f>'Macro Model (LCY)'!P107/P$24</f>
        <v>0</v>
      </c>
      <c r="Q107" s="454">
        <f>'Macro Model (LCY)'!Q107/Q$24</f>
        <v>0</v>
      </c>
      <c r="R107" s="588"/>
    </row>
    <row r="108" spans="2:20" outlineLevel="1">
      <c r="C108" s="42" t="s">
        <v>89</v>
      </c>
      <c r="H108" s="454">
        <f>'Macro Model (LCY)'!H108/H$24</f>
        <v>-12237.686056509929</v>
      </c>
      <c r="I108" s="454">
        <f>'Macro Model (LCY)'!I108/I$24</f>
        <v>-31920.256067451141</v>
      </c>
      <c r="J108" s="454">
        <f>'Macro Model (LCY)'!J108/J$24</f>
        <v>-48007.844233080883</v>
      </c>
      <c r="K108" s="454">
        <f>'Macro Model (LCY)'!K108/K$24</f>
        <v>-61157.066760578135</v>
      </c>
      <c r="L108" s="454">
        <f>'Macro Model (LCY)'!L108/L$24</f>
        <v>-71904.610226853401</v>
      </c>
      <c r="M108" s="454">
        <f>'Macro Model (LCY)'!M108/M$24</f>
        <v>-80689.136484426868</v>
      </c>
      <c r="N108" s="454">
        <f>'Macro Model (LCY)'!N108/N$24</f>
        <v>-87869.186680282553</v>
      </c>
      <c r="O108" s="454">
        <f>'Macro Model (LCY)'!O108/O$24</f>
        <v>-93737.815141670813</v>
      </c>
      <c r="P108" s="454">
        <f>'Macro Model (LCY)'!P108/P$24</f>
        <v>-98534.550412086508</v>
      </c>
      <c r="Q108" s="454">
        <f>'Macro Model (LCY)'!Q108/Q$24</f>
        <v>-102455.1716280711</v>
      </c>
      <c r="R108" s="588"/>
    </row>
    <row r="109" spans="2:20" outlineLevel="1">
      <c r="C109" s="42"/>
      <c r="H109" s="150"/>
      <c r="I109" s="150"/>
      <c r="J109" s="150"/>
      <c r="K109" s="150"/>
      <c r="L109" s="150"/>
      <c r="M109" s="150"/>
      <c r="N109" s="150"/>
      <c r="O109" s="150"/>
      <c r="P109" s="150"/>
      <c r="Q109" s="150"/>
      <c r="R109" s="588"/>
    </row>
    <row r="110" spans="2:20" outlineLevel="1">
      <c r="C110" s="68" t="s">
        <v>182</v>
      </c>
      <c r="D110" s="68"/>
      <c r="E110" s="68"/>
      <c r="F110" s="56"/>
      <c r="G110" s="56"/>
      <c r="H110" s="241">
        <f ca="1">H101+H106+H107+H108</f>
        <v>225669.44890584864</v>
      </c>
      <c r="I110" s="241">
        <f t="shared" ref="I110:Q110" ca="1" si="19">I101+I106+I107+I108</f>
        <v>228009.10513726444</v>
      </c>
      <c r="J110" s="241">
        <f t="shared" ca="1" si="19"/>
        <v>-112993.94576001968</v>
      </c>
      <c r="K110" s="241">
        <f t="shared" ca="1" si="19"/>
        <v>334311.16588890465</v>
      </c>
      <c r="L110" s="241">
        <f t="shared" ca="1" si="19"/>
        <v>524376.77291391685</v>
      </c>
      <c r="M110" s="241">
        <f t="shared" ca="1" si="19"/>
        <v>740401.69645232812</v>
      </c>
      <c r="N110" s="241">
        <f t="shared" ca="1" si="19"/>
        <v>909726.75611444481</v>
      </c>
      <c r="O110" s="241">
        <f t="shared" ca="1" si="19"/>
        <v>955253.58275451185</v>
      </c>
      <c r="P110" s="241">
        <f t="shared" ca="1" si="19"/>
        <v>956556.74617679906</v>
      </c>
      <c r="Q110" s="241">
        <f t="shared" ca="1" si="19"/>
        <v>923857.49163122731</v>
      </c>
      <c r="R110" s="588"/>
    </row>
    <row r="111" spans="2:20" outlineLevel="1">
      <c r="C111" s="213" t="s">
        <v>183</v>
      </c>
      <c r="D111" s="213"/>
      <c r="E111" s="213"/>
      <c r="F111" s="213"/>
      <c r="G111" s="213"/>
      <c r="H111" s="352">
        <f t="shared" ref="H111:M111" ca="1" si="20">+H102+H106+H107+H108</f>
        <v>1043524.3354533667</v>
      </c>
      <c r="I111" s="352">
        <f t="shared" ca="1" si="20"/>
        <v>1069850.0118875362</v>
      </c>
      <c r="J111" s="352">
        <f t="shared" ca="1" si="20"/>
        <v>926823.17783129914</v>
      </c>
      <c r="K111" s="352">
        <f t="shared" ca="1" si="20"/>
        <v>1765516.1499754996</v>
      </c>
      <c r="L111" s="352">
        <f t="shared" ca="1" si="20"/>
        <v>2350492.547705519</v>
      </c>
      <c r="M111" s="352">
        <f t="shared" ca="1" si="20"/>
        <v>2379236.2338951477</v>
      </c>
      <c r="N111" s="352">
        <f ca="1">+N102+N106+N107+N108</f>
        <v>2167893.114400113</v>
      </c>
      <c r="O111" s="352">
        <f ca="1">+O102+O106+O107+O108</f>
        <v>2118825.4784633229</v>
      </c>
      <c r="P111" s="352">
        <f ca="1">+P102+P106+P107+P108</f>
        <v>2096545.4827917137</v>
      </c>
      <c r="Q111" s="352">
        <f ca="1">+Q102+Q106+Q107+Q108</f>
        <v>2056602.1299647903</v>
      </c>
      <c r="R111" s="588"/>
    </row>
    <row r="112" spans="2:20" outlineLevel="1">
      <c r="C112" s="37"/>
      <c r="D112" s="37"/>
      <c r="E112" s="37"/>
      <c r="H112" s="150"/>
      <c r="I112" s="150"/>
      <c r="J112" s="150"/>
      <c r="K112" s="150"/>
      <c r="L112" s="150"/>
      <c r="M112" s="150"/>
      <c r="N112" s="150"/>
      <c r="O112" s="150"/>
      <c r="P112" s="150"/>
      <c r="Q112" s="150"/>
      <c r="R112" s="588"/>
    </row>
    <row r="113" spans="1:18" outlineLevel="1">
      <c r="B113" s="6"/>
      <c r="C113" s="217" t="s">
        <v>464</v>
      </c>
      <c r="E113" s="244" t="s">
        <v>480</v>
      </c>
      <c r="F113" s="522" t="str">
        <f>_corporatetaxbasis</f>
        <v>Cash basis</v>
      </c>
      <c r="G113" s="554"/>
      <c r="H113" s="454">
        <f ca="1">'Macro Model (LCY)'!H113/H$24</f>
        <v>-187386.45505814202</v>
      </c>
      <c r="I113" s="454">
        <f ca="1">'Macro Model (LCY)'!I113/I$24</f>
        <v>-132965.83632504294</v>
      </c>
      <c r="J113" s="454">
        <f ca="1">'Macro Model (LCY)'!J113/J$24</f>
        <v>-21070.53875250083</v>
      </c>
      <c r="K113" s="454">
        <f ca="1">'Macro Model (LCY)'!K113/K$24</f>
        <v>-176282.63308932309</v>
      </c>
      <c r="L113" s="454">
        <f ca="1">'Macro Model (LCY)'!L113/L$24</f>
        <v>-261041.50565687753</v>
      </c>
      <c r="M113" s="454">
        <f ca="1">'Macro Model (LCY)'!M113/M$24</f>
        <v>-357029.1100809396</v>
      </c>
      <c r="N113" s="454">
        <f ca="1">'Macro Model (LCY)'!N113/N$24</f>
        <v>-428196.82610919653</v>
      </c>
      <c r="O113" s="454">
        <f ca="1">'Macro Model (LCY)'!O113/O$24</f>
        <v>-447409.63643213798</v>
      </c>
      <c r="P113" s="454">
        <f ca="1">'Macro Model (LCY)'!P113/P$24</f>
        <v>-448148.93383617618</v>
      </c>
      <c r="Q113" s="454">
        <f ca="1">'Macro Model (LCY)'!Q113/Q$24</f>
        <v>-435141.5741058428</v>
      </c>
      <c r="R113" s="588"/>
    </row>
    <row r="114" spans="1:18" outlineLevel="1">
      <c r="C114" s="218"/>
      <c r="D114" s="213"/>
      <c r="E114" s="213"/>
      <c r="F114" s="213"/>
      <c r="G114" s="213"/>
      <c r="H114" s="342"/>
      <c r="I114" s="342"/>
      <c r="J114" s="342"/>
      <c r="K114" s="342"/>
      <c r="L114" s="342"/>
      <c r="M114" s="342"/>
      <c r="N114" s="342"/>
      <c r="O114" s="342"/>
      <c r="P114" s="342"/>
      <c r="Q114" s="342"/>
      <c r="R114" s="588"/>
    </row>
    <row r="115" spans="1:18" outlineLevel="1">
      <c r="C115" s="121" t="s">
        <v>8</v>
      </c>
      <c r="D115" s="68"/>
      <c r="E115" s="68"/>
      <c r="F115" s="56"/>
      <c r="G115" s="56"/>
      <c r="H115" s="241">
        <f ca="1">+H110+H113</f>
        <v>38282.993847706617</v>
      </c>
      <c r="I115" s="241">
        <f t="shared" ref="I115:Q115" ca="1" si="21">+I110+I113</f>
        <v>95043.268812221504</v>
      </c>
      <c r="J115" s="241">
        <f ca="1">+J110+J113</f>
        <v>-134064.48451252052</v>
      </c>
      <c r="K115" s="241">
        <f t="shared" ca="1" si="21"/>
        <v>158028.53279958156</v>
      </c>
      <c r="L115" s="241">
        <f t="shared" ca="1" si="21"/>
        <v>263335.26725703932</v>
      </c>
      <c r="M115" s="241">
        <f t="shared" ca="1" si="21"/>
        <v>383372.58637138852</v>
      </c>
      <c r="N115" s="241">
        <f t="shared" ca="1" si="21"/>
        <v>481529.93000524829</v>
      </c>
      <c r="O115" s="241">
        <f t="shared" ca="1" si="21"/>
        <v>507843.94632237387</v>
      </c>
      <c r="P115" s="241">
        <f t="shared" ca="1" si="21"/>
        <v>508407.81234062288</v>
      </c>
      <c r="Q115" s="241">
        <f t="shared" ca="1" si="21"/>
        <v>488715.91752538452</v>
      </c>
      <c r="R115" s="588"/>
    </row>
    <row r="116" spans="1:18" ht="14.4" outlineLevel="1" thickBot="1">
      <c r="C116" s="219" t="s">
        <v>10</v>
      </c>
      <c r="D116" s="214"/>
      <c r="E116" s="214"/>
      <c r="F116" s="214"/>
      <c r="G116" s="214"/>
      <c r="H116" s="354">
        <f t="shared" ref="H116:Q116" ca="1" si="22">+H111+H113</f>
        <v>856137.88039522478</v>
      </c>
      <c r="I116" s="354">
        <f t="shared" ca="1" si="22"/>
        <v>936884.17556249327</v>
      </c>
      <c r="J116" s="354">
        <f t="shared" ca="1" si="22"/>
        <v>905752.63907879835</v>
      </c>
      <c r="K116" s="354">
        <f t="shared" ca="1" si="22"/>
        <v>1589233.5168861765</v>
      </c>
      <c r="L116" s="354">
        <f t="shared" ca="1" si="22"/>
        <v>2089451.0420486415</v>
      </c>
      <c r="M116" s="354">
        <f t="shared" ca="1" si="22"/>
        <v>2022207.123814208</v>
      </c>
      <c r="N116" s="354">
        <f t="shared" ca="1" si="22"/>
        <v>1739696.2882909165</v>
      </c>
      <c r="O116" s="354">
        <f t="shared" ca="1" si="22"/>
        <v>1671415.8420311848</v>
      </c>
      <c r="P116" s="354">
        <f t="shared" ca="1" si="22"/>
        <v>1648396.5489555374</v>
      </c>
      <c r="Q116" s="354">
        <f t="shared" ca="1" si="22"/>
        <v>1621460.5558589476</v>
      </c>
    </row>
    <row r="117" spans="1:18" ht="14.4" outlineLevel="1" thickTop="1">
      <c r="C117" s="62" t="s">
        <v>323</v>
      </c>
      <c r="F117" s="37"/>
      <c r="G117" s="37"/>
      <c r="H117" s="205">
        <f ca="1">(H115-H49)/H45</f>
        <v>-0.23352941873018795</v>
      </c>
      <c r="I117" s="205">
        <f t="shared" ref="I117:Q117" ca="1" si="23">(I115-I49)/I45</f>
        <v>-7.2921604810299953E-2</v>
      </c>
      <c r="J117" s="205">
        <f t="shared" ca="1" si="23"/>
        <v>-3.5959078447435587E-2</v>
      </c>
      <c r="K117" s="205">
        <f t="shared" ca="1" si="23"/>
        <v>3.339926758968445E-2</v>
      </c>
      <c r="L117" s="205">
        <f t="shared" ca="1" si="23"/>
        <v>4.3984082013731045E-2</v>
      </c>
      <c r="M117" s="205">
        <f t="shared" ca="1" si="23"/>
        <v>5.2885421772741671E-2</v>
      </c>
      <c r="N117" s="205">
        <f t="shared" ca="1" si="23"/>
        <v>6.1506521421020963E-2</v>
      </c>
      <c r="O117" s="205">
        <f t="shared" ca="1" si="23"/>
        <v>6.3532324274961083E-2</v>
      </c>
      <c r="P117" s="205">
        <f t="shared" ca="1" si="23"/>
        <v>6.33136347931606E-2</v>
      </c>
      <c r="Q117" s="205">
        <f t="shared" ca="1" si="23"/>
        <v>6.0771666424382663E-2</v>
      </c>
    </row>
    <row r="118" spans="1:18" outlineLevel="1">
      <c r="C118" s="62" t="s">
        <v>324</v>
      </c>
      <c r="F118" s="37"/>
      <c r="G118" s="37"/>
      <c r="H118" s="205">
        <f ca="1">(H116-H49)/H46</f>
        <v>0.11436582230706104</v>
      </c>
      <c r="I118" s="205">
        <f t="shared" ref="I118:Q118" ca="1" si="24">(I116-I49)/I46</f>
        <v>0.1628495552901407</v>
      </c>
      <c r="J118" s="205">
        <f t="shared" ca="1" si="24"/>
        <v>0.17964954495968496</v>
      </c>
      <c r="K118" s="205">
        <f t="shared" ca="1" si="24"/>
        <v>0.24416123386079128</v>
      </c>
      <c r="L118" s="205">
        <f t="shared" ca="1" si="24"/>
        <v>0.25293596190712436</v>
      </c>
      <c r="M118" s="205">
        <f t="shared" ca="1" si="24"/>
        <v>0.22124575915147385</v>
      </c>
      <c r="N118" s="205">
        <f t="shared" ca="1" si="24"/>
        <v>0.19061053370056391</v>
      </c>
      <c r="O118" s="205">
        <f t="shared" ca="1" si="24"/>
        <v>0.18263608707815954</v>
      </c>
      <c r="P118" s="205">
        <f t="shared" ca="1" si="24"/>
        <v>0.18009563062938982</v>
      </c>
      <c r="Q118" s="205">
        <f t="shared" ca="1" si="24"/>
        <v>0.17712033172548572</v>
      </c>
    </row>
    <row r="119" spans="1:18" outlineLevel="1">
      <c r="C119" s="42"/>
      <c r="D119" s="37"/>
      <c r="E119" s="37"/>
      <c r="F119" s="37"/>
      <c r="G119" s="37"/>
      <c r="H119" s="122"/>
      <c r="I119" s="122"/>
      <c r="J119" s="122"/>
      <c r="K119" s="122"/>
      <c r="L119" s="122"/>
      <c r="M119" s="122"/>
      <c r="N119" s="122"/>
      <c r="O119" s="122"/>
      <c r="P119" s="122"/>
      <c r="Q119" s="122"/>
    </row>
    <row r="120" spans="1:18" outlineLevel="1">
      <c r="C120" s="532"/>
      <c r="D120" s="37"/>
      <c r="E120" s="37"/>
      <c r="F120" s="37"/>
      <c r="G120" s="37"/>
      <c r="H120" s="122"/>
      <c r="I120" s="122"/>
      <c r="J120" s="122"/>
      <c r="K120" s="122"/>
      <c r="L120" s="122"/>
      <c r="M120" s="122"/>
      <c r="N120" s="122"/>
      <c r="O120" s="122"/>
      <c r="P120" s="122"/>
      <c r="Q120" s="122"/>
    </row>
    <row r="121" spans="1:18" outlineLevel="1">
      <c r="C121" s="232" t="s">
        <v>553</v>
      </c>
      <c r="D121" s="37"/>
      <c r="E121" s="37"/>
      <c r="F121" s="528">
        <f ca="1">SUM(H121:Q121)</f>
        <v>0</v>
      </c>
      <c r="G121" s="528"/>
      <c r="H121" s="528">
        <f ca="1">IF(ABS('Macro Model (LCY)'!H115/'Macro Model (USD)'!H$24-'Macro Model (USD)'!H115)&lt;tolerance,0,1)</f>
        <v>0</v>
      </c>
      <c r="I121" s="528">
        <f ca="1">IF(ABS('Macro Model (LCY)'!I115/'Macro Model (USD)'!I$24-'Macro Model (USD)'!I115)&lt;tolerance,0,1)</f>
        <v>0</v>
      </c>
      <c r="J121" s="528">
        <f ca="1">IF(ABS('Macro Model (LCY)'!J115/'Macro Model (USD)'!J$24-'Macro Model (USD)'!J115)&lt;tolerance,0,1)</f>
        <v>0</v>
      </c>
      <c r="K121" s="528">
        <f ca="1">IF(ABS('Macro Model (LCY)'!K115/'Macro Model (USD)'!K$24-'Macro Model (USD)'!K115)&lt;tolerance,0,1)</f>
        <v>0</v>
      </c>
      <c r="L121" s="528">
        <f ca="1">IF(ABS('Macro Model (LCY)'!L115/'Macro Model (USD)'!L$24-'Macro Model (USD)'!L115)&lt;tolerance,0,1)</f>
        <v>0</v>
      </c>
      <c r="M121" s="528">
        <f ca="1">IF(ABS('Macro Model (LCY)'!M115/'Macro Model (USD)'!M$24-'Macro Model (USD)'!M115)&lt;tolerance,0,1)</f>
        <v>0</v>
      </c>
      <c r="N121" s="528">
        <f ca="1">IF(ABS('Macro Model (LCY)'!N115/'Macro Model (USD)'!N$24-'Macro Model (USD)'!N115)&lt;tolerance,0,1)</f>
        <v>0</v>
      </c>
      <c r="O121" s="528">
        <f ca="1">IF(ABS('Macro Model (LCY)'!O115/'Macro Model (USD)'!O$24-'Macro Model (USD)'!O115)&lt;tolerance,0,1)</f>
        <v>0</v>
      </c>
      <c r="P121" s="528">
        <f ca="1">IF(ABS('Macro Model (LCY)'!P115/'Macro Model (USD)'!P$24-'Macro Model (USD)'!P115)&lt;tolerance,0,1)</f>
        <v>0</v>
      </c>
      <c r="Q121" s="528">
        <f ca="1">IF(ABS('Macro Model (LCY)'!Q115/'Macro Model (USD)'!Q$24-'Macro Model (USD)'!Q115)&lt;tolerance,0,1)</f>
        <v>0</v>
      </c>
    </row>
    <row r="122" spans="1:18" outlineLevel="1">
      <c r="C122" s="232" t="s">
        <v>554</v>
      </c>
      <c r="D122" s="37"/>
      <c r="E122" s="37"/>
      <c r="F122" s="528">
        <f ca="1">SUM(H122:Q122)</f>
        <v>0</v>
      </c>
      <c r="G122" s="528"/>
      <c r="H122" s="528">
        <f ca="1">IF(ABS('Macro Model (LCY)'!H116/'Macro Model (USD)'!H$24-'Macro Model (USD)'!H116)&lt;tolerance,0,1)</f>
        <v>0</v>
      </c>
      <c r="I122" s="528">
        <f ca="1">IF(ABS('Macro Model (LCY)'!I116/'Macro Model (USD)'!I$24-'Macro Model (USD)'!I116)&lt;tolerance,0,1)</f>
        <v>0</v>
      </c>
      <c r="J122" s="528">
        <f ca="1">IF(ABS('Macro Model (LCY)'!J116/'Macro Model (USD)'!J$24-'Macro Model (USD)'!J116)&lt;tolerance,0,1)</f>
        <v>0</v>
      </c>
      <c r="K122" s="528">
        <f ca="1">IF(ABS('Macro Model (LCY)'!K116/'Macro Model (USD)'!K$24-'Macro Model (USD)'!K116)&lt;tolerance,0,1)</f>
        <v>0</v>
      </c>
      <c r="L122" s="528">
        <f ca="1">IF(ABS('Macro Model (LCY)'!L116/'Macro Model (USD)'!L$24-'Macro Model (USD)'!L116)&lt;tolerance,0,1)</f>
        <v>0</v>
      </c>
      <c r="M122" s="528">
        <f ca="1">IF(ABS('Macro Model (LCY)'!M116/'Macro Model (USD)'!M$24-'Macro Model (USD)'!M116)&lt;tolerance,0,1)</f>
        <v>0</v>
      </c>
      <c r="N122" s="528">
        <f ca="1">IF(ABS('Macro Model (LCY)'!N116/'Macro Model (USD)'!N$24-'Macro Model (USD)'!N116)&lt;tolerance,0,1)</f>
        <v>0</v>
      </c>
      <c r="O122" s="528">
        <f ca="1">IF(ABS('Macro Model (LCY)'!O116/'Macro Model (USD)'!O$24-'Macro Model (USD)'!O116)&lt;tolerance,0,1)</f>
        <v>0</v>
      </c>
      <c r="P122" s="528">
        <f ca="1">IF(ABS('Macro Model (LCY)'!P116/'Macro Model (USD)'!P$24-'Macro Model (USD)'!P116)&lt;tolerance,0,1)</f>
        <v>0</v>
      </c>
      <c r="Q122" s="528">
        <f ca="1">IF(ABS('Macro Model (LCY)'!Q116/'Macro Model (USD)'!Q$24-'Macro Model (USD)'!Q116)&lt;tolerance,0,1)</f>
        <v>0</v>
      </c>
    </row>
    <row r="123" spans="1:18" outlineLevel="1">
      <c r="C123" s="42"/>
      <c r="D123" s="37"/>
      <c r="E123" s="37"/>
      <c r="F123" s="37"/>
      <c r="G123" s="37"/>
      <c r="H123" s="122"/>
      <c r="I123" s="122"/>
      <c r="J123" s="122"/>
      <c r="K123" s="122"/>
      <c r="L123" s="122"/>
      <c r="M123" s="122"/>
      <c r="N123" s="122"/>
      <c r="O123" s="122"/>
      <c r="P123" s="122"/>
      <c r="Q123" s="122"/>
    </row>
    <row r="124" spans="1:18">
      <c r="C124" s="42"/>
      <c r="D124" s="37"/>
      <c r="E124" s="37"/>
      <c r="F124" s="37"/>
      <c r="G124" s="37"/>
      <c r="H124" s="122"/>
      <c r="I124" s="122"/>
      <c r="J124" s="122"/>
      <c r="K124" s="122"/>
      <c r="L124" s="122"/>
      <c r="M124" s="122"/>
      <c r="N124" s="122"/>
      <c r="O124" s="122"/>
      <c r="P124" s="122"/>
      <c r="Q124" s="122"/>
    </row>
    <row r="125" spans="1:18">
      <c r="B125" s="6" t="s">
        <v>485</v>
      </c>
      <c r="H125" s="454"/>
      <c r="I125" s="454"/>
      <c r="J125" s="430"/>
      <c r="K125" s="430"/>
      <c r="L125" s="430"/>
      <c r="M125" s="430"/>
      <c r="N125" s="430"/>
      <c r="O125" s="430"/>
      <c r="P125" s="430"/>
      <c r="Q125" s="430"/>
    </row>
    <row r="126" spans="1:18" outlineLevel="1">
      <c r="A126" s="6"/>
      <c r="C126" s="85" t="s">
        <v>11</v>
      </c>
      <c r="D126" s="85"/>
      <c r="E126" s="85"/>
      <c r="F126" s="85"/>
      <c r="G126" s="85"/>
      <c r="H126" s="462">
        <f>'Macro Model (LCY)'!H126/H$24</f>
        <v>30000</v>
      </c>
      <c r="I126" s="462">
        <f ca="1">'Macro Model (LCY)'!I126/I$24</f>
        <v>1051882.5749797761</v>
      </c>
      <c r="J126" s="462">
        <f ca="1">'Macro Model (LCY)'!J126/J$24</f>
        <v>167862.31536511393</v>
      </c>
      <c r="K126" s="462">
        <f ca="1">'Macro Model (LCY)'!K126/K$24</f>
        <v>2222551.4746453487</v>
      </c>
      <c r="L126" s="462">
        <f ca="1">'Macro Model (LCY)'!L126/L$24</f>
        <v>1162398.469478712</v>
      </c>
      <c r="M126" s="462">
        <f ca="1">'Macro Model (LCY)'!M126/M$24</f>
        <v>1148224.7507261026</v>
      </c>
      <c r="N126" s="462">
        <f ca="1">'Macro Model (LCY)'!N126/N$24</f>
        <v>1129263.828908148</v>
      </c>
      <c r="O126" s="462">
        <f ca="1">'Macro Model (LCY)'!O126/O$24</f>
        <v>1194437.6135893073</v>
      </c>
      <c r="P126" s="462">
        <f ca="1">'Macro Model (LCY)'!P126/P$24</f>
        <v>1670798.3451476025</v>
      </c>
      <c r="Q126" s="462">
        <f ca="1">'Macro Model (LCY)'!Q126/Q$24</f>
        <v>1941834.9827443976</v>
      </c>
    </row>
    <row r="127" spans="1:18" outlineLevel="1">
      <c r="A127" s="6"/>
      <c r="H127" s="430"/>
      <c r="I127" s="430"/>
      <c r="J127" s="430"/>
      <c r="K127" s="430"/>
      <c r="L127" s="430"/>
      <c r="M127" s="430"/>
      <c r="N127" s="430"/>
      <c r="O127" s="430"/>
      <c r="P127" s="430"/>
      <c r="Q127" s="430"/>
    </row>
    <row r="128" spans="1:18" outlineLevel="1">
      <c r="A128" s="6"/>
      <c r="C128" s="5" t="s">
        <v>116</v>
      </c>
      <c r="H128" s="454"/>
      <c r="I128" s="454"/>
      <c r="J128" s="454"/>
      <c r="K128" s="454"/>
      <c r="L128" s="454"/>
      <c r="M128" s="454"/>
      <c r="N128" s="454"/>
      <c r="O128" s="454"/>
      <c r="P128" s="454"/>
      <c r="Q128" s="454"/>
    </row>
    <row r="129" spans="1:17" outlineLevel="1">
      <c r="C129" s="5" t="s">
        <v>5</v>
      </c>
      <c r="D129" s="5" t="s">
        <v>8</v>
      </c>
      <c r="H129" s="454">
        <f ca="1">'Macro Model (LCY)'!H129/H$24</f>
        <v>38282.993847706268</v>
      </c>
      <c r="I129" s="454">
        <f ca="1">'Macro Model (LCY)'!I129/I$24</f>
        <v>95043.26881222162</v>
      </c>
      <c r="J129" s="454">
        <f ca="1">'Macro Model (LCY)'!J129/J$24</f>
        <v>-134064.48451252037</v>
      </c>
      <c r="K129" s="454">
        <f ca="1">'Macro Model (LCY)'!K129/K$24</f>
        <v>158028.53279958112</v>
      </c>
      <c r="L129" s="454">
        <f ca="1">'Macro Model (LCY)'!L129/L$24</f>
        <v>263335.26725703944</v>
      </c>
      <c r="M129" s="454">
        <f ca="1">'Macro Model (LCY)'!M129/M$24</f>
        <v>383372.58637138869</v>
      </c>
      <c r="N129" s="454">
        <f ca="1">'Macro Model (LCY)'!N129/N$24</f>
        <v>481529.93000524753</v>
      </c>
      <c r="O129" s="454">
        <f ca="1">'Macro Model (LCY)'!O129/O$24</f>
        <v>507843.94632237463</v>
      </c>
      <c r="P129" s="454">
        <f ca="1">'Macro Model (LCY)'!P129/P$24</f>
        <v>508407.81234062201</v>
      </c>
      <c r="Q129" s="454">
        <f ca="1">'Macro Model (LCY)'!Q129/Q$24</f>
        <v>488715.91752538399</v>
      </c>
    </row>
    <row r="130" spans="1:17" outlineLevel="1">
      <c r="C130" s="5" t="s">
        <v>5</v>
      </c>
      <c r="D130" s="5" t="s">
        <v>89</v>
      </c>
      <c r="H130" s="454">
        <f ca="1">'Macro Model (LCY)'!H130/H$24</f>
        <v>872300.43506710907</v>
      </c>
      <c r="I130" s="454">
        <f ca="1">'Macro Model (LCY)'!I130/I$24</f>
        <v>1254588.4143579621</v>
      </c>
      <c r="J130" s="454">
        <f ca="1">'Macro Model (LCY)'!J130/J$24</f>
        <v>1650188.2985146323</v>
      </c>
      <c r="K130" s="454">
        <f ca="1">'Macro Model (LCY)'!K130/K$24</f>
        <v>2077147.8197921165</v>
      </c>
      <c r="L130" s="454">
        <f ca="1">'Macro Model (LCY)'!L130/L$24</f>
        <v>2621456.607569145</v>
      </c>
      <c r="M130" s="454">
        <f ca="1">'Macro Model (LCY)'!M130/M$24</f>
        <v>3175293.2812866978</v>
      </c>
      <c r="N130" s="454">
        <f ca="1">'Macro Model (LCY)'!N130/N$24</f>
        <v>3419262.2162977071</v>
      </c>
      <c r="O130" s="454">
        <f ca="1">'Macro Model (LCY)'!O130/O$24</f>
        <v>3485680.0555745447</v>
      </c>
      <c r="P130" s="454">
        <f ca="1">'Macro Model (LCY)'!P130/P$24</f>
        <v>3504250.4532039529</v>
      </c>
      <c r="Q130" s="454">
        <f ca="1">'Macro Model (LCY)'!Q130/Q$24</f>
        <v>3512190.8726216541</v>
      </c>
    </row>
    <row r="131" spans="1:17" outlineLevel="1">
      <c r="C131" s="5" t="s">
        <v>6</v>
      </c>
      <c r="D131" s="5" t="s">
        <v>458</v>
      </c>
      <c r="H131" s="454">
        <f ca="1">'Macro Model (LCY)'!H131/H$24</f>
        <v>-1268700.8539350394</v>
      </c>
      <c r="I131" s="454">
        <f ca="1">'Macro Model (LCY)'!I131/I$24</f>
        <v>-1613651.9427848463</v>
      </c>
      <c r="J131" s="454">
        <f ca="1">'Macro Model (LCY)'!J131/J$24</f>
        <v>-2063656.8769440991</v>
      </c>
      <c r="K131" s="454">
        <f ca="1">'Macro Model (LCY)'!K131/K$24</f>
        <v>-2619773.8022027793</v>
      </c>
      <c r="L131" s="454">
        <f ca="1">'Macro Model (LCY)'!L131/L$24</f>
        <v>-3290076.7046899046</v>
      </c>
      <c r="M131" s="454">
        <f ca="1">'Macro Model (LCY)'!M131/M$24</f>
        <v>-3524293.4561427087</v>
      </c>
      <c r="N131" s="454">
        <f ca="1">'Macro Model (LCY)'!N131/N$24</f>
        <v>-3560062.8060662397</v>
      </c>
      <c r="O131" s="454">
        <f ca="1">'Macro Model (LCY)'!O131/O$24</f>
        <v>-3574941.0481164018</v>
      </c>
      <c r="P131" s="454">
        <f ca="1">'Macro Model (LCY)'!P131/P$24</f>
        <v>-3577177.1835033358</v>
      </c>
      <c r="Q131" s="454">
        <f ca="1">'Macro Model (LCY)'!Q131/Q$24</f>
        <v>-3578407.3328016819</v>
      </c>
    </row>
    <row r="132" spans="1:17" s="37" customFormat="1" outlineLevel="1">
      <c r="A132" s="119"/>
      <c r="C132" s="68" t="s">
        <v>117</v>
      </c>
      <c r="D132" s="68"/>
      <c r="E132" s="68"/>
      <c r="F132" s="68"/>
      <c r="G132" s="68"/>
      <c r="H132" s="90">
        <f t="shared" ref="H132:M132" ca="1" si="25">SUM(H129:H131)</f>
        <v>-358117.42502022407</v>
      </c>
      <c r="I132" s="90">
        <f t="shared" ca="1" si="25"/>
        <v>-264020.2596146625</v>
      </c>
      <c r="J132" s="90">
        <f t="shared" ca="1" si="25"/>
        <v>-547533.06294198707</v>
      </c>
      <c r="K132" s="90">
        <f t="shared" ca="1" si="25"/>
        <v>-384597.44961108174</v>
      </c>
      <c r="L132" s="90">
        <f t="shared" ca="1" si="25"/>
        <v>-405284.82986372011</v>
      </c>
      <c r="M132" s="90">
        <f t="shared" ca="1" si="25"/>
        <v>34372.411515377928</v>
      </c>
      <c r="N132" s="90">
        <f ca="1">SUM(N129:N131)</f>
        <v>340729.34023671504</v>
      </c>
      <c r="O132" s="90">
        <f ca="1">SUM(O129:O131)</f>
        <v>418582.95378051745</v>
      </c>
      <c r="P132" s="90">
        <f ca="1">SUM(P129:P131)</f>
        <v>435481.0820412389</v>
      </c>
      <c r="Q132" s="90">
        <f ca="1">SUM(Q129:Q131)</f>
        <v>422499.45734535623</v>
      </c>
    </row>
    <row r="133" spans="1:17" outlineLevel="1">
      <c r="A133" s="6"/>
      <c r="F133" s="37"/>
      <c r="G133" s="37"/>
      <c r="H133" s="355"/>
      <c r="I133" s="355"/>
      <c r="J133" s="355"/>
      <c r="K133" s="355"/>
      <c r="L133" s="355"/>
      <c r="M133" s="355"/>
      <c r="N133" s="355"/>
      <c r="O133" s="355"/>
      <c r="P133" s="355"/>
      <c r="Q133" s="355"/>
    </row>
    <row r="134" spans="1:17" outlineLevel="1">
      <c r="A134" s="6"/>
      <c r="C134" s="5" t="s">
        <v>118</v>
      </c>
      <c r="H134" s="150"/>
      <c r="I134" s="150"/>
      <c r="J134" s="150"/>
      <c r="K134" s="150"/>
      <c r="L134" s="150"/>
      <c r="M134" s="150"/>
      <c r="N134" s="150"/>
      <c r="O134" s="150"/>
      <c r="P134" s="150"/>
      <c r="Q134" s="150"/>
    </row>
    <row r="135" spans="1:17" outlineLevel="1">
      <c r="A135" s="6"/>
      <c r="C135" s="37" t="s">
        <v>6</v>
      </c>
      <c r="D135" s="5" t="s">
        <v>408</v>
      </c>
      <c r="H135" s="454">
        <f>'Macro Model (LCY)'!H135/H$24</f>
        <v>-120000</v>
      </c>
      <c r="I135" s="454">
        <f>'Macro Model (LCY)'!I135/I$24</f>
        <v>-120000</v>
      </c>
      <c r="J135" s="454">
        <f>'Macro Model (LCY)'!J135/J$24</f>
        <v>-120000</v>
      </c>
      <c r="K135" s="454">
        <f>'Macro Model (LCY)'!K135/K$24</f>
        <v>-120000</v>
      </c>
      <c r="L135" s="454">
        <f>'Macro Model (LCY)'!L135/L$24</f>
        <v>-120000</v>
      </c>
      <c r="M135" s="454">
        <f>'Macro Model (LCY)'!M135/M$24</f>
        <v>-120000</v>
      </c>
      <c r="N135" s="454">
        <f>'Macro Model (LCY)'!N135/N$24</f>
        <v>-120000</v>
      </c>
      <c r="O135" s="454">
        <f>'Macro Model (LCY)'!O135/O$24</f>
        <v>-120000</v>
      </c>
      <c r="P135" s="454">
        <f>'Macro Model (LCY)'!P135/P$24</f>
        <v>-120000</v>
      </c>
      <c r="Q135" s="454">
        <f>'Macro Model (LCY)'!Q135/Q$24</f>
        <v>-120000</v>
      </c>
    </row>
    <row r="136" spans="1:17" outlineLevel="1">
      <c r="A136" s="6"/>
      <c r="C136" s="68" t="s">
        <v>119</v>
      </c>
      <c r="D136" s="56"/>
      <c r="E136" s="56"/>
      <c r="F136" s="56"/>
      <c r="G136" s="56"/>
      <c r="H136" s="356">
        <f t="shared" ref="H136:M136" si="26">+H135</f>
        <v>-120000</v>
      </c>
      <c r="I136" s="356">
        <f t="shared" si="26"/>
        <v>-120000</v>
      </c>
      <c r="J136" s="356">
        <f t="shared" si="26"/>
        <v>-120000</v>
      </c>
      <c r="K136" s="356">
        <f t="shared" si="26"/>
        <v>-120000</v>
      </c>
      <c r="L136" s="356">
        <f t="shared" si="26"/>
        <v>-120000</v>
      </c>
      <c r="M136" s="356">
        <f t="shared" si="26"/>
        <v>-120000</v>
      </c>
      <c r="N136" s="356">
        <f>+N135</f>
        <v>-120000</v>
      </c>
      <c r="O136" s="356">
        <f>+O135</f>
        <v>-120000</v>
      </c>
      <c r="P136" s="356">
        <f>+P135</f>
        <v>-120000</v>
      </c>
      <c r="Q136" s="356">
        <f>+Q135</f>
        <v>-120000</v>
      </c>
    </row>
    <row r="137" spans="1:17" outlineLevel="1">
      <c r="A137" s="6"/>
      <c r="C137" s="37"/>
      <c r="H137" s="355"/>
      <c r="I137" s="355"/>
      <c r="J137" s="355"/>
      <c r="K137" s="355"/>
      <c r="L137" s="355"/>
      <c r="M137" s="355"/>
      <c r="N137" s="355"/>
      <c r="O137" s="355"/>
      <c r="P137" s="355"/>
      <c r="Q137" s="355"/>
    </row>
    <row r="138" spans="1:17" outlineLevel="1">
      <c r="A138" s="6"/>
      <c r="C138" s="5" t="s">
        <v>120</v>
      </c>
      <c r="H138" s="454"/>
      <c r="I138" s="454"/>
      <c r="J138" s="454"/>
      <c r="K138" s="454"/>
      <c r="L138" s="454"/>
      <c r="M138" s="454"/>
      <c r="N138" s="454"/>
      <c r="O138" s="454"/>
      <c r="P138" s="454"/>
      <c r="Q138" s="454"/>
    </row>
    <row r="139" spans="1:17" outlineLevel="1">
      <c r="C139" s="5" t="s">
        <v>5</v>
      </c>
      <c r="D139" s="5" t="s">
        <v>90</v>
      </c>
      <c r="H139" s="454">
        <f>'Macro Model (LCY)'!H139/H$24</f>
        <v>500000</v>
      </c>
      <c r="I139" s="454">
        <f>'Macro Model (LCY)'!I139/I$24</f>
        <v>0</v>
      </c>
      <c r="J139" s="454">
        <f>'Macro Model (LCY)'!J139/J$24</f>
        <v>1000000</v>
      </c>
      <c r="K139" s="454">
        <f>'Macro Model (LCY)'!K139/K$24</f>
        <v>0</v>
      </c>
      <c r="L139" s="454">
        <f>'Macro Model (LCY)'!L139/L$24</f>
        <v>0</v>
      </c>
      <c r="M139" s="454">
        <f>'Macro Model (LCY)'!M139/M$24</f>
        <v>0</v>
      </c>
      <c r="N139" s="454">
        <f>'Macro Model (LCY)'!N139/N$24</f>
        <v>0</v>
      </c>
      <c r="O139" s="454">
        <f>'Macro Model (LCY)'!O139/O$24</f>
        <v>0</v>
      </c>
      <c r="P139" s="454">
        <f>'Macro Model (LCY)'!P139/P$24</f>
        <v>0</v>
      </c>
      <c r="Q139" s="454">
        <f>'Macro Model (LCY)'!Q139/Q$24</f>
        <v>0</v>
      </c>
    </row>
    <row r="140" spans="1:17" outlineLevel="1">
      <c r="C140" s="5" t="s">
        <v>5</v>
      </c>
      <c r="D140" s="5" t="s">
        <v>91</v>
      </c>
      <c r="H140" s="454">
        <f>'Macro Model (LCY)'!H140/H$24</f>
        <v>1000000</v>
      </c>
      <c r="I140" s="454">
        <f>'Macro Model (LCY)'!I140/I$24</f>
        <v>0</v>
      </c>
      <c r="J140" s="454">
        <f>'Macro Model (LCY)'!J140/J$24</f>
        <v>2500000</v>
      </c>
      <c r="K140" s="454">
        <f>'Macro Model (LCY)'!K140/K$24</f>
        <v>0</v>
      </c>
      <c r="L140" s="454">
        <f>'Macro Model (LCY)'!L140/L$24</f>
        <v>1200000</v>
      </c>
      <c r="M140" s="454">
        <f>'Macro Model (LCY)'!M140/M$24</f>
        <v>1000000</v>
      </c>
      <c r="N140" s="454">
        <f>'Macro Model (LCY)'!N140/N$24</f>
        <v>1000000</v>
      </c>
      <c r="O140" s="454">
        <f>'Macro Model (LCY)'!O140/O$24</f>
        <v>1000000</v>
      </c>
      <c r="P140" s="454">
        <f>'Macro Model (LCY)'!P140/P$24</f>
        <v>1000000</v>
      </c>
      <c r="Q140" s="454">
        <f>'Macro Model (LCY)'!Q140/Q$24</f>
        <v>1300000</v>
      </c>
    </row>
    <row r="141" spans="1:17" outlineLevel="1">
      <c r="C141" s="5" t="s">
        <v>6</v>
      </c>
      <c r="D141" s="5" t="s">
        <v>459</v>
      </c>
      <c r="H141" s="454">
        <f>'Macro Model (LCY)'!H141/H$24</f>
        <v>0</v>
      </c>
      <c r="I141" s="454">
        <f>'Macro Model (LCY)'!I141/I$24</f>
        <v>-499999.99999999988</v>
      </c>
      <c r="J141" s="454">
        <f>'Macro Model (LCY)'!J141/J$24</f>
        <v>-777777.77777777775</v>
      </c>
      <c r="K141" s="454">
        <f>'Macro Model (LCY)'!K141/K$24</f>
        <v>-555555.55555555562</v>
      </c>
      <c r="L141" s="454">
        <f>'Macro Model (LCY)'!L141/L$24</f>
        <v>-688888.88888888876</v>
      </c>
      <c r="M141" s="454">
        <f>'Macro Model (LCY)'!M141/M$24</f>
        <v>-933333.33333333326</v>
      </c>
      <c r="N141" s="454">
        <f>'Macro Model (LCY)'!N141/N$24</f>
        <v>-1155555.5555555557</v>
      </c>
      <c r="O141" s="454">
        <f>'Macro Model (LCY)'!O141/O$24</f>
        <v>-822222.22222222225</v>
      </c>
      <c r="P141" s="454">
        <f>'Macro Model (LCY)'!P141/P$24</f>
        <v>-1044444.4444444444</v>
      </c>
      <c r="Q141" s="454">
        <f>'Macro Model (LCY)'!Q141/Q$24</f>
        <v>-1033333.3333333333</v>
      </c>
    </row>
    <row r="142" spans="1:17" outlineLevel="1">
      <c r="C142" s="5" t="s">
        <v>5</v>
      </c>
      <c r="D142" s="5" t="s">
        <v>403</v>
      </c>
      <c r="H142" s="454">
        <f>'Macro Model (LCY)'!H142/H$24</f>
        <v>0</v>
      </c>
      <c r="I142" s="454">
        <f>'Macro Model (LCY)'!I142/I$24</f>
        <v>0</v>
      </c>
      <c r="J142" s="454">
        <f>'Macro Model (LCY)'!J142/J$24</f>
        <v>0</v>
      </c>
      <c r="K142" s="454">
        <f>'Macro Model (LCY)'!K142/K$24</f>
        <v>0</v>
      </c>
      <c r="L142" s="454">
        <f>'Macro Model (LCY)'!L142/L$24</f>
        <v>0</v>
      </c>
      <c r="M142" s="454">
        <f>'Macro Model (LCY)'!M142/M$24</f>
        <v>0</v>
      </c>
      <c r="N142" s="454">
        <f>'Macro Model (LCY)'!N142/N$24</f>
        <v>0</v>
      </c>
      <c r="O142" s="454">
        <f>'Macro Model (LCY)'!O142/O$24</f>
        <v>0</v>
      </c>
      <c r="P142" s="454">
        <f>'Macro Model (LCY)'!P142/P$24</f>
        <v>0</v>
      </c>
      <c r="Q142" s="454">
        <f>'Macro Model (LCY)'!Q142/Q$24</f>
        <v>0</v>
      </c>
    </row>
    <row r="143" spans="1:17" outlineLevel="1">
      <c r="C143" s="68" t="s">
        <v>121</v>
      </c>
      <c r="D143" s="56"/>
      <c r="E143" s="56"/>
      <c r="F143" s="56"/>
      <c r="G143" s="56"/>
      <c r="H143" s="241">
        <f t="shared" ref="H143:M143" si="27">+SUM(H139:H142)</f>
        <v>1500000</v>
      </c>
      <c r="I143" s="241">
        <f t="shared" si="27"/>
        <v>-499999.99999999988</v>
      </c>
      <c r="J143" s="241">
        <f t="shared" si="27"/>
        <v>2722222.222222222</v>
      </c>
      <c r="K143" s="241">
        <f t="shared" si="27"/>
        <v>-555555.55555555562</v>
      </c>
      <c r="L143" s="241">
        <f t="shared" si="27"/>
        <v>511111.11111111124</v>
      </c>
      <c r="M143" s="241">
        <f t="shared" si="27"/>
        <v>66666.666666666744</v>
      </c>
      <c r="N143" s="241">
        <f>+SUM(N139:N142)</f>
        <v>-155555.55555555574</v>
      </c>
      <c r="O143" s="241">
        <f>+SUM(O139:O142)</f>
        <v>177777.77777777775</v>
      </c>
      <c r="P143" s="241">
        <f>+SUM(P139:P142)</f>
        <v>-44444.44444444438</v>
      </c>
      <c r="Q143" s="241">
        <f>+SUM(Q139:Q142)</f>
        <v>266666.66666666674</v>
      </c>
    </row>
    <row r="144" spans="1:17" outlineLevel="1">
      <c r="C144" s="68"/>
      <c r="D144" s="56"/>
      <c r="E144" s="56"/>
      <c r="F144" s="56"/>
      <c r="G144" s="56"/>
      <c r="H144" s="357"/>
      <c r="I144" s="357"/>
      <c r="J144" s="357"/>
      <c r="K144" s="357"/>
      <c r="L144" s="357"/>
      <c r="M144" s="357"/>
      <c r="N144" s="357"/>
      <c r="O144" s="357"/>
      <c r="P144" s="357"/>
      <c r="Q144" s="357"/>
    </row>
    <row r="145" spans="2:17" ht="14.4" outlineLevel="1" thickBot="1">
      <c r="C145" s="77" t="s">
        <v>14</v>
      </c>
      <c r="D145" s="77"/>
      <c r="E145" s="77"/>
      <c r="F145" s="77"/>
      <c r="G145" s="77"/>
      <c r="H145" s="361">
        <f ca="1">+H126+H132+H136+H143</f>
        <v>1051882.5749797761</v>
      </c>
      <c r="I145" s="361">
        <f t="shared" ref="I145:M145" ca="1" si="28">+I126+I132+I136+I143</f>
        <v>167862.31536511367</v>
      </c>
      <c r="J145" s="361">
        <f t="shared" ca="1" si="28"/>
        <v>2222551.4746453487</v>
      </c>
      <c r="K145" s="361">
        <f t="shared" ca="1" si="28"/>
        <v>1162398.4694787115</v>
      </c>
      <c r="L145" s="361">
        <f t="shared" ca="1" si="28"/>
        <v>1148224.7507261031</v>
      </c>
      <c r="M145" s="361">
        <f t="shared" ca="1" si="28"/>
        <v>1129263.8289081473</v>
      </c>
      <c r="N145" s="361">
        <f ca="1">+N126+N132+N136+N143</f>
        <v>1194437.6135893073</v>
      </c>
      <c r="O145" s="361">
        <f ca="1">+O126+O132+O136+O143</f>
        <v>1670798.3451476025</v>
      </c>
      <c r="P145" s="361">
        <f ca="1">+P126+P132+P136+P143</f>
        <v>1941834.9827443971</v>
      </c>
      <c r="Q145" s="361">
        <f ca="1">+Q126+Q132+Q136+Q143</f>
        <v>2511001.1067564208</v>
      </c>
    </row>
    <row r="146" spans="2:17" ht="14.4" outlineLevel="1" thickTop="1">
      <c r="C146" s="62" t="s">
        <v>365</v>
      </c>
      <c r="D146" s="37"/>
      <c r="E146" s="37"/>
      <c r="H146" s="150">
        <f ca="1">H132+H136</f>
        <v>-478117.42502022407</v>
      </c>
      <c r="I146" s="150">
        <f ca="1">I132+I136</f>
        <v>-384020.2596146625</v>
      </c>
      <c r="J146" s="150">
        <f t="shared" ref="J146:M146" ca="1" si="29">J132+J136</f>
        <v>-667533.06294198707</v>
      </c>
      <c r="K146" s="150">
        <f t="shared" ca="1" si="29"/>
        <v>-504597.44961108174</v>
      </c>
      <c r="L146" s="150">
        <f t="shared" ca="1" si="29"/>
        <v>-525284.82986372011</v>
      </c>
      <c r="M146" s="150">
        <f t="shared" ca="1" si="29"/>
        <v>-85627.588484622072</v>
      </c>
      <c r="N146" s="150">
        <f ca="1">N132+N136</f>
        <v>220729.34023671504</v>
      </c>
      <c r="O146" s="150">
        <f ca="1">O132+O136</f>
        <v>298582.95378051745</v>
      </c>
      <c r="P146" s="150">
        <f ca="1">P132+P136</f>
        <v>315481.0820412389</v>
      </c>
      <c r="Q146" s="150">
        <f ca="1">Q132+Q136</f>
        <v>302499.45734535623</v>
      </c>
    </row>
    <row r="147" spans="2:17" outlineLevel="1">
      <c r="C147" s="62" t="s">
        <v>366</v>
      </c>
      <c r="D147" s="37"/>
      <c r="E147" s="37"/>
      <c r="H147" s="150">
        <f ca="1">F147+H146</f>
        <v>-478117.42502022407</v>
      </c>
      <c r="I147" s="150">
        <f ca="1">H147+I146</f>
        <v>-862137.68463488657</v>
      </c>
      <c r="J147" s="150">
        <f ca="1">I147+J146</f>
        <v>-1529670.7475768737</v>
      </c>
      <c r="K147" s="150">
        <f ca="1">J147+K146</f>
        <v>-2034268.1971879555</v>
      </c>
      <c r="L147" s="150">
        <f ca="1">K147+L146</f>
        <v>-2559553.0270516756</v>
      </c>
      <c r="M147" s="150">
        <f ca="1">L147+M146</f>
        <v>-2645180.6155362977</v>
      </c>
      <c r="N147" s="150">
        <f t="shared" ref="N147:Q147" ca="1" si="30">M147+N146</f>
        <v>-2424451.2752995826</v>
      </c>
      <c r="O147" s="150">
        <f t="shared" ca="1" si="30"/>
        <v>-2125868.3215190652</v>
      </c>
      <c r="P147" s="150">
        <f ca="1">O147+P146</f>
        <v>-1810387.2394778263</v>
      </c>
      <c r="Q147" s="150">
        <f t="shared" ca="1" si="30"/>
        <v>-1507887.78213247</v>
      </c>
    </row>
    <row r="148" spans="2:17" outlineLevel="1">
      <c r="C148" s="37"/>
      <c r="D148" s="37"/>
      <c r="E148" s="37"/>
      <c r="H148" s="150"/>
      <c r="I148" s="150"/>
      <c r="J148" s="150"/>
      <c r="K148" s="150"/>
      <c r="L148" s="150"/>
      <c r="M148" s="150"/>
      <c r="N148" s="150"/>
      <c r="O148" s="150"/>
      <c r="P148" s="150"/>
      <c r="Q148" s="150"/>
    </row>
    <row r="149" spans="2:17" outlineLevel="1">
      <c r="C149" s="69" t="s">
        <v>247</v>
      </c>
      <c r="D149" s="69"/>
      <c r="E149" s="69"/>
      <c r="F149" s="55"/>
      <c r="G149" s="55"/>
      <c r="H149" s="235">
        <f ca="1">H132-H106*(1-_Corp.Tax.r)+H135</f>
        <v>-397117.42502022407</v>
      </c>
      <c r="I149" s="235">
        <f t="shared" ref="I149:Q149" ca="1" si="31">I132-I106*(1-_Corp.Tax.r)+I135</f>
        <v>-329332.7596146625</v>
      </c>
      <c r="J149" s="235">
        <f t="shared" ca="1" si="31"/>
        <v>-475206.67405309819</v>
      </c>
      <c r="K149" s="235">
        <f t="shared" ca="1" si="31"/>
        <v>-389319.67183330393</v>
      </c>
      <c r="L149" s="235">
        <f t="shared" ca="1" si="31"/>
        <v>-359273.71875260898</v>
      </c>
      <c r="M149" s="235">
        <f t="shared" ca="1" si="31"/>
        <v>88372.411515377986</v>
      </c>
      <c r="N149" s="235">
        <f t="shared" ca="1" si="31"/>
        <v>391507.11801449297</v>
      </c>
      <c r="O149" s="235">
        <f t="shared" ca="1" si="31"/>
        <v>470860.73155829543</v>
      </c>
      <c r="P149" s="235">
        <f t="shared" ca="1" si="31"/>
        <v>491203.30426346138</v>
      </c>
      <c r="Q149" s="235">
        <f t="shared" ca="1" si="31"/>
        <v>498016.12401202333</v>
      </c>
    </row>
    <row r="150" spans="2:17" outlineLevel="1">
      <c r="C150" s="85" t="s">
        <v>248</v>
      </c>
      <c r="D150" s="85"/>
      <c r="E150" s="85"/>
      <c r="F150" s="120"/>
      <c r="G150" s="120"/>
      <c r="H150" s="358">
        <f ca="1">H132+H136+H140+H141</f>
        <v>521882.57497977593</v>
      </c>
      <c r="I150" s="358">
        <f t="shared" ref="I150:Q150" ca="1" si="32">I132+I136+I140+I141</f>
        <v>-884020.25961466238</v>
      </c>
      <c r="J150" s="358">
        <f t="shared" ca="1" si="32"/>
        <v>1054689.1592802352</v>
      </c>
      <c r="K150" s="358">
        <f t="shared" ca="1" si="32"/>
        <v>-1060153.0051666372</v>
      </c>
      <c r="L150" s="358">
        <f t="shared" ca="1" si="32"/>
        <v>-14173.718752608867</v>
      </c>
      <c r="M150" s="358">
        <f t="shared" ca="1" si="32"/>
        <v>-18960.921817955328</v>
      </c>
      <c r="N150" s="358">
        <f t="shared" ca="1" si="32"/>
        <v>65173.784681159304</v>
      </c>
      <c r="O150" s="358">
        <f t="shared" ca="1" si="32"/>
        <v>476360.7315582952</v>
      </c>
      <c r="P150" s="358">
        <f t="shared" ca="1" si="32"/>
        <v>271036.63759679452</v>
      </c>
      <c r="Q150" s="358">
        <f t="shared" ca="1" si="32"/>
        <v>569166.12401202298</v>
      </c>
    </row>
    <row r="151" spans="2:17">
      <c r="C151" s="37"/>
      <c r="D151" s="37"/>
      <c r="E151" s="37"/>
      <c r="H151" s="150"/>
      <c r="I151" s="150"/>
      <c r="J151" s="150"/>
      <c r="K151" s="150"/>
      <c r="L151" s="150"/>
      <c r="M151" s="150"/>
      <c r="N151" s="150"/>
      <c r="O151" s="150"/>
      <c r="P151" s="150"/>
      <c r="Q151" s="150"/>
    </row>
    <row r="152" spans="2:17">
      <c r="B152" s="6" t="s">
        <v>486</v>
      </c>
      <c r="C152" s="37"/>
      <c r="D152" s="37"/>
      <c r="E152" s="37"/>
      <c r="H152" s="150"/>
      <c r="I152" s="150"/>
      <c r="J152" s="150"/>
      <c r="K152" s="150"/>
      <c r="L152" s="150"/>
      <c r="M152" s="150"/>
      <c r="N152" s="150"/>
      <c r="O152" s="150"/>
      <c r="P152" s="150"/>
      <c r="Q152" s="150"/>
    </row>
    <row r="153" spans="2:17" outlineLevel="1">
      <c r="B153" s="549"/>
      <c r="C153" s="85" t="s">
        <v>11</v>
      </c>
      <c r="D153" s="85"/>
      <c r="E153" s="85"/>
      <c r="F153" s="120"/>
      <c r="G153" s="120"/>
      <c r="H153" s="462">
        <f>'Macro Model (LCY)'!H153/H$24</f>
        <v>30000</v>
      </c>
      <c r="I153" s="462">
        <f ca="1">'Macro Model (LCY)'!I153/I$24</f>
        <v>1051882.5749797761</v>
      </c>
      <c r="J153" s="462">
        <f ca="1">'Macro Model (LCY)'!J153/J$24</f>
        <v>167862.31536511393</v>
      </c>
      <c r="K153" s="462">
        <f ca="1">'Macro Model (LCY)'!K153/K$24</f>
        <v>2222551.4746453487</v>
      </c>
      <c r="L153" s="462">
        <f ca="1">'Macro Model (LCY)'!L153/L$24</f>
        <v>1162398.469478712</v>
      </c>
      <c r="M153" s="462">
        <f ca="1">'Macro Model (LCY)'!M153/M$24</f>
        <v>1148224.7507261026</v>
      </c>
      <c r="N153" s="462">
        <f ca="1">'Macro Model (LCY)'!N153/N$24</f>
        <v>1129263.828908148</v>
      </c>
      <c r="O153" s="462">
        <f ca="1">'Macro Model (LCY)'!O153/O$24</f>
        <v>1194437.6135893073</v>
      </c>
      <c r="P153" s="462">
        <f ca="1">'Macro Model (LCY)'!P153/P$24</f>
        <v>1670798.3451476025</v>
      </c>
      <c r="Q153" s="462">
        <f ca="1">'Macro Model (LCY)'!Q153/Q$24</f>
        <v>1941834.9827443976</v>
      </c>
    </row>
    <row r="154" spans="2:17" outlineLevel="1">
      <c r="C154" s="37"/>
      <c r="E154" s="37"/>
      <c r="H154" s="150"/>
      <c r="I154" s="150"/>
      <c r="J154" s="150"/>
      <c r="K154" s="150"/>
      <c r="L154" s="150"/>
      <c r="M154" s="150"/>
      <c r="N154" s="150"/>
      <c r="O154" s="150"/>
      <c r="P154" s="150"/>
      <c r="Q154" s="150"/>
    </row>
    <row r="155" spans="2:17" outlineLevel="1">
      <c r="C155" s="5" t="s">
        <v>241</v>
      </c>
      <c r="E155" s="37"/>
      <c r="H155" s="454">
        <f ca="1">'Macro Model (LCY)'!H155/H$24</f>
        <v>2174838.2260751501</v>
      </c>
      <c r="I155" s="454">
        <f ca="1">'Macro Model (LCY)'!I155/I$24</f>
        <v>3091709.3074549544</v>
      </c>
      <c r="J155" s="454">
        <f ca="1">'Macro Model (LCY)'!J155/J$24</f>
        <v>4101076.5384141663</v>
      </c>
      <c r="K155" s="454">
        <f ca="1">'Macro Model (LCY)'!K155/K$24</f>
        <v>5204646.6471985914</v>
      </c>
      <c r="L155" s="454">
        <f ca="1">'Macro Model (LCY)'!L155/L$24</f>
        <v>6585764.2292571636</v>
      </c>
      <c r="M155" s="454">
        <f ca="1">'Macro Model (LCY)'!M155/M$24</f>
        <v>7974028.2080133874</v>
      </c>
      <c r="N155" s="454">
        <f ca="1">'Macro Model (LCY)'!N155/N$24</f>
        <v>8611817.2637339961</v>
      </c>
      <c r="O155" s="454">
        <f ca="1">'Macro Model (LCY)'!O155/O$24</f>
        <v>8792820.7779228687</v>
      </c>
      <c r="P155" s="454">
        <f ca="1">'Macro Model (LCY)'!P155/P$24</f>
        <v>8832988.271826366</v>
      </c>
      <c r="Q155" s="454">
        <f ca="1">'Macro Model (LCY)'!Q155/Q$24</f>
        <v>8846022.1828347538</v>
      </c>
    </row>
    <row r="156" spans="2:17" outlineLevel="1">
      <c r="C156" s="5" t="s">
        <v>235</v>
      </c>
      <c r="E156" s="37"/>
      <c r="H156" s="454">
        <f>'Macro Model (LCY)'!H156/H$24</f>
        <v>500000</v>
      </c>
      <c r="I156" s="454">
        <f>'Macro Model (LCY)'!I156/I$24</f>
        <v>300000</v>
      </c>
      <c r="J156" s="454">
        <f>'Macro Model (LCY)'!J156/J$24</f>
        <v>0</v>
      </c>
      <c r="K156" s="454">
        <f>'Macro Model (LCY)'!K156/K$24</f>
        <v>0</v>
      </c>
      <c r="L156" s="454">
        <f>'Macro Model (LCY)'!L156/L$24</f>
        <v>0</v>
      </c>
      <c r="M156" s="454">
        <f>'Macro Model (LCY)'!M156/M$24</f>
        <v>0</v>
      </c>
      <c r="N156" s="454">
        <f>'Macro Model (LCY)'!N156/N$24</f>
        <v>0</v>
      </c>
      <c r="O156" s="454">
        <f>'Macro Model (LCY)'!O156/O$24</f>
        <v>0</v>
      </c>
      <c r="P156" s="454">
        <f>'Macro Model (LCY)'!P156/P$24</f>
        <v>0</v>
      </c>
      <c r="Q156" s="454">
        <f>'Macro Model (LCY)'!Q156/Q$24</f>
        <v>0</v>
      </c>
    </row>
    <row r="157" spans="2:17" outlineLevel="1">
      <c r="C157" s="5" t="s">
        <v>236</v>
      </c>
      <c r="E157" s="37"/>
      <c r="H157" s="454">
        <f>'Macro Model (LCY)'!H157/H$24</f>
        <v>500000</v>
      </c>
      <c r="I157" s="454">
        <f>'Macro Model (LCY)'!I157/I$24</f>
        <v>0</v>
      </c>
      <c r="J157" s="454">
        <f>'Macro Model (LCY)'!J157/J$24</f>
        <v>1000000</v>
      </c>
      <c r="K157" s="454">
        <f>'Macro Model (LCY)'!K157/K$24</f>
        <v>0</v>
      </c>
      <c r="L157" s="454">
        <f>'Macro Model (LCY)'!L157/L$24</f>
        <v>0</v>
      </c>
      <c r="M157" s="454">
        <f>'Macro Model (LCY)'!M157/M$24</f>
        <v>0</v>
      </c>
      <c r="N157" s="454">
        <f>'Macro Model (LCY)'!N157/N$24</f>
        <v>0</v>
      </c>
      <c r="O157" s="454">
        <f>'Macro Model (LCY)'!O157/O$24</f>
        <v>0</v>
      </c>
      <c r="P157" s="454">
        <f>'Macro Model (LCY)'!P157/P$24</f>
        <v>0</v>
      </c>
      <c r="Q157" s="454">
        <f>'Macro Model (LCY)'!Q157/Q$24</f>
        <v>0</v>
      </c>
    </row>
    <row r="158" spans="2:17" outlineLevel="1">
      <c r="C158" s="9" t="s">
        <v>237</v>
      </c>
      <c r="E158" s="37"/>
      <c r="H158" s="454">
        <f>'Macro Model (LCY)'!H158/H$24</f>
        <v>1000000</v>
      </c>
      <c r="I158" s="454">
        <f>'Macro Model (LCY)'!I158/I$24</f>
        <v>0</v>
      </c>
      <c r="J158" s="454">
        <f>'Macro Model (LCY)'!J158/J$24</f>
        <v>2500000</v>
      </c>
      <c r="K158" s="454">
        <f>'Macro Model (LCY)'!K158/K$24</f>
        <v>0</v>
      </c>
      <c r="L158" s="454">
        <f>'Macro Model (LCY)'!L158/L$24</f>
        <v>1200000</v>
      </c>
      <c r="M158" s="454">
        <f>'Macro Model (LCY)'!M158/M$24</f>
        <v>1000000</v>
      </c>
      <c r="N158" s="454">
        <f>'Macro Model (LCY)'!N158/N$24</f>
        <v>1000000</v>
      </c>
      <c r="O158" s="454">
        <f>'Macro Model (LCY)'!O158/O$24</f>
        <v>1000000</v>
      </c>
      <c r="P158" s="454">
        <f>'Macro Model (LCY)'!P158/P$24</f>
        <v>1000000</v>
      </c>
      <c r="Q158" s="454">
        <f>'Macro Model (LCY)'!Q158/Q$24</f>
        <v>1300000</v>
      </c>
    </row>
    <row r="159" spans="2:17" outlineLevel="1">
      <c r="E159" s="37"/>
      <c r="H159" s="454"/>
      <c r="I159" s="454"/>
      <c r="J159" s="454"/>
      <c r="K159" s="454"/>
      <c r="L159" s="454"/>
      <c r="M159" s="454"/>
      <c r="N159" s="454"/>
      <c r="O159" s="454"/>
      <c r="P159" s="454"/>
      <c r="Q159" s="454"/>
    </row>
    <row r="160" spans="2:17" outlineLevel="1">
      <c r="C160" s="5" t="s">
        <v>483</v>
      </c>
      <c r="E160" s="37"/>
      <c r="H160" s="454">
        <f ca="1">'Macro Model (LCY)'!H160/H$24</f>
        <v>-197712.566006832</v>
      </c>
      <c r="I160" s="454">
        <f ca="1">'Macro Model (LCY)'!I160/I$24</f>
        <v>-281064.48249590513</v>
      </c>
      <c r="J160" s="454">
        <f ca="1">'Macro Model (LCY)'!J160/J$24</f>
        <v>-372825.13985583355</v>
      </c>
      <c r="K160" s="454">
        <f ca="1">'Macro Model (LCY)'!K160/K$24</f>
        <v>-473149.69519987237</v>
      </c>
      <c r="L160" s="454">
        <f ca="1">'Macro Model (LCY)'!L160/L$24</f>
        <v>-598705.83902337914</v>
      </c>
      <c r="M160" s="454">
        <f ca="1">'Macro Model (LCY)'!M160/M$24</f>
        <v>-724911.65527394484</v>
      </c>
      <c r="N160" s="454">
        <f ca="1">'Macro Model (LCY)'!N160/N$24</f>
        <v>-782892.47852127301</v>
      </c>
      <c r="O160" s="454">
        <f ca="1">'Macro Model (LCY)'!O160/O$24</f>
        <v>-799347.34344753413</v>
      </c>
      <c r="P160" s="454">
        <f ca="1">'Macro Model (LCY)'!P160/P$24</f>
        <v>-802998.93380239734</v>
      </c>
      <c r="Q160" s="454">
        <f ca="1">'Macro Model (LCY)'!Q160/Q$24</f>
        <v>-804183.83480316005</v>
      </c>
    </row>
    <row r="161" spans="2:17" outlineLevel="1">
      <c r="C161" s="5" t="s">
        <v>92</v>
      </c>
      <c r="E161" s="37"/>
      <c r="H161" s="454">
        <f>'Macro Model (LCY)'!H161/H$24</f>
        <v>0</v>
      </c>
      <c r="I161" s="454">
        <f>'Macro Model (LCY)'!I161/I$24</f>
        <v>-499999.99999999988</v>
      </c>
      <c r="J161" s="454">
        <f>'Macro Model (LCY)'!J161/J$24</f>
        <v>-777777.77777777775</v>
      </c>
      <c r="K161" s="454">
        <f>'Macro Model (LCY)'!K161/K$24</f>
        <v>-555555.55555555562</v>
      </c>
      <c r="L161" s="454">
        <f>'Macro Model (LCY)'!L161/L$24</f>
        <v>-688888.88888888876</v>
      </c>
      <c r="M161" s="454">
        <f>'Macro Model (LCY)'!M161/M$24</f>
        <v>-933333.33333333326</v>
      </c>
      <c r="N161" s="454">
        <f>'Macro Model (LCY)'!N161/N$24</f>
        <v>-1155555.5555555557</v>
      </c>
      <c r="O161" s="454">
        <f>'Macro Model (LCY)'!O161/O$24</f>
        <v>-822222.22222222225</v>
      </c>
      <c r="P161" s="454">
        <f>'Macro Model (LCY)'!P161/P$24</f>
        <v>-1044444.4444444444</v>
      </c>
      <c r="Q161" s="454">
        <f>'Macro Model (LCY)'!Q161/Q$24</f>
        <v>-1033333.3333333333</v>
      </c>
    </row>
    <row r="162" spans="2:17" outlineLevel="1">
      <c r="C162" s="5" t="s">
        <v>238</v>
      </c>
      <c r="E162" s="37"/>
      <c r="H162" s="454">
        <f ca="1">'Macro Model (LCY)'!H162/H$24</f>
        <v>-1244155.7760953608</v>
      </c>
      <c r="I162" s="454">
        <f ca="1">'Macro Model (LCY)'!I162/I$24</f>
        <v>-1536901.4721304891</v>
      </c>
      <c r="J162" s="454">
        <f ca="1">'Macro Model (LCY)'!J162/J$24</f>
        <v>-1870513.0643222381</v>
      </c>
      <c r="K162" s="454">
        <f ca="1">'Macro Model (LCY)'!K162/K$24</f>
        <v>-2127908.3366880678</v>
      </c>
      <c r="L162" s="454">
        <f ca="1">'Macro Model (LCY)'!L162/L$24</f>
        <v>-2564539.8245655368</v>
      </c>
      <c r="M162" s="454">
        <f ca="1">'Macro Model (LCY)'!M162/M$24</f>
        <v>-3043421.5750004146</v>
      </c>
      <c r="N162" s="454">
        <f ca="1">'Macro Model (LCY)'!N162/N$24</f>
        <v>-3215306.1831709426</v>
      </c>
      <c r="O162" s="454">
        <f ca="1">'Macro Model (LCY)'!O162/O$24</f>
        <v>-3265410.1665166458</v>
      </c>
      <c r="P162" s="454">
        <f ca="1">'Macro Model (LCY)'!P162/P$24</f>
        <v>-3276311.768272846</v>
      </c>
      <c r="Q162" s="454">
        <f ca="1">'Macro Model (LCY)'!Q162/Q$24</f>
        <v>-3279928.8726676004</v>
      </c>
    </row>
    <row r="163" spans="2:17" outlineLevel="1">
      <c r="C163" s="5" t="s">
        <v>93</v>
      </c>
      <c r="E163" s="37"/>
      <c r="H163" s="454">
        <f ca="1">'Macro Model (LCY)'!H163/H$24</f>
        <v>-1268700.8539350394</v>
      </c>
      <c r="I163" s="454">
        <f ca="1">'Macro Model (LCY)'!I163/I$24</f>
        <v>-1613651.9427848463</v>
      </c>
      <c r="J163" s="454">
        <f ca="1">'Macro Model (LCY)'!J163/J$24</f>
        <v>-2063656.8769440991</v>
      </c>
      <c r="K163" s="454">
        <f ca="1">'Macro Model (LCY)'!K163/K$24</f>
        <v>-2619773.8022027793</v>
      </c>
      <c r="L163" s="454">
        <f ca="1">'Macro Model (LCY)'!L163/L$24</f>
        <v>-3290076.7046899046</v>
      </c>
      <c r="M163" s="454">
        <f ca="1">'Macro Model (LCY)'!M163/M$24</f>
        <v>-3524293.4561427087</v>
      </c>
      <c r="N163" s="454">
        <f ca="1">'Macro Model (LCY)'!N163/N$24</f>
        <v>-3560062.8060662397</v>
      </c>
      <c r="O163" s="454">
        <f ca="1">'Macro Model (LCY)'!O163/O$24</f>
        <v>-3574941.0481164018</v>
      </c>
      <c r="P163" s="454">
        <f ca="1">'Macro Model (LCY)'!P163/P$24</f>
        <v>-3577177.1835033358</v>
      </c>
      <c r="Q163" s="454">
        <f ca="1">'Macro Model (LCY)'!Q163/Q$24</f>
        <v>-3578407.3328016819</v>
      </c>
    </row>
    <row r="164" spans="2:17" outlineLevel="1">
      <c r="C164" s="5" t="s">
        <v>94</v>
      </c>
      <c r="E164" s="37"/>
      <c r="H164" s="454">
        <f>'Macro Model (LCY)'!H164/H$24</f>
        <v>-120000</v>
      </c>
      <c r="I164" s="454">
        <f>'Macro Model (LCY)'!I164/I$24</f>
        <v>-120000</v>
      </c>
      <c r="J164" s="454">
        <f>'Macro Model (LCY)'!J164/J$24</f>
        <v>-120000</v>
      </c>
      <c r="K164" s="454">
        <f>'Macro Model (LCY)'!K164/K$24</f>
        <v>-120000</v>
      </c>
      <c r="L164" s="454">
        <f>'Macro Model (LCY)'!L164/L$24</f>
        <v>-120000</v>
      </c>
      <c r="M164" s="454">
        <f>'Macro Model (LCY)'!M164/M$24</f>
        <v>-120000</v>
      </c>
      <c r="N164" s="454">
        <f>'Macro Model (LCY)'!N164/N$24</f>
        <v>-120000</v>
      </c>
      <c r="O164" s="454">
        <f>'Macro Model (LCY)'!O164/O$24</f>
        <v>-120000</v>
      </c>
      <c r="P164" s="454">
        <f>'Macro Model (LCY)'!P164/P$24</f>
        <v>-120000</v>
      </c>
      <c r="Q164" s="454">
        <f>'Macro Model (LCY)'!Q164/Q$24</f>
        <v>-120000</v>
      </c>
    </row>
    <row r="165" spans="2:17" outlineLevel="1">
      <c r="C165" s="5" t="s">
        <v>239</v>
      </c>
      <c r="E165" s="37"/>
      <c r="H165" s="454">
        <f>'Macro Model (LCY)'!H165/H$24</f>
        <v>-135000</v>
      </c>
      <c r="I165" s="454">
        <f>'Macro Model (LCY)'!I165/I$24</f>
        <v>-91145.833333333343</v>
      </c>
      <c r="J165" s="454">
        <f>'Macro Model (LCY)'!J165/J$24</f>
        <v>-320543.98148148146</v>
      </c>
      <c r="K165" s="454">
        <f>'Macro Model (LCY)'!K165/K$24</f>
        <v>-192129.62962962969</v>
      </c>
      <c r="L165" s="454">
        <f>'Macro Model (LCY)'!L165/L$24</f>
        <v>-276685.18518518523</v>
      </c>
      <c r="M165" s="454">
        <f>'Macro Model (LCY)'!M165/M$24</f>
        <v>-290000.00000000012</v>
      </c>
      <c r="N165" s="454">
        <f>'Macro Model (LCY)'!N165/N$24</f>
        <v>-284629.6296296299</v>
      </c>
      <c r="O165" s="454">
        <f>'Macro Model (LCY)'!O165/O$24</f>
        <v>-287129.62962963001</v>
      </c>
      <c r="P165" s="454">
        <f>'Macro Model (LCY)'!P165/P$24</f>
        <v>-292870.37037037092</v>
      </c>
      <c r="Q165" s="454">
        <f>'Macro Model (LCY)'!Q165/Q$24</f>
        <v>-325861.11111111182</v>
      </c>
    </row>
    <row r="166" spans="2:17" outlineLevel="1">
      <c r="C166" s="5" t="s">
        <v>240</v>
      </c>
      <c r="E166" s="37"/>
      <c r="H166" s="454">
        <f ca="1">'Macro Model (LCY)'!H166/H$24</f>
        <v>-187386.45505814202</v>
      </c>
      <c r="I166" s="454">
        <f ca="1">'Macro Model (LCY)'!I166/I$24</f>
        <v>-132965.83632504294</v>
      </c>
      <c r="J166" s="454">
        <f ca="1">'Macro Model (LCY)'!J166/J$24</f>
        <v>-21070.53875250083</v>
      </c>
      <c r="K166" s="454">
        <f ca="1">'Macro Model (LCY)'!K166/K$24</f>
        <v>-176282.63308932309</v>
      </c>
      <c r="L166" s="454">
        <f ca="1">'Macro Model (LCY)'!L166/L$24</f>
        <v>-261041.50565687753</v>
      </c>
      <c r="M166" s="454">
        <f ca="1">'Macro Model (LCY)'!M166/M$24</f>
        <v>-357029.1100809396</v>
      </c>
      <c r="N166" s="454">
        <f ca="1">'Macro Model (LCY)'!N166/N$24</f>
        <v>-428196.82610919653</v>
      </c>
      <c r="O166" s="454">
        <f ca="1">'Macro Model (LCY)'!O166/O$24</f>
        <v>-447409.63643213798</v>
      </c>
      <c r="P166" s="454">
        <f ca="1">'Macro Model (LCY)'!P166/P$24</f>
        <v>-448148.93383617618</v>
      </c>
      <c r="Q166" s="454">
        <f ca="1">'Macro Model (LCY)'!Q166/Q$24</f>
        <v>-435141.5741058428</v>
      </c>
    </row>
    <row r="167" spans="2:17" outlineLevel="1">
      <c r="C167" s="37"/>
      <c r="E167" s="37"/>
      <c r="H167" s="150"/>
      <c r="I167" s="150"/>
      <c r="J167" s="150"/>
      <c r="K167" s="150"/>
      <c r="L167" s="150"/>
      <c r="M167" s="150"/>
      <c r="N167" s="150"/>
      <c r="O167" s="150"/>
      <c r="P167" s="150"/>
      <c r="Q167" s="150"/>
    </row>
    <row r="168" spans="2:17" ht="14.4" outlineLevel="1" thickBot="1">
      <c r="C168" s="77" t="s">
        <v>14</v>
      </c>
      <c r="D168" s="77"/>
      <c r="E168" s="77"/>
      <c r="F168" s="331"/>
      <c r="G168" s="331"/>
      <c r="H168" s="361">
        <f t="shared" ref="H168:Q168" ca="1" si="33">SUM(H153:H166)</f>
        <v>1051882.5749797763</v>
      </c>
      <c r="I168" s="361">
        <f t="shared" ca="1" si="33"/>
        <v>167862.31536511384</v>
      </c>
      <c r="J168" s="361">
        <f t="shared" ca="1" si="33"/>
        <v>2222551.4746453497</v>
      </c>
      <c r="K168" s="361">
        <f t="shared" ca="1" si="33"/>
        <v>1162398.4694787115</v>
      </c>
      <c r="L168" s="361">
        <f t="shared" ca="1" si="33"/>
        <v>1148224.7507261038</v>
      </c>
      <c r="M168" s="361">
        <f t="shared" ca="1" si="33"/>
        <v>1129263.8289081482</v>
      </c>
      <c r="N168" s="361">
        <f t="shared" ca="1" si="33"/>
        <v>1194437.6135893061</v>
      </c>
      <c r="O168" s="361">
        <f t="shared" ca="1" si="33"/>
        <v>1670798.3451476039</v>
      </c>
      <c r="P168" s="361">
        <f t="shared" ca="1" si="33"/>
        <v>1941834.9827443976</v>
      </c>
      <c r="Q168" s="361">
        <f t="shared" ca="1" si="33"/>
        <v>2511001.1067564199</v>
      </c>
    </row>
    <row r="169" spans="2:17" ht="14.4" thickTop="1">
      <c r="C169" s="37"/>
      <c r="D169" s="37"/>
      <c r="E169" s="37"/>
      <c r="H169" s="150"/>
      <c r="I169" s="150"/>
      <c r="J169" s="150"/>
      <c r="K169" s="150"/>
      <c r="L169" s="150"/>
      <c r="M169" s="150"/>
      <c r="N169" s="150"/>
      <c r="O169" s="150"/>
      <c r="P169" s="150"/>
      <c r="Q169" s="150"/>
    </row>
    <row r="170" spans="2:17">
      <c r="B170" s="6" t="s">
        <v>242</v>
      </c>
      <c r="C170" s="37"/>
      <c r="D170" s="37"/>
      <c r="E170" s="37"/>
      <c r="H170" s="150"/>
      <c r="I170" s="150"/>
      <c r="J170" s="150"/>
      <c r="K170" s="150"/>
      <c r="L170" s="150"/>
      <c r="M170" s="150"/>
      <c r="N170" s="150"/>
      <c r="O170" s="150"/>
      <c r="P170" s="150"/>
      <c r="Q170" s="150"/>
    </row>
    <row r="171" spans="2:17" outlineLevel="1">
      <c r="C171" s="9" t="s">
        <v>243</v>
      </c>
      <c r="D171" s="37"/>
      <c r="E171" s="37"/>
      <c r="H171" s="150">
        <f t="shared" ref="H171:M171" si="34">H173+H175</f>
        <v>2000000</v>
      </c>
      <c r="I171" s="150">
        <f t="shared" si="34"/>
        <v>300000</v>
      </c>
      <c r="J171" s="150">
        <f t="shared" si="34"/>
        <v>3500000</v>
      </c>
      <c r="K171" s="150">
        <f t="shared" si="34"/>
        <v>0</v>
      </c>
      <c r="L171" s="150">
        <f t="shared" si="34"/>
        <v>1200000</v>
      </c>
      <c r="M171" s="150">
        <f t="shared" si="34"/>
        <v>1000000</v>
      </c>
      <c r="N171" s="150">
        <f>N173+N175</f>
        <v>1000000</v>
      </c>
      <c r="O171" s="150">
        <f>O173+O175</f>
        <v>1000000</v>
      </c>
      <c r="P171" s="150">
        <f>P173+P175</f>
        <v>1000000</v>
      </c>
      <c r="Q171" s="150">
        <f>Q173+Q175</f>
        <v>1300000</v>
      </c>
    </row>
    <row r="172" spans="2:17" outlineLevel="1">
      <c r="C172" s="207" t="s">
        <v>244</v>
      </c>
      <c r="D172" s="85"/>
      <c r="E172" s="85"/>
      <c r="F172" s="120"/>
      <c r="G172" s="120"/>
      <c r="H172" s="359">
        <f>SUM($H171:H171)</f>
        <v>2000000</v>
      </c>
      <c r="I172" s="359">
        <f>SUM($H171:I171)</f>
        <v>2300000</v>
      </c>
      <c r="J172" s="359">
        <f>SUM($H171:J171)</f>
        <v>5800000</v>
      </c>
      <c r="K172" s="359">
        <f>SUM($H171:K171)</f>
        <v>5800000</v>
      </c>
      <c r="L172" s="359">
        <f>SUM($H171:L171)</f>
        <v>7000000</v>
      </c>
      <c r="M172" s="359">
        <f>SUM($H171:M171)</f>
        <v>8000000</v>
      </c>
      <c r="N172" s="359">
        <f>SUM($H171:N171)</f>
        <v>9000000</v>
      </c>
      <c r="O172" s="359">
        <f>SUM($H171:O171)</f>
        <v>10000000</v>
      </c>
      <c r="P172" s="359">
        <f>SUM($H171:P171)</f>
        <v>11000000</v>
      </c>
      <c r="Q172" s="359">
        <f>SUM($H171:Q171)</f>
        <v>12300000</v>
      </c>
    </row>
    <row r="173" spans="2:17" outlineLevel="1">
      <c r="C173" s="206" t="s">
        <v>245</v>
      </c>
      <c r="D173" s="85"/>
      <c r="E173" s="85"/>
      <c r="F173" s="120"/>
      <c r="H173" s="454">
        <f>'Macro Model (LCY)'!H173/H$24</f>
        <v>1000000</v>
      </c>
      <c r="I173" s="454">
        <f>'Macro Model (LCY)'!I173/I$24</f>
        <v>0</v>
      </c>
      <c r="J173" s="454">
        <f>'Macro Model (LCY)'!J173/J$24</f>
        <v>2500000</v>
      </c>
      <c r="K173" s="454">
        <f>'Macro Model (LCY)'!K173/K$24</f>
        <v>0</v>
      </c>
      <c r="L173" s="454">
        <f>'Macro Model (LCY)'!L173/L$24</f>
        <v>1200000</v>
      </c>
      <c r="M173" s="454">
        <f>'Macro Model (LCY)'!M173/M$24</f>
        <v>1000000</v>
      </c>
      <c r="N173" s="454">
        <f>'Macro Model (LCY)'!N173/N$24</f>
        <v>1000000</v>
      </c>
      <c r="O173" s="454">
        <f>'Macro Model (LCY)'!O173/O$24</f>
        <v>1000000</v>
      </c>
      <c r="P173" s="454">
        <f>'Macro Model (LCY)'!P173/P$24</f>
        <v>1000000</v>
      </c>
      <c r="Q173" s="454">
        <f>'Macro Model (LCY)'!Q173/Q$24</f>
        <v>1300000</v>
      </c>
    </row>
    <row r="174" spans="2:17" outlineLevel="1">
      <c r="C174" s="208" t="s">
        <v>244</v>
      </c>
      <c r="D174" s="68"/>
      <c r="E174" s="68"/>
      <c r="F174" s="56"/>
      <c r="G174" s="56"/>
      <c r="H174" s="360">
        <f>SUM($H173:H173)</f>
        <v>1000000</v>
      </c>
      <c r="I174" s="360">
        <f>SUM($H173:I173)</f>
        <v>1000000</v>
      </c>
      <c r="J174" s="360">
        <f>SUM($H173:J173)</f>
        <v>3500000</v>
      </c>
      <c r="K174" s="360">
        <f>SUM($H173:K173)</f>
        <v>3500000</v>
      </c>
      <c r="L174" s="360">
        <f>SUM($H173:L173)</f>
        <v>4700000</v>
      </c>
      <c r="M174" s="360">
        <f>SUM($H173:M173)</f>
        <v>5700000</v>
      </c>
      <c r="N174" s="360">
        <f>SUM($H173:N173)</f>
        <v>6700000</v>
      </c>
      <c r="O174" s="360">
        <f>SUM($H173:O173)</f>
        <v>7700000</v>
      </c>
      <c r="P174" s="360">
        <f>SUM($H173:P173)</f>
        <v>8700000</v>
      </c>
      <c r="Q174" s="360">
        <f>SUM($H173:Q173)</f>
        <v>10000000</v>
      </c>
    </row>
    <row r="175" spans="2:17" outlineLevel="1">
      <c r="C175" s="121" t="s">
        <v>246</v>
      </c>
      <c r="D175" s="68"/>
      <c r="E175" s="68"/>
      <c r="F175" s="56"/>
      <c r="H175" s="454">
        <f>'Macro Model (LCY)'!H175/H$24</f>
        <v>1000000</v>
      </c>
      <c r="I175" s="454">
        <f>'Macro Model (LCY)'!I175/I$24</f>
        <v>300000</v>
      </c>
      <c r="J175" s="454">
        <f>'Macro Model (LCY)'!J175/J$24</f>
        <v>1000000</v>
      </c>
      <c r="K175" s="454">
        <f>'Macro Model (LCY)'!K175/K$24</f>
        <v>0</v>
      </c>
      <c r="L175" s="454">
        <f>'Macro Model (LCY)'!L175/L$24</f>
        <v>0</v>
      </c>
      <c r="M175" s="454">
        <f>'Macro Model (LCY)'!M175/M$24</f>
        <v>0</v>
      </c>
      <c r="N175" s="454">
        <f>'Macro Model (LCY)'!N175/N$24</f>
        <v>0</v>
      </c>
      <c r="O175" s="454">
        <f>'Macro Model (LCY)'!O175/O$24</f>
        <v>0</v>
      </c>
      <c r="P175" s="454">
        <f>'Macro Model (LCY)'!P175/P$24</f>
        <v>0</v>
      </c>
      <c r="Q175" s="454">
        <f>'Macro Model (LCY)'!Q175/Q$24</f>
        <v>0</v>
      </c>
    </row>
    <row r="176" spans="2:17" outlineLevel="1">
      <c r="C176" s="208" t="s">
        <v>244</v>
      </c>
      <c r="D176" s="68"/>
      <c r="E176" s="68"/>
      <c r="F176" s="56"/>
      <c r="G176" s="56"/>
      <c r="H176" s="360">
        <f>SUM($H175:H175)</f>
        <v>1000000</v>
      </c>
      <c r="I176" s="360">
        <f>SUM($H175:I175)</f>
        <v>1300000</v>
      </c>
      <c r="J176" s="360">
        <f>SUM($H175:J175)</f>
        <v>2300000</v>
      </c>
      <c r="K176" s="360">
        <f>SUM($H175:K175)</f>
        <v>2300000</v>
      </c>
      <c r="L176" s="360">
        <f>SUM($H175:L175)</f>
        <v>2300000</v>
      </c>
      <c r="M176" s="360">
        <f>SUM($H175:M175)</f>
        <v>2300000</v>
      </c>
      <c r="N176" s="360">
        <f>SUM($H175:N175)</f>
        <v>2300000</v>
      </c>
      <c r="O176" s="360">
        <f>SUM($H175:O175)</f>
        <v>2300000</v>
      </c>
      <c r="P176" s="360">
        <f>SUM($H175:P175)</f>
        <v>2300000</v>
      </c>
      <c r="Q176" s="360">
        <f>SUM($H175:Q175)</f>
        <v>2300000</v>
      </c>
    </row>
    <row r="177" spans="2:17" outlineLevel="1">
      <c r="C177" s="9"/>
      <c r="D177" s="37"/>
      <c r="E177" s="37"/>
      <c r="H177" s="353"/>
      <c r="I177" s="353"/>
      <c r="J177" s="353"/>
      <c r="K177" s="353"/>
      <c r="L177" s="353"/>
      <c r="M177" s="353"/>
      <c r="N177" s="353"/>
      <c r="O177" s="353"/>
      <c r="P177" s="353"/>
      <c r="Q177" s="353"/>
    </row>
    <row r="178" spans="2:17">
      <c r="C178" s="37"/>
      <c r="D178" s="37"/>
      <c r="E178" s="37"/>
      <c r="H178" s="353"/>
      <c r="I178" s="353"/>
      <c r="J178" s="353"/>
      <c r="K178" s="353"/>
      <c r="L178" s="353"/>
      <c r="M178" s="353"/>
      <c r="N178" s="353"/>
      <c r="O178" s="353"/>
      <c r="P178" s="353"/>
      <c r="Q178" s="353"/>
    </row>
    <row r="179" spans="2:17">
      <c r="B179" s="6" t="s">
        <v>102</v>
      </c>
      <c r="C179" s="37"/>
      <c r="D179" s="492" t="str">
        <f>'Macro Model (LCY)'!D179</f>
        <v>Accrual basis</v>
      </c>
      <c r="E179" s="62" t="s">
        <v>484</v>
      </c>
      <c r="H179" s="150"/>
      <c r="I179" s="150"/>
      <c r="J179" s="150"/>
      <c r="K179" s="150"/>
      <c r="L179" s="150"/>
      <c r="M179" s="150"/>
      <c r="N179" s="150"/>
      <c r="O179" s="150"/>
      <c r="P179" s="150"/>
      <c r="Q179" s="150"/>
    </row>
    <row r="180" spans="2:17" outlineLevel="1">
      <c r="C180" s="14"/>
      <c r="H180" s="150"/>
      <c r="I180" s="150"/>
      <c r="J180" s="150"/>
      <c r="K180" s="150"/>
      <c r="L180" s="150"/>
      <c r="M180" s="150"/>
      <c r="N180" s="150"/>
      <c r="O180" s="150"/>
      <c r="P180" s="150"/>
      <c r="Q180" s="150"/>
    </row>
    <row r="181" spans="2:17" outlineLevel="1">
      <c r="C181" s="14" t="s">
        <v>111</v>
      </c>
      <c r="D181" s="30"/>
      <c r="E181" s="30"/>
      <c r="H181" s="92"/>
      <c r="I181" s="92"/>
      <c r="J181" s="92"/>
      <c r="K181" s="92"/>
      <c r="L181" s="92"/>
      <c r="M181" s="92"/>
      <c r="N181" s="92"/>
      <c r="O181" s="92"/>
      <c r="P181" s="92"/>
      <c r="Q181" s="92"/>
    </row>
    <row r="182" spans="2:17" outlineLevel="1">
      <c r="C182" s="84" t="s">
        <v>95</v>
      </c>
      <c r="E182" s="30"/>
      <c r="F182" s="232" t="s">
        <v>557</v>
      </c>
      <c r="G182" s="592">
        <f>'Macro Model (LCY)'!G182/G$24</f>
        <v>30000</v>
      </c>
      <c r="H182" s="454">
        <f ca="1">'Macro Model (LCY)'!H182/H$24</f>
        <v>1051882.5749797751</v>
      </c>
      <c r="I182" s="454">
        <f ca="1">'Macro Model (LCY)'!I182/I$24</f>
        <v>167862.31536511303</v>
      </c>
      <c r="J182" s="454">
        <f ca="1">'Macro Model (LCY)'!J182/J$24</f>
        <v>2222551.4746453497</v>
      </c>
      <c r="K182" s="454">
        <f ca="1">'Macro Model (LCY)'!K182/K$24</f>
        <v>1162398.4694787113</v>
      </c>
      <c r="L182" s="454">
        <f ca="1">'Macro Model (LCY)'!L182/L$24</f>
        <v>1148224.7507261033</v>
      </c>
      <c r="M182" s="454">
        <f ca="1">'Macro Model (LCY)'!M182/M$24</f>
        <v>1129263.828908148</v>
      </c>
      <c r="N182" s="454">
        <f ca="1">'Macro Model (LCY)'!N182/N$24</f>
        <v>1194437.6135893068</v>
      </c>
      <c r="O182" s="454">
        <f ca="1">'Macro Model (LCY)'!O182/O$24</f>
        <v>1670798.3451476037</v>
      </c>
      <c r="P182" s="454">
        <f ca="1">'Macro Model (LCY)'!P182/P$24</f>
        <v>1941834.9827443976</v>
      </c>
      <c r="Q182" s="454">
        <f ca="1">'Macro Model (LCY)'!Q182/Q$24</f>
        <v>2511001.1067564227</v>
      </c>
    </row>
    <row r="183" spans="2:17" outlineLevel="1">
      <c r="C183" s="84" t="s">
        <v>96</v>
      </c>
      <c r="E183" s="30"/>
      <c r="G183" s="592">
        <f>'Macro Model (LCY)'!G183/G$24</f>
        <v>50000</v>
      </c>
      <c r="H183" s="454">
        <f ca="1">'Macro Model (LCY)'!H183/H$24</f>
        <v>139594.95800157738</v>
      </c>
      <c r="I183" s="454">
        <f ca="1">'Macro Model (LCY)'!I183/I$24</f>
        <v>272189.95921015355</v>
      </c>
      <c r="J183" s="454">
        <f ca="1">'Macro Model (LCY)'!J183/J$24</f>
        <v>459959.60043303471</v>
      </c>
      <c r="K183" s="454">
        <f ca="1">'Macro Model (LCY)'!K183/K$24</f>
        <v>717493.54642559378</v>
      </c>
      <c r="L183" s="454">
        <f ca="1">'Macro Model (LCY)'!L183/L$24</f>
        <v>1010401.717886447</v>
      </c>
      <c r="M183" s="454">
        <f ca="1">'Macro Model (LCY)'!M183/M$24</f>
        <v>1187947.7213523537</v>
      </c>
      <c r="N183" s="454">
        <f ca="1">'Macro Model (LCY)'!N183/N$24</f>
        <v>1376740.3960720473</v>
      </c>
      <c r="O183" s="454">
        <f ca="1">'Macro Model (LCY)'!O183/O$24</f>
        <v>1565165.7669657038</v>
      </c>
      <c r="P183" s="454">
        <f ca="1">'Macro Model (LCY)'!P183/P$24</f>
        <v>1753709.2791753993</v>
      </c>
      <c r="Q183" s="454">
        <f ca="1">'Macro Model (LCY)'!Q183/Q$24</f>
        <v>1942393.4419815768</v>
      </c>
    </row>
    <row r="184" spans="2:17" outlineLevel="1">
      <c r="C184" s="84" t="s">
        <v>97</v>
      </c>
      <c r="E184" s="30"/>
      <c r="G184" s="592">
        <f>'Macro Model (LCY)'!G184/G$24</f>
        <v>80000</v>
      </c>
      <c r="H184" s="454">
        <f ca="1">'Macro Model (LCY)'!H184/H$24</f>
        <v>1216898.0334703813</v>
      </c>
      <c r="I184" s="454">
        <f ca="1">'Macro Model (LCY)'!I184/I$24</f>
        <v>2317127.7235064106</v>
      </c>
      <c r="J184" s="454">
        <f ca="1">'Macro Model (LCY)'!J184/J$24</f>
        <v>3630651.6285373964</v>
      </c>
      <c r="K184" s="454">
        <f ca="1">'Macro Model (LCY)'!K184/K$24</f>
        <v>5408105.7158026733</v>
      </c>
      <c r="L184" s="454">
        <f ca="1">'Macro Model (LCY)'!L184/L$24</f>
        <v>7681838.0264810342</v>
      </c>
      <c r="M184" s="454">
        <f ca="1">'Macro Model (LCY)'!M184/M$24</f>
        <v>9572815.8717983831</v>
      </c>
      <c r="N184" s="454">
        <f ca="1">'Macro Model (LCY)'!N184/N$24</f>
        <v>10870859.331813177</v>
      </c>
      <c r="O184" s="454">
        <f ca="1">'Macro Model (LCY)'!O184/O$24</f>
        <v>12029004.66431186</v>
      </c>
      <c r="P184" s="454">
        <f ca="1">'Macro Model (LCY)'!P184/P$24</f>
        <v>13151911.169428546</v>
      </c>
      <c r="Q184" s="454">
        <f ca="1">'Macro Model (LCY)'!Q184/Q$24</f>
        <v>14264643.276764041</v>
      </c>
    </row>
    <row r="185" spans="2:17" outlineLevel="1">
      <c r="C185" s="87" t="s">
        <v>112</v>
      </c>
      <c r="D185" s="69"/>
      <c r="E185" s="69"/>
      <c r="F185" s="69"/>
      <c r="G185" s="240">
        <f t="shared" ref="G185" si="35">+SUM(G182:G184)</f>
        <v>160000</v>
      </c>
      <c r="H185" s="240">
        <f ca="1">+SUM(H182:H184)</f>
        <v>2408375.5664517339</v>
      </c>
      <c r="I185" s="240">
        <f t="shared" ref="I185:M185" ca="1" si="36">+SUM(I182:I184)</f>
        <v>2757179.9980816771</v>
      </c>
      <c r="J185" s="240">
        <f t="shared" ca="1" si="36"/>
        <v>6313162.7036157809</v>
      </c>
      <c r="K185" s="240">
        <f t="shared" ca="1" si="36"/>
        <v>7287997.7317069788</v>
      </c>
      <c r="L185" s="240">
        <f t="shared" ca="1" si="36"/>
        <v>9840464.4950935841</v>
      </c>
      <c r="M185" s="240">
        <f t="shared" ca="1" si="36"/>
        <v>11890027.422058884</v>
      </c>
      <c r="N185" s="240">
        <f ca="1">+SUM(N182:N184)</f>
        <v>13442037.341474531</v>
      </c>
      <c r="O185" s="240">
        <f ca="1">+SUM(O182:O184)</f>
        <v>15264968.776425168</v>
      </c>
      <c r="P185" s="240">
        <f ca="1">+SUM(P182:P184)</f>
        <v>16847455.431348342</v>
      </c>
      <c r="Q185" s="240">
        <f ca="1">+SUM(Q182:Q184)</f>
        <v>18718037.825502038</v>
      </c>
    </row>
    <row r="186" spans="2:17" outlineLevel="1">
      <c r="C186" s="120" t="s">
        <v>113</v>
      </c>
      <c r="D186" s="120"/>
      <c r="E186" s="120"/>
      <c r="F186" s="120"/>
      <c r="G186" s="592">
        <f>'Macro Model (LCY)'!G186/G$24</f>
        <v>10000</v>
      </c>
      <c r="H186" s="454">
        <f>'Macro Model (LCY)'!H186/H$24</f>
        <v>117762.31394349011</v>
      </c>
      <c r="I186" s="454">
        <f>'Macro Model (LCY)'!I186/I$24</f>
        <v>205842.05787603895</v>
      </c>
      <c r="J186" s="454">
        <f>'Macro Model (LCY)'!J186/J$24</f>
        <v>277834.21364295809</v>
      </c>
      <c r="K186" s="454">
        <f>'Macro Model (LCY)'!K186/K$24</f>
        <v>336677.14688238001</v>
      </c>
      <c r="L186" s="454">
        <f>'Macro Model (LCY)'!L186/L$24</f>
        <v>384772.53665552655</v>
      </c>
      <c r="M186" s="454">
        <f>'Macro Model (LCY)'!M186/M$24</f>
        <v>424083.40017109958</v>
      </c>
      <c r="N186" s="454">
        <f>'Macro Model (LCY)'!N186/N$24</f>
        <v>456214.21349081694</v>
      </c>
      <c r="O186" s="454">
        <f>'Macro Model (LCY)'!O186/O$24</f>
        <v>482476.39834914624</v>
      </c>
      <c r="P186" s="454">
        <f>'Macro Model (LCY)'!P186/P$24</f>
        <v>503941.84793705994</v>
      </c>
      <c r="Q186" s="454">
        <f>'Macro Model (LCY)'!Q186/Q$24</f>
        <v>521486.67630898888</v>
      </c>
    </row>
    <row r="187" spans="2:17" ht="14.4" outlineLevel="1" thickBot="1">
      <c r="C187" s="77" t="s">
        <v>98</v>
      </c>
      <c r="D187" s="77"/>
      <c r="E187" s="77"/>
      <c r="F187" s="331"/>
      <c r="G187" s="361">
        <f t="shared" ref="G187" si="37">+G185+G186</f>
        <v>170000</v>
      </c>
      <c r="H187" s="361">
        <f t="shared" ref="H187:M187" ca="1" si="38">+H185+H186</f>
        <v>2526137.8803952239</v>
      </c>
      <c r="I187" s="361">
        <f t="shared" ca="1" si="38"/>
        <v>2963022.055957716</v>
      </c>
      <c r="J187" s="361">
        <f t="shared" ca="1" si="38"/>
        <v>6590996.9172587395</v>
      </c>
      <c r="K187" s="361">
        <f t="shared" ca="1" si="38"/>
        <v>7624674.8785893591</v>
      </c>
      <c r="L187" s="361">
        <f t="shared" ca="1" si="38"/>
        <v>10225237.031749111</v>
      </c>
      <c r="M187" s="361">
        <f t="shared" ca="1" si="38"/>
        <v>12314110.822229983</v>
      </c>
      <c r="N187" s="361">
        <f ca="1">+N185+N186</f>
        <v>13898251.554965349</v>
      </c>
      <c r="O187" s="361">
        <f ca="1">+O185+O186</f>
        <v>15747445.174774313</v>
      </c>
      <c r="P187" s="361">
        <f ca="1">+P185+P186</f>
        <v>17351397.279285401</v>
      </c>
      <c r="Q187" s="361">
        <f ca="1">+Q185+Q186</f>
        <v>19239524.501811028</v>
      </c>
    </row>
    <row r="188" spans="2:17" ht="14.4" outlineLevel="1" thickTop="1">
      <c r="G188" s="150"/>
      <c r="H188" s="150"/>
      <c r="I188" s="150"/>
      <c r="J188" s="150"/>
      <c r="K188" s="150"/>
      <c r="L188" s="150"/>
      <c r="M188" s="150"/>
      <c r="N188" s="150"/>
      <c r="O188" s="150"/>
      <c r="P188" s="150"/>
      <c r="Q188" s="150"/>
    </row>
    <row r="189" spans="2:17" outlineLevel="1">
      <c r="B189" s="6"/>
      <c r="C189" s="37" t="s">
        <v>122</v>
      </c>
      <c r="G189" s="514"/>
      <c r="H189" s="514"/>
      <c r="I189" s="514"/>
      <c r="J189" s="514"/>
      <c r="K189" s="514"/>
      <c r="L189" s="514"/>
      <c r="M189" s="514"/>
      <c r="N189" s="514"/>
      <c r="O189" s="514"/>
      <c r="P189" s="514"/>
      <c r="Q189" s="514"/>
    </row>
    <row r="190" spans="2:17" outlineLevel="1">
      <c r="B190" s="6"/>
      <c r="C190" s="114" t="s">
        <v>99</v>
      </c>
      <c r="D190" s="9"/>
      <c r="E190" s="9"/>
      <c r="F190" s="232" t="s">
        <v>99</v>
      </c>
      <c r="G190" s="592">
        <f>'Macro Model (LCY)'!G190/G$24</f>
        <v>50000</v>
      </c>
      <c r="H190" s="454">
        <f>'Macro Model (LCY)'!H190/H$24</f>
        <v>1050000</v>
      </c>
      <c r="I190" s="454">
        <f>'Macro Model (LCY)'!I190/I$24</f>
        <v>550000.00000000012</v>
      </c>
      <c r="J190" s="454">
        <f>'Macro Model (LCY)'!J190/J$24</f>
        <v>2272222.2222222211</v>
      </c>
      <c r="K190" s="454">
        <f>'Macro Model (LCY)'!K190/K$24</f>
        <v>1716666.6666666656</v>
      </c>
      <c r="L190" s="454">
        <f>'Macro Model (LCY)'!L190/L$24</f>
        <v>2227777.7777777761</v>
      </c>
      <c r="M190" s="454">
        <f>'Macro Model (LCY)'!M190/M$24</f>
        <v>2294444.4444444426</v>
      </c>
      <c r="N190" s="454">
        <f>'Macro Model (LCY)'!N190/N$24</f>
        <v>2138888.8888888871</v>
      </c>
      <c r="O190" s="454">
        <f>'Macro Model (LCY)'!O190/O$24</f>
        <v>2316666.6666666656</v>
      </c>
      <c r="P190" s="454">
        <f>'Macro Model (LCY)'!P190/P$24</f>
        <v>2272222.2222222225</v>
      </c>
      <c r="Q190" s="454">
        <f>'Macro Model (LCY)'!Q190/Q$24</f>
        <v>2538888.8888888904</v>
      </c>
    </row>
    <row r="191" spans="2:17" outlineLevel="1">
      <c r="C191" s="121" t="s">
        <v>114</v>
      </c>
      <c r="D191" s="121"/>
      <c r="E191" s="121"/>
      <c r="F191" s="68"/>
      <c r="G191" s="241">
        <f t="shared" ref="G191" si="39">+G190</f>
        <v>50000</v>
      </c>
      <c r="H191" s="241">
        <f t="shared" ref="H191:Q191" si="40">+H190</f>
        <v>1050000</v>
      </c>
      <c r="I191" s="241">
        <f t="shared" si="40"/>
        <v>550000.00000000012</v>
      </c>
      <c r="J191" s="241">
        <f t="shared" si="40"/>
        <v>2272222.2222222211</v>
      </c>
      <c r="K191" s="241">
        <f t="shared" si="40"/>
        <v>1716666.6666666656</v>
      </c>
      <c r="L191" s="241">
        <f t="shared" si="40"/>
        <v>2227777.7777777761</v>
      </c>
      <c r="M191" s="241">
        <f t="shared" si="40"/>
        <v>2294444.4444444426</v>
      </c>
      <c r="N191" s="241">
        <f t="shared" si="40"/>
        <v>2138888.8888888871</v>
      </c>
      <c r="O191" s="241">
        <f t="shared" si="40"/>
        <v>2316666.6666666656</v>
      </c>
      <c r="P191" s="241">
        <f t="shared" si="40"/>
        <v>2272222.2222222225</v>
      </c>
      <c r="Q191" s="241">
        <f t="shared" si="40"/>
        <v>2538888.8888888904</v>
      </c>
    </row>
    <row r="192" spans="2:17" outlineLevel="1">
      <c r="C192" s="9"/>
      <c r="D192" s="9"/>
      <c r="E192" s="9"/>
      <c r="G192" s="150"/>
      <c r="H192" s="150"/>
      <c r="I192" s="150"/>
      <c r="J192" s="150"/>
      <c r="K192" s="150"/>
      <c r="L192" s="150"/>
      <c r="M192" s="150"/>
      <c r="N192" s="150"/>
      <c r="O192" s="150"/>
      <c r="P192" s="150"/>
      <c r="Q192" s="150"/>
    </row>
    <row r="193" spans="2:17" outlineLevel="1">
      <c r="C193" s="10" t="s">
        <v>123</v>
      </c>
      <c r="D193" s="9"/>
      <c r="E193" s="9"/>
      <c r="G193" s="353"/>
      <c r="H193" s="353"/>
      <c r="I193" s="150"/>
      <c r="J193" s="150"/>
      <c r="K193" s="150"/>
      <c r="L193" s="150"/>
      <c r="M193" s="150"/>
      <c r="N193" s="150"/>
      <c r="O193" s="150"/>
      <c r="P193" s="150"/>
      <c r="Q193" s="150"/>
    </row>
    <row r="194" spans="2:17" outlineLevel="1">
      <c r="C194" s="114" t="s">
        <v>100</v>
      </c>
      <c r="D194" s="9"/>
      <c r="E194" s="9"/>
      <c r="G194" s="592">
        <f>'Macro Model (LCY)'!G194/G$24</f>
        <v>55000</v>
      </c>
      <c r="H194" s="454">
        <f>'Macro Model (LCY)'!H194/H$24</f>
        <v>555000</v>
      </c>
      <c r="I194" s="454">
        <f>'Macro Model (LCY)'!I194/I$24</f>
        <v>555000</v>
      </c>
      <c r="J194" s="454">
        <f>'Macro Model (LCY)'!J194/J$24</f>
        <v>1555000</v>
      </c>
      <c r="K194" s="454">
        <f>'Macro Model (LCY)'!K194/K$24</f>
        <v>1555000</v>
      </c>
      <c r="L194" s="454">
        <f>'Macro Model (LCY)'!L194/L$24</f>
        <v>1555000</v>
      </c>
      <c r="M194" s="454">
        <f>'Macro Model (LCY)'!M194/M$24</f>
        <v>1555000</v>
      </c>
      <c r="N194" s="454">
        <f>'Macro Model (LCY)'!N194/N$24</f>
        <v>1555000</v>
      </c>
      <c r="O194" s="454">
        <f>'Macro Model (LCY)'!O194/O$24</f>
        <v>1555000</v>
      </c>
      <c r="P194" s="454">
        <f>'Macro Model (LCY)'!P194/P$24</f>
        <v>1555000</v>
      </c>
      <c r="Q194" s="454">
        <f>'Macro Model (LCY)'!Q194/Q$24</f>
        <v>1555000</v>
      </c>
    </row>
    <row r="195" spans="2:17" outlineLevel="1">
      <c r="C195" s="114" t="s">
        <v>101</v>
      </c>
      <c r="D195" s="9"/>
      <c r="E195" s="9"/>
      <c r="G195" s="592">
        <f>'Macro Model (LCY)'!G195/G$24</f>
        <v>65000</v>
      </c>
      <c r="H195" s="454">
        <f ca="1">'Macro Model (LCY)'!H195/H$24</f>
        <v>921137.88039522467</v>
      </c>
      <c r="I195" s="454">
        <f ca="1">'Macro Model (LCY)'!I195/I$24</f>
        <v>1858022.0559577171</v>
      </c>
      <c r="J195" s="454">
        <f ca="1">'Macro Model (LCY)'!J195/J$24</f>
        <v>2763774.6950365151</v>
      </c>
      <c r="K195" s="454">
        <f ca="1">'Macro Model (LCY)'!K195/K$24</f>
        <v>4353008.2119226921</v>
      </c>
      <c r="L195" s="454">
        <f ca="1">'Macro Model (LCY)'!L195/L$24</f>
        <v>6442459.2539713327</v>
      </c>
      <c r="M195" s="454">
        <f ca="1">'Macro Model (LCY)'!M195/M$24</f>
        <v>8464666.3777855411</v>
      </c>
      <c r="N195" s="454">
        <f ca="1">'Macro Model (LCY)'!N195/N$24</f>
        <v>10204362.666076459</v>
      </c>
      <c r="O195" s="454">
        <f ca="1">'Macro Model (LCY)'!O195/O$24</f>
        <v>11875778.508107644</v>
      </c>
      <c r="P195" s="454">
        <f ca="1">'Macro Model (LCY)'!P195/P$24</f>
        <v>13524175.057063177</v>
      </c>
      <c r="Q195" s="454">
        <f ca="1">'Macro Model (LCY)'!Q195/Q$24</f>
        <v>15145635.612922123</v>
      </c>
    </row>
    <row r="196" spans="2:17" outlineLevel="1">
      <c r="C196" s="68" t="s">
        <v>115</v>
      </c>
      <c r="D196" s="68"/>
      <c r="E196" s="68"/>
      <c r="F196" s="68"/>
      <c r="G196" s="240">
        <f t="shared" ref="G196" si="41">+SUM(G194:G195)</f>
        <v>120000</v>
      </c>
      <c r="H196" s="240">
        <f t="shared" ref="H196:Q196" ca="1" si="42">+SUM(H194:H195)</f>
        <v>1476137.8803952248</v>
      </c>
      <c r="I196" s="240">
        <f t="shared" ca="1" si="42"/>
        <v>2413022.0559577169</v>
      </c>
      <c r="J196" s="240">
        <f t="shared" ca="1" si="42"/>
        <v>4318774.6950365156</v>
      </c>
      <c r="K196" s="240">
        <f t="shared" ca="1" si="42"/>
        <v>5908008.2119226921</v>
      </c>
      <c r="L196" s="240">
        <f t="shared" ca="1" si="42"/>
        <v>7997459.2539713327</v>
      </c>
      <c r="M196" s="240">
        <f t="shared" ca="1" si="42"/>
        <v>10019666.377785541</v>
      </c>
      <c r="N196" s="240">
        <f t="shared" ca="1" si="42"/>
        <v>11759362.666076459</v>
      </c>
      <c r="O196" s="240">
        <f t="shared" ca="1" si="42"/>
        <v>13430778.508107644</v>
      </c>
      <c r="P196" s="240">
        <f t="shared" ca="1" si="42"/>
        <v>15079175.057063177</v>
      </c>
      <c r="Q196" s="240">
        <f t="shared" ca="1" si="42"/>
        <v>16700635.612922123</v>
      </c>
    </row>
    <row r="197" spans="2:17" ht="14.4" outlineLevel="1" thickBot="1">
      <c r="C197" s="77" t="s">
        <v>124</v>
      </c>
      <c r="D197" s="77"/>
      <c r="E197" s="77"/>
      <c r="F197" s="77"/>
      <c r="G197" s="78">
        <f t="shared" ref="G197" si="43">+G191+G196</f>
        <v>170000</v>
      </c>
      <c r="H197" s="78">
        <f t="shared" ref="H197:Q197" ca="1" si="44">+H191+H196</f>
        <v>2526137.8803952248</v>
      </c>
      <c r="I197" s="78">
        <f t="shared" ca="1" si="44"/>
        <v>2963022.0559577169</v>
      </c>
      <c r="J197" s="78">
        <f t="shared" ca="1" si="44"/>
        <v>6590996.9172587367</v>
      </c>
      <c r="K197" s="78">
        <f t="shared" ca="1" si="44"/>
        <v>7624674.8785893582</v>
      </c>
      <c r="L197" s="78">
        <f t="shared" ca="1" si="44"/>
        <v>10225237.031749109</v>
      </c>
      <c r="M197" s="78">
        <f t="shared" ca="1" si="44"/>
        <v>12314110.822229983</v>
      </c>
      <c r="N197" s="78">
        <f t="shared" ca="1" si="44"/>
        <v>13898251.554965347</v>
      </c>
      <c r="O197" s="78">
        <f t="shared" ca="1" si="44"/>
        <v>15747445.17477431</v>
      </c>
      <c r="P197" s="78">
        <f t="shared" ca="1" si="44"/>
        <v>17351397.279285401</v>
      </c>
      <c r="Q197" s="78">
        <f t="shared" ca="1" si="44"/>
        <v>19239524.501811013</v>
      </c>
    </row>
    <row r="198" spans="2:17" ht="14.4" outlineLevel="1" thickTop="1"/>
    <row r="199" spans="2:17" outlineLevel="1">
      <c r="C199" s="531" t="s">
        <v>528</v>
      </c>
      <c r="D199" s="531"/>
      <c r="E199" s="531"/>
      <c r="F199" s="528">
        <f ca="1">SUM(H199:Q199)</f>
        <v>0</v>
      </c>
      <c r="G199" s="528"/>
      <c r="H199" s="528">
        <f t="shared" ref="H199:Q199" ca="1" si="45">IF(ABS(H187-H197)&lt;tolerance,0,1)</f>
        <v>0</v>
      </c>
      <c r="I199" s="528">
        <f t="shared" ca="1" si="45"/>
        <v>0</v>
      </c>
      <c r="J199" s="528">
        <f t="shared" ca="1" si="45"/>
        <v>0</v>
      </c>
      <c r="K199" s="528">
        <f t="shared" ca="1" si="45"/>
        <v>0</v>
      </c>
      <c r="L199" s="528">
        <f t="shared" ca="1" si="45"/>
        <v>0</v>
      </c>
      <c r="M199" s="528">
        <f t="shared" ca="1" si="45"/>
        <v>0</v>
      </c>
      <c r="N199" s="528">
        <f t="shared" ca="1" si="45"/>
        <v>0</v>
      </c>
      <c r="O199" s="528">
        <f t="shared" ca="1" si="45"/>
        <v>0</v>
      </c>
      <c r="P199" s="528">
        <f t="shared" ca="1" si="45"/>
        <v>0</v>
      </c>
      <c r="Q199" s="528">
        <f t="shared" ca="1" si="45"/>
        <v>0</v>
      </c>
    </row>
    <row r="200" spans="2:17" outlineLevel="1">
      <c r="C200" s="531" t="s">
        <v>531</v>
      </c>
      <c r="D200" s="531"/>
      <c r="E200" s="531"/>
      <c r="F200" s="528">
        <f ca="1">SUM(H200:Q200)</f>
        <v>0</v>
      </c>
      <c r="G200" s="528"/>
      <c r="H200" s="528">
        <f t="shared" ref="H200:M200" ca="1" si="46">IF(ABS(H145-H168)&lt;tolerance,0,1)</f>
        <v>0</v>
      </c>
      <c r="I200" s="528">
        <f t="shared" ca="1" si="46"/>
        <v>0</v>
      </c>
      <c r="J200" s="528">
        <f t="shared" ca="1" si="46"/>
        <v>0</v>
      </c>
      <c r="K200" s="528">
        <f t="shared" ca="1" si="46"/>
        <v>0</v>
      </c>
      <c r="L200" s="528">
        <f t="shared" ca="1" si="46"/>
        <v>0</v>
      </c>
      <c r="M200" s="528">
        <f t="shared" ca="1" si="46"/>
        <v>0</v>
      </c>
      <c r="N200" s="528">
        <f ca="1">IF(ABS(N145-N168)&lt;tolerance,0,1)</f>
        <v>0</v>
      </c>
      <c r="O200" s="528">
        <f ca="1">IF(ABS(O145-O168)&lt;tolerance,0,1)</f>
        <v>0</v>
      </c>
      <c r="P200" s="528">
        <f ca="1">IF(ABS(P145-P168)&lt;tolerance,0,1)</f>
        <v>0</v>
      </c>
      <c r="Q200" s="528">
        <f ca="1">IF(ABS(Q145-Q168)&lt;tolerance,0,1)</f>
        <v>0</v>
      </c>
    </row>
    <row r="201" spans="2:17" outlineLevel="1">
      <c r="C201" s="531" t="s">
        <v>529</v>
      </c>
      <c r="D201" s="531"/>
      <c r="E201" s="531"/>
      <c r="F201" s="528">
        <f ca="1">SUM(H201:Q201)</f>
        <v>0</v>
      </c>
      <c r="G201" s="528"/>
      <c r="H201" s="528">
        <f t="shared" ref="H201:M201" ca="1" si="47">IF(ABS(H168-H182)&lt;tolerance,0,1)</f>
        <v>0</v>
      </c>
      <c r="I201" s="528">
        <f t="shared" ca="1" si="47"/>
        <v>0</v>
      </c>
      <c r="J201" s="528">
        <f t="shared" ca="1" si="47"/>
        <v>0</v>
      </c>
      <c r="K201" s="528">
        <f t="shared" ca="1" si="47"/>
        <v>0</v>
      </c>
      <c r="L201" s="528">
        <f t="shared" ca="1" si="47"/>
        <v>0</v>
      </c>
      <c r="M201" s="528">
        <f t="shared" ca="1" si="47"/>
        <v>0</v>
      </c>
      <c r="N201" s="528">
        <f ca="1">IF(ABS(N168-N182)&lt;tolerance,0,1)</f>
        <v>0</v>
      </c>
      <c r="O201" s="528">
        <f ca="1">IF(ABS(O168-O182)&lt;tolerance,0,1)</f>
        <v>0</v>
      </c>
      <c r="P201" s="528">
        <f ca="1">IF(ABS(P168-P182)&lt;tolerance,0,1)</f>
        <v>0</v>
      </c>
      <c r="Q201" s="528">
        <f ca="1">IF(ABS(Q168-Q182)&lt;tolerance,0,1)</f>
        <v>0</v>
      </c>
    </row>
    <row r="202" spans="2:17" outlineLevel="1">
      <c r="C202" s="531" t="s">
        <v>530</v>
      </c>
      <c r="D202" s="531"/>
      <c r="E202" s="531"/>
      <c r="F202" s="528">
        <f ca="1">SUM(H202:Q202)</f>
        <v>0</v>
      </c>
      <c r="G202" s="528"/>
      <c r="H202" s="528">
        <f t="shared" ref="H202:Q202" ca="1" si="48">IF(H168&gt;0,0,1)</f>
        <v>0</v>
      </c>
      <c r="I202" s="528">
        <f t="shared" ca="1" si="48"/>
        <v>0</v>
      </c>
      <c r="J202" s="528">
        <f t="shared" ca="1" si="48"/>
        <v>0</v>
      </c>
      <c r="K202" s="528">
        <f t="shared" ca="1" si="48"/>
        <v>0</v>
      </c>
      <c r="L202" s="528">
        <f t="shared" ca="1" si="48"/>
        <v>0</v>
      </c>
      <c r="M202" s="528">
        <f t="shared" ca="1" si="48"/>
        <v>0</v>
      </c>
      <c r="N202" s="528">
        <f t="shared" ca="1" si="48"/>
        <v>0</v>
      </c>
      <c r="O202" s="528">
        <f t="shared" ca="1" si="48"/>
        <v>0</v>
      </c>
      <c r="P202" s="528">
        <f t="shared" ca="1" si="48"/>
        <v>0</v>
      </c>
      <c r="Q202" s="528">
        <f t="shared" ca="1" si="48"/>
        <v>0</v>
      </c>
    </row>
    <row r="204" spans="2:17">
      <c r="B204" s="6" t="s">
        <v>186</v>
      </c>
    </row>
    <row r="205" spans="2:17" outlineLevel="1">
      <c r="B205" s="120" t="s">
        <v>192</v>
      </c>
      <c r="C205" s="120"/>
      <c r="D205" s="120"/>
      <c r="E205" s="120"/>
      <c r="F205" s="120"/>
      <c r="G205" s="120"/>
      <c r="H205" s="120"/>
      <c r="I205" s="120"/>
      <c r="J205" s="120"/>
      <c r="K205" s="120"/>
      <c r="L205" s="120"/>
      <c r="M205" s="120"/>
      <c r="N205" s="120"/>
      <c r="O205" s="120"/>
      <c r="P205" s="120"/>
      <c r="Q205" s="120"/>
    </row>
    <row r="206" spans="2:17" outlineLevel="1">
      <c r="C206" s="5" t="s">
        <v>711</v>
      </c>
      <c r="H206" s="439">
        <f t="shared" ref="H206:Q206" ca="1" si="49">H20</f>
        <v>6527.0415113824702</v>
      </c>
      <c r="I206" s="439">
        <f t="shared" ca="1" si="49"/>
        <v>8255.5530664508296</v>
      </c>
      <c r="J206" s="439">
        <f t="shared" ca="1" si="49"/>
        <v>10655.577440893583</v>
      </c>
      <c r="K206" s="439">
        <f t="shared" ca="1" si="49"/>
        <v>13523.843581929719</v>
      </c>
      <c r="L206" s="439">
        <f t="shared" ca="1" si="49"/>
        <v>17164.997024448832</v>
      </c>
      <c r="M206" s="439">
        <f t="shared" ca="1" si="49"/>
        <v>19234.736652106323</v>
      </c>
      <c r="N206" s="439">
        <f t="shared" ca="1" si="49"/>
        <v>19488.285149429357</v>
      </c>
      <c r="O206" s="439">
        <f t="shared" ca="1" si="49"/>
        <v>19624.508497303366</v>
      </c>
      <c r="P206" s="439">
        <f t="shared" ca="1" si="49"/>
        <v>19644.690428367074</v>
      </c>
      <c r="Q206" s="439">
        <f t="shared" ca="1" si="49"/>
        <v>19655.122837461662</v>
      </c>
    </row>
    <row r="207" spans="2:17" outlineLevel="1">
      <c r="C207" s="5" t="s">
        <v>712</v>
      </c>
      <c r="H207" s="439">
        <f t="shared" ref="H207:Q207" ca="1" si="50">H21</f>
        <v>15527.041511382471</v>
      </c>
      <c r="I207" s="439">
        <f t="shared" ca="1" si="50"/>
        <v>23782.594577833301</v>
      </c>
      <c r="J207" s="439">
        <f t="shared" ca="1" si="50"/>
        <v>34438.17201872688</v>
      </c>
      <c r="K207" s="439">
        <f t="shared" ca="1" si="50"/>
        <v>47962.015600656596</v>
      </c>
      <c r="L207" s="439">
        <f t="shared" ca="1" si="50"/>
        <v>65127.012625105432</v>
      </c>
      <c r="M207" s="439">
        <f t="shared" ca="1" si="50"/>
        <v>84361.74927721174</v>
      </c>
      <c r="N207" s="439">
        <f t="shared" ca="1" si="50"/>
        <v>103850.0344266411</v>
      </c>
      <c r="O207" s="439">
        <f t="shared" ca="1" si="50"/>
        <v>123474.54292394448</v>
      </c>
      <c r="P207" s="439">
        <f t="shared" ca="1" si="50"/>
        <v>143119.23335231157</v>
      </c>
      <c r="Q207" s="439">
        <f t="shared" ca="1" si="50"/>
        <v>162774.35618977324</v>
      </c>
    </row>
    <row r="208" spans="2:17" outlineLevel="1">
      <c r="H208" s="431"/>
      <c r="I208" s="431"/>
      <c r="J208" s="431"/>
      <c r="K208" s="431"/>
      <c r="L208" s="431"/>
      <c r="M208" s="431"/>
      <c r="N208" s="431"/>
      <c r="O208" s="431"/>
      <c r="P208" s="431"/>
      <c r="Q208" s="431"/>
    </row>
    <row r="209" spans="2:17" outlineLevel="1">
      <c r="H209" s="430"/>
      <c r="I209" s="430"/>
      <c r="J209" s="430"/>
      <c r="K209" s="430"/>
      <c r="L209" s="430"/>
      <c r="M209" s="430"/>
      <c r="N209" s="430"/>
      <c r="O209" s="430"/>
      <c r="P209" s="430"/>
      <c r="Q209" s="430"/>
    </row>
    <row r="210" spans="2:17" outlineLevel="1">
      <c r="B210" s="120" t="s">
        <v>193</v>
      </c>
      <c r="C210" s="120"/>
      <c r="D210" s="120"/>
      <c r="E210" s="120"/>
      <c r="F210" s="120"/>
      <c r="G210" s="120"/>
      <c r="H210" s="465"/>
      <c r="I210" s="465"/>
      <c r="J210" s="465"/>
      <c r="K210" s="465"/>
      <c r="L210" s="465"/>
      <c r="M210" s="465"/>
      <c r="N210" s="465"/>
      <c r="O210" s="465"/>
      <c r="P210" s="465"/>
      <c r="Q210" s="465"/>
    </row>
    <row r="211" spans="2:17" outlineLevel="1">
      <c r="C211" s="5" t="str">
        <f>+'Detailed Model (LCY)'!D301</f>
        <v>EBITDA in period (cash basis)</v>
      </c>
      <c r="H211" s="439">
        <f t="shared" ref="H211:Q211" ca="1" si="51">+H101</f>
        <v>372907.13496235857</v>
      </c>
      <c r="I211" s="439">
        <f t="shared" ca="1" si="51"/>
        <v>351075.19453804893</v>
      </c>
      <c r="J211" s="439">
        <f t="shared" ca="1" si="51"/>
        <v>255557.87995454267</v>
      </c>
      <c r="K211" s="439">
        <f t="shared" ca="1" si="51"/>
        <v>587597.86227911245</v>
      </c>
      <c r="L211" s="439">
        <f t="shared" ca="1" si="51"/>
        <v>872966.56832595542</v>
      </c>
      <c r="M211" s="439">
        <f t="shared" ca="1" si="51"/>
        <v>1111090.8329367551</v>
      </c>
      <c r="N211" s="439">
        <f t="shared" ca="1" si="51"/>
        <v>1282225.5724243573</v>
      </c>
      <c r="O211" s="439">
        <f t="shared" ca="1" si="51"/>
        <v>1336121.0275258126</v>
      </c>
      <c r="P211" s="439">
        <f t="shared" ca="1" si="51"/>
        <v>1347961.6669592564</v>
      </c>
      <c r="Q211" s="439">
        <f t="shared" ca="1" si="51"/>
        <v>1352173.7743704102</v>
      </c>
    </row>
    <row r="212" spans="2:17" outlineLevel="1">
      <c r="C212" s="5" t="str">
        <f>+'Detailed Model (LCY)'!D302</f>
        <v>Net income in period (cash basis)</v>
      </c>
      <c r="H212" s="439">
        <f ca="1">+H115</f>
        <v>38282.993847706617</v>
      </c>
      <c r="I212" s="439">
        <f t="shared" ref="I212:M212" ca="1" si="52">+I115</f>
        <v>95043.268812221504</v>
      </c>
      <c r="J212" s="439">
        <f t="shared" ca="1" si="52"/>
        <v>-134064.48451252052</v>
      </c>
      <c r="K212" s="439">
        <f t="shared" ca="1" si="52"/>
        <v>158028.53279958156</v>
      </c>
      <c r="L212" s="439">
        <f t="shared" ca="1" si="52"/>
        <v>263335.26725703932</v>
      </c>
      <c r="M212" s="439">
        <f t="shared" ca="1" si="52"/>
        <v>383372.58637138852</v>
      </c>
      <c r="N212" s="439">
        <f ca="1">+N115</f>
        <v>481529.93000524829</v>
      </c>
      <c r="O212" s="439">
        <f ca="1">+O115</f>
        <v>507843.94632237387</v>
      </c>
      <c r="P212" s="439">
        <f ca="1">+P115</f>
        <v>508407.81234062288</v>
      </c>
      <c r="Q212" s="439">
        <f ca="1">+Q115</f>
        <v>488715.91752538452</v>
      </c>
    </row>
    <row r="213" spans="2:17" outlineLevel="1">
      <c r="C213" s="5" t="s">
        <v>202</v>
      </c>
      <c r="H213" s="466">
        <f ca="1">INDEX('Detailed Model (LCY)'!$D$2:$XFD$329,MATCH('Macro Model (USD)'!$C213,'Detailed Model (LCY)'!$D$2:$D$329,0),MATCH('Macro Model (USD)'!H$2,'Detailed Model (LCY)'!$D$2:$XFD$2,0))</f>
        <v>0.46824726524903409</v>
      </c>
      <c r="I213" s="466">
        <f ca="1">INDEX('Detailed Model (LCY)'!$D$2:$XFD$329,MATCH('Macro Model (USD)'!$C213,'Detailed Model (LCY)'!$D$2:$D$329,0),MATCH('Macro Model (USD)'!I$2,'Detailed Model (LCY)'!$D$2:$XFD$2,0))</f>
        <v>0.52548066404958582</v>
      </c>
      <c r="J213" s="466">
        <f ca="1">INDEX('Detailed Model (LCY)'!$D$2:$XFD$329,MATCH('Macro Model (USD)'!$C213,'Detailed Model (LCY)'!$D$2:$D$329,0),MATCH('Macro Model (USD)'!J$2,'Detailed Model (LCY)'!$D$2:$XFD$2,0))</f>
        <v>0.55622998292308845</v>
      </c>
      <c r="K213" s="466">
        <f ca="1">INDEX('Detailed Model (LCY)'!$D$2:$XFD$329,MATCH('Macro Model (USD)'!$C213,'Detailed Model (LCY)'!$D$2:$D$329,0),MATCH('Macro Model (USD)'!K$2,'Detailed Model (LCY)'!$D$2:$XFD$2,0))</f>
        <v>0.60050247004903345</v>
      </c>
      <c r="L213" s="466">
        <f ca="1">INDEX('Detailed Model (LCY)'!$D$2:$XFD$329,MATCH('Macro Model (USD)'!$C213,'Detailed Model (LCY)'!$D$2:$D$329,0),MATCH('Macro Model (USD)'!L$2,'Detailed Model (LCY)'!$D$2:$XFD$2,0))</f>
        <v>0.6179210817702353</v>
      </c>
      <c r="M213" s="466">
        <f ca="1">INDEX('Detailed Model (LCY)'!$D$2:$XFD$329,MATCH('Macro Model (USD)'!$C213,'Detailed Model (LCY)'!$D$2:$D$329,0),MATCH('Macro Model (USD)'!M$2,'Detailed Model (LCY)'!$D$2:$XFD$2,0))</f>
        <v>0.62389848825433813</v>
      </c>
      <c r="N213" s="466">
        <f ca="1">INDEX('Detailed Model (LCY)'!$D$2:$XFD$329,MATCH('Macro Model (USD)'!$C213,'Detailed Model (LCY)'!$D$2:$D$329,0),MATCH('Macro Model (USD)'!N$2,'Detailed Model (LCY)'!$D$2:$XFD$2,0))</f>
        <v>0.62806408365400612</v>
      </c>
      <c r="O213" s="466">
        <f ca="1">INDEX('Detailed Model (LCY)'!$D$2:$XFD$329,MATCH('Macro Model (USD)'!$C213,'Detailed Model (LCY)'!$D$2:$D$329,0),MATCH('Macro Model (USD)'!O$2,'Detailed Model (LCY)'!$D$2:$XFD$2,0))</f>
        <v>0.6289100083333613</v>
      </c>
      <c r="P213" s="466">
        <f ca="1">INDEX('Detailed Model (LCY)'!$D$2:$XFD$329,MATCH('Macro Model (USD)'!$C213,'Detailed Model (LCY)'!$D$2:$D$329,0),MATCH('Macro Model (USD)'!P$2,'Detailed Model (LCY)'!$D$2:$XFD$2,0))</f>
        <v>0.62917740840785019</v>
      </c>
      <c r="Q213" s="466">
        <f ca="1">INDEX('Detailed Model (LCY)'!$D$2:$XFD$329,MATCH('Macro Model (USD)'!$C213,'Detailed Model (LCY)'!$D$2:$D$329,0),MATCH('Macro Model (USD)'!Q$2,'Detailed Model (LCY)'!$D$2:$XFD$2,0))</f>
        <v>0.62923448319958675</v>
      </c>
    </row>
    <row r="214" spans="2:17" outlineLevel="1">
      <c r="C214" s="5" t="s">
        <v>513</v>
      </c>
      <c r="H214" s="466">
        <f ca="1">INDEX('Detailed Model (LCY)'!$D$2:$XFD$329,MATCH('Macro Model (USD)'!$C214,'Detailed Model (LCY)'!$D$2:$D$329,0),MATCH('Macro Model (USD)'!H$2,'Detailed Model (LCY)'!$D$2:$XFD$2,0))</f>
        <v>0.36177086666691005</v>
      </c>
      <c r="I214" s="466">
        <f ca="1">INDEX('Detailed Model (LCY)'!$D$2:$XFD$329,MATCH('Macro Model (USD)'!$C214,'Detailed Model (LCY)'!$D$2:$D$329,0),MATCH('Macro Model (USD)'!I$2,'Detailed Model (LCY)'!$D$2:$XFD$2,0))</f>
        <v>0.30367993242449359</v>
      </c>
      <c r="J214" s="466">
        <f ca="1">INDEX('Detailed Model (LCY)'!$D$2:$XFD$329,MATCH('Macro Model (USD)'!$C214,'Detailed Model (LCY)'!$D$2:$D$329,0),MATCH('Macro Model (USD)'!J$2,'Detailed Model (LCY)'!$D$2:$XFD$2,0))</f>
        <v>0.20436394579946832</v>
      </c>
      <c r="K214" s="466">
        <f ca="1">INDEX('Detailed Model (LCY)'!$D$2:$XFD$329,MATCH('Macro Model (USD)'!$C214,'Detailed Model (LCY)'!$D$2:$D$329,0),MATCH('Macro Model (USD)'!K$2,'Detailed Model (LCY)'!$D$2:$XFD$2,0))</f>
        <v>0.4232349312552442</v>
      </c>
      <c r="L214" s="466">
        <f ca="1">INDEX('Detailed Model (LCY)'!$D$2:$XFD$329,MATCH('Macro Model (USD)'!$C214,'Detailed Model (LCY)'!$D$2:$D$329,0),MATCH('Macro Model (USD)'!L$2,'Detailed Model (LCY)'!$D$2:$XFD$2,0))</f>
        <v>0.42338642915392299</v>
      </c>
      <c r="M214" s="466">
        <f ca="1">INDEX('Detailed Model (LCY)'!$D$2:$XFD$329,MATCH('Macro Model (USD)'!$C214,'Detailed Model (LCY)'!$D$2:$D$329,0),MATCH('Macro Model (USD)'!M$2,'Detailed Model (LCY)'!$D$2:$XFD$2,0))</f>
        <v>0.41982386898514906</v>
      </c>
      <c r="N214" s="466">
        <f ca="1">INDEX('Detailed Model (LCY)'!$D$2:$XFD$329,MATCH('Macro Model (USD)'!$C214,'Detailed Model (LCY)'!$D$2:$D$329,0),MATCH('Macro Model (USD)'!N$2,'Detailed Model (LCY)'!$D$2:$XFD$2,0))</f>
        <v>0.40523765013304047</v>
      </c>
      <c r="O214" s="466">
        <f ca="1">INDEX('Detailed Model (LCY)'!$D$2:$XFD$329,MATCH('Macro Model (USD)'!$C214,'Detailed Model (LCY)'!$D$2:$D$329,0),MATCH('Macro Model (USD)'!O$2,'Detailed Model (LCY)'!$D$2:$XFD$2,0))</f>
        <v>0.44708863879843119</v>
      </c>
      <c r="P214" s="466">
        <f ca="1">INDEX('Detailed Model (LCY)'!$D$2:$XFD$329,MATCH('Macro Model (USD)'!$C214,'Detailed Model (LCY)'!$D$2:$D$329,0),MATCH('Macro Model (USD)'!P$2,'Detailed Model (LCY)'!$D$2:$XFD$2,0))</f>
        <v>0.42069501697063483</v>
      </c>
      <c r="Q214" s="466">
        <f ca="1">INDEX('Detailed Model (LCY)'!$D$2:$XFD$329,MATCH('Macro Model (USD)'!$C214,'Detailed Model (LCY)'!$D$2:$D$329,0),MATCH('Macro Model (USD)'!Q$2,'Detailed Model (LCY)'!$D$2:$XFD$2,0))</f>
        <v>0.41478357028377305</v>
      </c>
    </row>
    <row r="215" spans="2:17" outlineLevel="1">
      <c r="C215" s="5" t="s">
        <v>514</v>
      </c>
      <c r="H215" s="466">
        <f ca="1">INDEX('Detailed Model (LCY)'!$D$2:$XFD$329,MATCH('Macro Model (USD)'!$C215,'Detailed Model (LCY)'!$D$2:$D$329,0),MATCH('Macro Model (USD)'!H$2,'Detailed Model (LCY)'!$D$2:$XFD$2,0))</f>
        <v>-7.8309557378398745E-2</v>
      </c>
      <c r="I215" s="466">
        <f ca="1">INDEX('Detailed Model (LCY)'!$D$2:$XFD$329,MATCH('Macro Model (USD)'!$C215,'Detailed Model (LCY)'!$D$2:$D$329,0),MATCH('Macro Model (USD)'!I$2,'Detailed Model (LCY)'!$D$2:$XFD$2,0))</f>
        <v>-0.14667825107275367</v>
      </c>
      <c r="J215" s="466">
        <f ca="1">INDEX('Detailed Model (LCY)'!$D$2:$XFD$329,MATCH('Macro Model (USD)'!$C215,'Detailed Model (LCY)'!$D$2:$D$329,0),MATCH('Macro Model (USD)'!J$2,'Detailed Model (LCY)'!$D$2:$XFD$2,0))</f>
        <v>-0.24100301855720413</v>
      </c>
      <c r="K215" s="466">
        <f ca="1">INDEX('Detailed Model (LCY)'!$D$2:$XFD$329,MATCH('Macro Model (USD)'!$C215,'Detailed Model (LCY)'!$D$2:$D$329,0),MATCH('Macro Model (USD)'!K$2,'Detailed Model (LCY)'!$D$2:$XFD$2,0))</f>
        <v>-4.7662810217918829E-2</v>
      </c>
      <c r="L215" s="466">
        <f ca="1">INDEX('Detailed Model (LCY)'!$D$2:$XFD$329,MATCH('Macro Model (USD)'!$C215,'Detailed Model (LCY)'!$D$2:$D$329,0),MATCH('Macro Model (USD)'!L$2,'Detailed Model (LCY)'!$D$2:$XFD$2,0))</f>
        <v>-5.4695671834830185E-2</v>
      </c>
      <c r="M215" s="466">
        <f ca="1">INDEX('Detailed Model (LCY)'!$D$2:$XFD$329,MATCH('Macro Model (USD)'!$C215,'Detailed Model (LCY)'!$D$2:$D$329,0),MATCH('Macro Model (USD)'!M$2,'Detailed Model (LCY)'!$D$2:$XFD$2,0))</f>
        <v>-6.2547350945474742E-2</v>
      </c>
      <c r="N215" s="466">
        <f ca="1">INDEX('Detailed Model (LCY)'!$D$2:$XFD$329,MATCH('Macro Model (USD)'!$C215,'Detailed Model (LCY)'!$D$2:$D$329,0),MATCH('Macro Model (USD)'!N$2,'Detailed Model (LCY)'!$D$2:$XFD$2,0))</f>
        <v>-7.9033217963573002E-2</v>
      </c>
      <c r="O215" s="466">
        <f ca="1">INDEX('Detailed Model (LCY)'!$D$2:$XFD$329,MATCH('Macro Model (USD)'!$C215,'Detailed Model (LCY)'!$D$2:$D$329,0),MATCH('Macro Model (USD)'!O$2,'Detailed Model (LCY)'!$D$2:$XFD$2,0))</f>
        <v>-3.6212472261913986E-2</v>
      </c>
      <c r="P215" s="466">
        <f ca="1">INDEX('Detailed Model (LCY)'!$D$2:$XFD$329,MATCH('Macro Model (USD)'!$C215,'Detailed Model (LCY)'!$D$2:$D$329,0),MATCH('Macro Model (USD)'!P$2,'Detailed Model (LCY)'!$D$2:$XFD$2,0))</f>
        <v>-6.2673546186256077E-2</v>
      </c>
      <c r="Q215" s="466">
        <f ca="1">INDEX('Detailed Model (LCY)'!$D$2:$XFD$329,MATCH('Macro Model (USD)'!$C215,'Detailed Model (LCY)'!$D$2:$D$329,0),MATCH('Macro Model (USD)'!Q$2,'Detailed Model (LCY)'!$D$2:$XFD$2,0))</f>
        <v>-6.7061578043062453E-2</v>
      </c>
    </row>
    <row r="216" spans="2:17" outlineLevel="1">
      <c r="H216" s="431"/>
      <c r="I216" s="431"/>
      <c r="J216" s="431"/>
      <c r="K216" s="431"/>
      <c r="L216" s="431"/>
      <c r="M216" s="431"/>
      <c r="N216" s="431"/>
      <c r="O216" s="431"/>
      <c r="P216" s="431"/>
      <c r="Q216" s="431"/>
    </row>
    <row r="217" spans="2:17" outlineLevel="1">
      <c r="H217" s="430"/>
      <c r="I217" s="430"/>
      <c r="J217" s="430"/>
      <c r="K217" s="430"/>
      <c r="L217" s="430"/>
      <c r="M217" s="430"/>
      <c r="N217" s="430"/>
      <c r="O217" s="430"/>
      <c r="P217" s="430"/>
      <c r="Q217" s="430"/>
    </row>
    <row r="218" spans="2:17" outlineLevel="1">
      <c r="B218" s="120" t="s">
        <v>191</v>
      </c>
      <c r="C218" s="120"/>
      <c r="D218" s="120"/>
      <c r="E218" s="120"/>
      <c r="F218" s="120"/>
      <c r="G218" s="120"/>
      <c r="H218" s="465"/>
      <c r="I218" s="465"/>
      <c r="J218" s="465"/>
      <c r="K218" s="465"/>
      <c r="L218" s="465"/>
      <c r="M218" s="465"/>
      <c r="N218" s="465"/>
      <c r="O218" s="465"/>
      <c r="P218" s="465"/>
      <c r="Q218" s="465"/>
    </row>
    <row r="219" spans="2:17" outlineLevel="1">
      <c r="C219" s="217" t="s">
        <v>187</v>
      </c>
      <c r="H219" s="454">
        <f ca="1">'Macro Model (LCY)'!H219/H$24</f>
        <v>1216898.0334703813</v>
      </c>
      <c r="I219" s="454">
        <f ca="1">'Macro Model (LCY)'!I219/I$24</f>
        <v>2317127.7235064106</v>
      </c>
      <c r="J219" s="454">
        <f ca="1">'Macro Model (LCY)'!J219/J$24</f>
        <v>3630651.6285373964</v>
      </c>
      <c r="K219" s="454">
        <f ca="1">'Macro Model (LCY)'!K219/K$24</f>
        <v>5408105.7158026733</v>
      </c>
      <c r="L219" s="454">
        <f ca="1">'Macro Model (LCY)'!L219/L$24</f>
        <v>7681838.0264810342</v>
      </c>
      <c r="M219" s="454">
        <f ca="1">'Macro Model (LCY)'!M219/M$24</f>
        <v>9572815.8717983831</v>
      </c>
      <c r="N219" s="454">
        <f ca="1">'Macro Model (LCY)'!N219/N$24</f>
        <v>10870859.331813177</v>
      </c>
      <c r="O219" s="454">
        <f ca="1">'Macro Model (LCY)'!O219/O$24</f>
        <v>12029004.66431186</v>
      </c>
      <c r="P219" s="454">
        <f ca="1">'Macro Model (LCY)'!P219/P$24</f>
        <v>13151911.169428546</v>
      </c>
      <c r="Q219" s="454">
        <f ca="1">'Macro Model (LCY)'!Q219/Q$24</f>
        <v>14264643.276764041</v>
      </c>
    </row>
    <row r="220" spans="2:17" outlineLevel="1">
      <c r="C220" s="9" t="s">
        <v>188</v>
      </c>
      <c r="H220" s="454">
        <f ca="1">'Macro Model (LCY)'!H220/H$24</f>
        <v>856789.11736844364</v>
      </c>
      <c r="I220" s="454">
        <f ca="1">'Macro Model (LCY)'!I220/I$24</f>
        <v>1628643.5751807734</v>
      </c>
      <c r="J220" s="454">
        <f ca="1">'Macro Model (LCY)'!J220/J$24</f>
        <v>2550768.5217363257</v>
      </c>
      <c r="K220" s="454">
        <f ca="1">'Macro Model (LCY)'!K220/K$24</f>
        <v>3799420.516219913</v>
      </c>
      <c r="L220" s="454">
        <f ca="1">'Macro Model (LCY)'!L220/L$24</f>
        <v>5396769.1824330371</v>
      </c>
      <c r="M220" s="454">
        <f ca="1">'Macro Model (LCY)'!M220/M$24</f>
        <v>6721064.4104667809</v>
      </c>
      <c r="N220" s="454">
        <f ca="1">'Macro Model (LCY)'!N220/N$24</f>
        <v>7626809.6225029994</v>
      </c>
      <c r="O220" s="454">
        <f ca="1">'Macro Model (LCY)'!O220/O$24</f>
        <v>8437828.3881016038</v>
      </c>
      <c r="P220" s="454">
        <f ca="1">'Macro Model (LCY)'!P220/P$24</f>
        <v>9224816.0521301795</v>
      </c>
      <c r="Q220" s="454">
        <f ca="1">'Macro Model (LCY)'!Q220/Q$24</f>
        <v>10005036.227243723</v>
      </c>
    </row>
    <row r="221" spans="2:17" outlineLevel="1">
      <c r="C221" s="9" t="s">
        <v>360</v>
      </c>
      <c r="H221" s="431">
        <f ca="1">INDEX('Detailed Model (LCY)'!$D$2:$XFD$329,MATCH('Macro Model (USD)'!$C221,'Detailed Model (LCY)'!$D$2:$D$329,0),MATCH('Macro Model (USD)'!H$2,'Detailed Model (LCY)'!$D$2:$XFD$2,0))</f>
        <v>19.159913462572078</v>
      </c>
      <c r="I221" s="431">
        <f ca="1">INDEX('Detailed Model (LCY)'!$D$2:$XFD$329,MATCH('Macro Model (USD)'!$C221,'Detailed Model (LCY)'!$D$2:$D$329,0),MATCH('Macro Model (USD)'!I$2,'Detailed Model (LCY)'!$D$2:$XFD$2,0))</f>
        <v>19.721475881556117</v>
      </c>
      <c r="J221" s="431">
        <f ca="1">INDEX('Detailed Model (LCY)'!$D$2:$XFD$329,MATCH('Macro Model (USD)'!$C221,'Detailed Model (LCY)'!$D$2:$D$329,0),MATCH('Macro Model (USD)'!J$2,'Detailed Model (LCY)'!$D$2:$XFD$2,0))</f>
        <v>19.864705055052063</v>
      </c>
      <c r="K221" s="431">
        <f ca="1">INDEX('Detailed Model (LCY)'!$D$2:$XFD$329,MATCH('Macro Model (USD)'!$C221,'Detailed Model (LCY)'!$D$2:$D$329,0),MATCH('Macro Model (USD)'!K$2,'Detailed Model (LCY)'!$D$2:$XFD$2,0))</f>
        <v>19.875492045546238</v>
      </c>
      <c r="L221" s="431">
        <f ca="1">INDEX('Detailed Model (LCY)'!$D$2:$XFD$329,MATCH('Macro Model (USD)'!$C221,'Detailed Model (LCY)'!$D$2:$D$329,0),MATCH('Macro Model (USD)'!L$2,'Detailed Model (LCY)'!$D$2:$XFD$2,0))</f>
        <v>19.878130815141532</v>
      </c>
      <c r="M221" s="431">
        <f ca="1">INDEX('Detailed Model (LCY)'!$D$2:$XFD$329,MATCH('Macro Model (USD)'!$C221,'Detailed Model (LCY)'!$D$2:$D$329,0),MATCH('Macro Model (USD)'!M$2,'Detailed Model (LCY)'!$D$2:$XFD$2,0))</f>
        <v>20.082390675007616</v>
      </c>
      <c r="N221" s="431">
        <f ca="1">INDEX('Detailed Model (LCY)'!$D$2:$XFD$329,MATCH('Macro Model (USD)'!$C221,'Detailed Model (LCY)'!$D$2:$D$329,0),MATCH('Macro Model (USD)'!N$2,'Detailed Model (LCY)'!$D$2:$XFD$2,0))</f>
        <v>20.323711044446071</v>
      </c>
      <c r="O221" s="431">
        <f ca="1">INDEX('Detailed Model (LCY)'!$D$2:$XFD$329,MATCH('Macro Model (USD)'!$C221,'Detailed Model (LCY)'!$D$2:$D$329,0),MATCH('Macro Model (USD)'!O$2,'Detailed Model (LCY)'!$D$2:$XFD$2,0))</f>
        <v>20.382693437628237</v>
      </c>
      <c r="P221" s="431">
        <f ca="1">INDEX('Detailed Model (LCY)'!$D$2:$XFD$329,MATCH('Macro Model (USD)'!$C221,'Detailed Model (LCY)'!$D$2:$D$329,0),MATCH('Macro Model (USD)'!P$2,'Detailed Model (LCY)'!$D$2:$XFD$2,0))</f>
        <v>20.406992767760254</v>
      </c>
      <c r="Q221" s="431">
        <f ca="1">INDEX('Detailed Model (LCY)'!$D$2:$XFD$329,MATCH('Macro Model (USD)'!$C221,'Detailed Model (LCY)'!$D$2:$D$329,0),MATCH('Macro Model (USD)'!Q$2,'Detailed Model (LCY)'!$D$2:$XFD$2,0))</f>
        <v>20.415381634381525</v>
      </c>
    </row>
    <row r="222" spans="2:17" outlineLevel="1">
      <c r="C222" s="9" t="s">
        <v>189</v>
      </c>
      <c r="H222" s="454">
        <f ca="1">'Macro Model (LCY)'!H222/H$24</f>
        <v>856789.11736844364</v>
      </c>
      <c r="I222" s="454">
        <f ca="1">'Macro Model (LCY)'!I222/I$24</f>
        <v>1628643.5751807734</v>
      </c>
      <c r="J222" s="454">
        <f ca="1">'Macro Model (LCY)'!J222/J$24</f>
        <v>2550768.5217363257</v>
      </c>
      <c r="K222" s="454">
        <f ca="1">'Macro Model (LCY)'!K222/K$24</f>
        <v>3799420.516219913</v>
      </c>
      <c r="L222" s="454">
        <f ca="1">'Macro Model (LCY)'!L222/L$24</f>
        <v>5396769.1824330371</v>
      </c>
      <c r="M222" s="454">
        <f ca="1">'Macro Model (LCY)'!M222/M$24</f>
        <v>6721064.4104667809</v>
      </c>
      <c r="N222" s="454">
        <f ca="1">'Macro Model (LCY)'!N222/N$24</f>
        <v>7626809.6225029994</v>
      </c>
      <c r="O222" s="454">
        <f ca="1">'Macro Model (LCY)'!O222/O$24</f>
        <v>8437828.3881016038</v>
      </c>
      <c r="P222" s="454">
        <f ca="1">'Macro Model (LCY)'!P222/P$24</f>
        <v>9224816.0521301795</v>
      </c>
      <c r="Q222" s="454">
        <f ca="1">'Macro Model (LCY)'!Q222/Q$24</f>
        <v>10005036.227243723</v>
      </c>
    </row>
    <row r="223" spans="2:17" outlineLevel="1">
      <c r="C223" s="9" t="s">
        <v>190</v>
      </c>
      <c r="H223" s="454">
        <f ca="1">'Macro Model (LCY)'!H223/H$24</f>
        <v>-193210.88263155631</v>
      </c>
      <c r="I223" s="454">
        <f ca="1">'Macro Model (LCY)'!I223/I$24</f>
        <v>1078643.5751807734</v>
      </c>
      <c r="J223" s="454">
        <f ca="1">'Macro Model (LCY)'!J223/J$24</f>
        <v>278546.29951410479</v>
      </c>
      <c r="K223" s="454">
        <f ca="1">'Macro Model (LCY)'!K223/K$24</f>
        <v>2082753.8495532474</v>
      </c>
      <c r="L223" s="454">
        <f ca="1">'Macro Model (LCY)'!L223/L$24</f>
        <v>3168991.4046552614</v>
      </c>
      <c r="M223" s="454">
        <f ca="1">'Macro Model (LCY)'!M223/M$24</f>
        <v>4426619.9660223387</v>
      </c>
      <c r="N223" s="454">
        <f ca="1">'Macro Model (LCY)'!N223/N$24</f>
        <v>5487920.7336141113</v>
      </c>
      <c r="O223" s="454">
        <f ca="1">'Macro Model (LCY)'!O223/O$24</f>
        <v>6121161.7214349378</v>
      </c>
      <c r="P223" s="454">
        <f ca="1">'Macro Model (LCY)'!P223/P$24</f>
        <v>6952593.8299079565</v>
      </c>
      <c r="Q223" s="454">
        <f ca="1">'Macro Model (LCY)'!Q223/Q$24</f>
        <v>7466147.3383548316</v>
      </c>
    </row>
    <row r="224" spans="2:17" outlineLevel="1">
      <c r="H224" s="430"/>
      <c r="I224" s="430"/>
      <c r="J224" s="430"/>
      <c r="K224" s="430"/>
      <c r="L224" s="430"/>
      <c r="M224" s="430"/>
      <c r="N224" s="430"/>
      <c r="O224" s="430"/>
      <c r="P224" s="430"/>
      <c r="Q224" s="430"/>
    </row>
    <row r="225" spans="1:82" outlineLevel="1">
      <c r="B225" s="120" t="s">
        <v>351</v>
      </c>
      <c r="C225" s="120"/>
      <c r="D225" s="120"/>
      <c r="E225" s="120"/>
      <c r="F225" s="120"/>
      <c r="G225" s="120"/>
      <c r="H225" s="465"/>
      <c r="I225" s="465"/>
      <c r="J225" s="465"/>
      <c r="K225" s="465"/>
      <c r="L225" s="465"/>
      <c r="M225" s="465"/>
      <c r="N225" s="465"/>
      <c r="O225" s="465"/>
      <c r="P225" s="465"/>
      <c r="Q225" s="465"/>
    </row>
    <row r="226" spans="1:82" outlineLevel="1">
      <c r="C226" s="9" t="s">
        <v>363</v>
      </c>
      <c r="H226" s="467">
        <f ca="1">INDEX('Detailed Model (LCY)'!$D$2:$XFD$329,MATCH('Macro Model (USD)'!$C226,'Detailed Model (LCY)'!$D$2:$D$329,0),MATCH('Macro Model (USD)'!H$2,'Detailed Model (LCY)'!$D$2:$XFD$2,0))</f>
        <v>0.58434572865210255</v>
      </c>
      <c r="I226" s="467">
        <f ca="1">INDEX('Detailed Model (LCY)'!$D$2:$XFD$329,MATCH('Macro Model (USD)'!$C226,'Detailed Model (LCY)'!$D$2:$D$329,0),MATCH('Macro Model (USD)'!I$2,'Detailed Model (LCY)'!$D$2:$XFD$2,0))</f>
        <v>0.81437870200995632</v>
      </c>
      <c r="J226" s="467">
        <f ca="1">INDEX('Detailed Model (LCY)'!$D$2:$XFD$329,MATCH('Macro Model (USD)'!$C226,'Detailed Model (LCY)'!$D$2:$D$329,0),MATCH('Macro Model (USD)'!J$2,'Detailed Model (LCY)'!$D$2:$XFD$2,0))</f>
        <v>0.6552536360209279</v>
      </c>
      <c r="K226" s="467">
        <f ca="1">INDEX('Detailed Model (LCY)'!$D$2:$XFD$329,MATCH('Macro Model (USD)'!$C226,'Detailed Model (LCY)'!$D$2:$D$329,0),MATCH('Macro Model (USD)'!K$2,'Detailed Model (LCY)'!$D$2:$XFD$2,0))</f>
        <v>0.77485378799728344</v>
      </c>
      <c r="L226" s="467">
        <f ca="1">INDEX('Detailed Model (LCY)'!$D$2:$XFD$329,MATCH('Macro Model (USD)'!$C226,'Detailed Model (LCY)'!$D$2:$D$329,0),MATCH('Macro Model (USD)'!L$2,'Detailed Model (LCY)'!$D$2:$XFD$2,0))</f>
        <v>0.78212947329625881</v>
      </c>
      <c r="M226" s="467">
        <f ca="1">INDEX('Detailed Model (LCY)'!$D$2:$XFD$329,MATCH('Macro Model (USD)'!$C226,'Detailed Model (LCY)'!$D$2:$D$329,0),MATCH('Macro Model (USD)'!M$2,'Detailed Model (LCY)'!$D$2:$XFD$2,0))</f>
        <v>0.81367355893026316</v>
      </c>
      <c r="N226" s="467">
        <f ca="1">INDEX('Detailed Model (LCY)'!$D$2:$XFD$329,MATCH('Macro Model (USD)'!$C226,'Detailed Model (LCY)'!$D$2:$D$329,0),MATCH('Macro Model (USD)'!N$2,'Detailed Model (LCY)'!$D$2:$XFD$2,0))</f>
        <v>0.84610374330685201</v>
      </c>
      <c r="O226" s="467">
        <f ca="1">INDEX('Detailed Model (LCY)'!$D$2:$XFD$329,MATCH('Macro Model (USD)'!$C226,'Detailed Model (LCY)'!$D$2:$D$329,0),MATCH('Macro Model (USD)'!O$2,'Detailed Model (LCY)'!$D$2:$XFD$2,0))</f>
        <v>0.85288618941326988</v>
      </c>
      <c r="P226" s="467">
        <f ca="1">INDEX('Detailed Model (LCY)'!$D$2:$XFD$329,MATCH('Macro Model (USD)'!$C226,'Detailed Model (LCY)'!$D$2:$D$329,0),MATCH('Macro Model (USD)'!P$2,'Detailed Model (LCY)'!$D$2:$XFD$2,0))</f>
        <v>0.86904672945648775</v>
      </c>
      <c r="Q226" s="467">
        <f ca="1">INDEX('Detailed Model (LCY)'!$D$2:$XFD$329,MATCH('Macro Model (USD)'!$C226,'Detailed Model (LCY)'!$D$2:$D$329,0),MATCH('Macro Model (USD)'!Q$2,'Detailed Model (LCY)'!$D$2:$XFD$2,0))</f>
        <v>0.86803785672302247</v>
      </c>
    </row>
    <row r="227" spans="1:82" outlineLevel="1">
      <c r="C227" s="9" t="s">
        <v>352</v>
      </c>
      <c r="H227" s="467">
        <f ca="1">INDEX('Detailed Model (LCY)'!$D$2:$XFD$329,MATCH('Macro Model (USD)'!$C227,'Detailed Model (LCY)'!$D$2:$D$329,0),MATCH('Macro Model (USD)'!H$2,'Detailed Model (LCY)'!$D$2:$XFD$2,0))</f>
        <v>0.71131566633793752</v>
      </c>
      <c r="I227" s="467">
        <f ca="1">INDEX('Detailed Model (LCY)'!$D$2:$XFD$329,MATCH('Macro Model (USD)'!$C227,'Detailed Model (LCY)'!$D$2:$D$329,0),MATCH('Macro Model (USD)'!I$2,'Detailed Model (LCY)'!$D$2:$XFD$2,0))</f>
        <v>0.22792995142421427</v>
      </c>
      <c r="J227" s="467">
        <f ca="1">INDEX('Detailed Model (LCY)'!$D$2:$XFD$329,MATCH('Macro Model (USD)'!$C227,'Detailed Model (LCY)'!$D$2:$D$329,0),MATCH('Macro Model (USD)'!J$2,'Detailed Model (LCY)'!$D$2:$XFD$2,0))</f>
        <v>0.52612659438651477</v>
      </c>
      <c r="K227" s="467">
        <f ca="1">INDEX('Detailed Model (LCY)'!$D$2:$XFD$329,MATCH('Macro Model (USD)'!$C227,'Detailed Model (LCY)'!$D$2:$D$329,0),MATCH('Macro Model (USD)'!K$2,'Detailed Model (LCY)'!$D$2:$XFD$2,0))</f>
        <v>0.29056605967512639</v>
      </c>
      <c r="L227" s="467">
        <f ca="1">INDEX('Detailed Model (LCY)'!$D$2:$XFD$329,MATCH('Macro Model (USD)'!$C227,'Detailed Model (LCY)'!$D$2:$D$329,0),MATCH('Macro Model (USD)'!L$2,'Detailed Model (LCY)'!$D$2:$XFD$2,0))</f>
        <v>0.27856069121846655</v>
      </c>
      <c r="M227" s="467">
        <f ca="1">INDEX('Detailed Model (LCY)'!$D$2:$XFD$329,MATCH('Macro Model (USD)'!$C227,'Detailed Model (LCY)'!$D$2:$D$329,0),MATCH('Macro Model (USD)'!M$2,'Detailed Model (LCY)'!$D$2:$XFD$2,0))</f>
        <v>0.22899409600417658</v>
      </c>
      <c r="N227" s="467">
        <f ca="1">INDEX('Detailed Model (LCY)'!$D$2:$XFD$329,MATCH('Macro Model (USD)'!$C227,'Detailed Model (LCY)'!$D$2:$D$329,0),MATCH('Macro Model (USD)'!N$2,'Detailed Model (LCY)'!$D$2:$XFD$2,0))</f>
        <v>0.18188816431856278</v>
      </c>
      <c r="O227" s="467">
        <f ca="1">INDEX('Detailed Model (LCY)'!$D$2:$XFD$329,MATCH('Macro Model (USD)'!$C227,'Detailed Model (LCY)'!$D$2:$D$329,0),MATCH('Macro Model (USD)'!O$2,'Detailed Model (LCY)'!$D$2:$XFD$2,0))</f>
        <v>0.17248938066160374</v>
      </c>
      <c r="P227" s="467">
        <f ca="1">INDEX('Detailed Model (LCY)'!$D$2:$XFD$329,MATCH('Macro Model (USD)'!$C227,'Detailed Model (LCY)'!$D$2:$D$329,0),MATCH('Macro Model (USD)'!P$2,'Detailed Model (LCY)'!$D$2:$XFD$2,0))</f>
        <v>0.15068610939415414</v>
      </c>
      <c r="Q227" s="467">
        <f ca="1">INDEX('Detailed Model (LCY)'!$D$2:$XFD$329,MATCH('Macro Model (USD)'!$C227,'Detailed Model (LCY)'!$D$2:$D$329,0),MATCH('Macro Model (USD)'!Q$2,'Detailed Model (LCY)'!$D$2:$XFD$2,0))</f>
        <v>0.15202348867036078</v>
      </c>
    </row>
    <row r="228" spans="1:82" outlineLevel="1">
      <c r="C228" s="9" t="s">
        <v>353</v>
      </c>
      <c r="H228" s="467">
        <f ca="1">INDEX('Detailed Model (LCY)'!$D$2:$XFD$329,MATCH('Macro Model (USD)'!$C228,'Detailed Model (LCY)'!$D$2:$D$329,0),MATCH('Macro Model (USD)'!H$2,'Detailed Model (LCY)'!$D$2:$XFD$2,0))</f>
        <v>6.8461509964785385</v>
      </c>
      <c r="I228" s="467">
        <f ca="1">INDEX('Detailed Model (LCY)'!$D$2:$XFD$329,MATCH('Macro Model (USD)'!$C228,'Detailed Model (LCY)'!$D$2:$D$329,0),MATCH('Macro Model (USD)'!I$2,'Detailed Model (LCY)'!$D$2:$XFD$2,0))</f>
        <v>0.67005331704993154</v>
      </c>
      <c r="J228" s="467">
        <f ca="1">INDEX('Detailed Model (LCY)'!$D$2:$XFD$329,MATCH('Macro Model (USD)'!$C228,'Detailed Model (LCY)'!$D$2:$D$329,0),MATCH('Macro Model (USD)'!J$2,'Detailed Model (LCY)'!$D$2:$XFD$2,0))</f>
        <v>11.567978759599892</v>
      </c>
      <c r="K228" s="467">
        <f ca="1">INDEX('Detailed Model (LCY)'!$D$2:$XFD$329,MATCH('Macro Model (USD)'!$C228,'Detailed Model (LCY)'!$D$2:$D$329,0),MATCH('Macro Model (USD)'!K$2,'Detailed Model (LCY)'!$D$2:$XFD$2,0))</f>
        <v>5.005144514141648</v>
      </c>
      <c r="L228" s="467">
        <f ca="1">INDEX('Detailed Model (LCY)'!$D$2:$XFD$329,MATCH('Macro Model (USD)'!$C228,'Detailed Model (LCY)'!$D$2:$D$329,0),MATCH('Macro Model (USD)'!L$2,'Detailed Model (LCY)'!$D$2:$XFD$2,0))</f>
        <v>3.8074385347994832</v>
      </c>
      <c r="M228" s="467">
        <f ca="1">INDEX('Detailed Model (LCY)'!$D$2:$XFD$329,MATCH('Macro Model (USD)'!$C228,'Detailed Model (LCY)'!$D$2:$D$329,0),MATCH('Macro Model (USD)'!M$2,'Detailed Model (LCY)'!$D$2:$XFD$2,0))</f>
        <v>3.1555108285143589</v>
      </c>
      <c r="N228" s="467">
        <f ca="1">INDEX('Detailed Model (LCY)'!$D$2:$XFD$329,MATCH('Macro Model (USD)'!$C228,'Detailed Model (LCY)'!$D$2:$D$329,0),MATCH('Macro Model (USD)'!N$2,'Detailed Model (LCY)'!$D$2:$XFD$2,0))</f>
        <v>4.3907168913425831</v>
      </c>
      <c r="O228" s="467">
        <f ca="1">INDEX('Detailed Model (LCY)'!$D$2:$XFD$329,MATCH('Macro Model (USD)'!$C228,'Detailed Model (LCY)'!$D$2:$D$329,0),MATCH('Macro Model (USD)'!O$2,'Detailed Model (LCY)'!$D$2:$XFD$2,0))</f>
        <v>5.0460352705800098</v>
      </c>
      <c r="P228" s="467">
        <f ca="1">INDEX('Detailed Model (LCY)'!$D$2:$XFD$329,MATCH('Macro Model (USD)'!$C228,'Detailed Model (LCY)'!$D$2:$D$329,0),MATCH('Macro Model (USD)'!P$2,'Detailed Model (LCY)'!$D$2:$XFD$2,0))</f>
        <v>5.8388044472519312</v>
      </c>
      <c r="Q228" s="467">
        <f ca="1">INDEX('Detailed Model (LCY)'!$D$2:$XFD$329,MATCH('Macro Model (USD)'!$C228,'Detailed Model (LCY)'!$D$2:$D$329,0),MATCH('Macro Model (USD)'!Q$2,'Detailed Model (LCY)'!$D$2:$XFD$2,0))</f>
        <v>7.5727006585283885</v>
      </c>
    </row>
    <row r="229" spans="1:82" outlineLevel="1">
      <c r="C229" s="9" t="s">
        <v>359</v>
      </c>
      <c r="H229" s="617">
        <f ca="1">INDEX('Detailed Model (LCY)'!$D$2:$XFD$329,MATCH('Macro Model (USD)'!$C229,'Detailed Model (LCY)'!$D$2:$D$329,0),MATCH('Macro Model (USD)'!H$2,'Detailed Model (LCY)'!$D$2:$XFD$2,0))</f>
        <v>4.4579946688379399</v>
      </c>
      <c r="I229" s="617">
        <f ca="1">INDEX('Detailed Model (LCY)'!$D$2:$XFD$329,MATCH('Macro Model (USD)'!$C229,'Detailed Model (LCY)'!$D$2:$D$329,0),MATCH('Macro Model (USD)'!I$2,'Detailed Model (LCY)'!$D$2:$XFD$2,0))</f>
        <v>3.7158168304991417</v>
      </c>
      <c r="J229" s="617">
        <f ca="1">INDEX('Detailed Model (LCY)'!$D$2:$XFD$329,MATCH('Macro Model (USD)'!$C229,'Detailed Model (LCY)'!$D$2:$D$329,0),MATCH('Macro Model (USD)'!J$2,'Detailed Model (LCY)'!$D$2:$XFD$2,0))</f>
        <v>6.1864131687452479</v>
      </c>
      <c r="K229" s="617">
        <f ca="1">INDEX('Detailed Model (LCY)'!$D$2:$XFD$329,MATCH('Macro Model (USD)'!$C229,'Detailed Model (LCY)'!$D$2:$D$329,0),MATCH('Macro Model (USD)'!K$2,'Detailed Model (LCY)'!$D$2:$XFD$2,0))</f>
        <v>6.47807191286216</v>
      </c>
      <c r="L229" s="617">
        <f ca="1">INDEX('Detailed Model (LCY)'!$D$2:$XFD$329,MATCH('Macro Model (USD)'!$C229,'Detailed Model (LCY)'!$D$2:$D$329,0),MATCH('Macro Model (USD)'!L$2,'Detailed Model (LCY)'!$D$2:$XFD$2,0))</f>
        <v>6.2662976204110477</v>
      </c>
      <c r="M229" s="617">
        <f ca="1">INDEX('Detailed Model (LCY)'!$D$2:$XFD$329,MATCH('Macro Model (USD)'!$C229,'Detailed Model (LCY)'!$D$2:$D$329,0),MATCH('Macro Model (USD)'!M$2,'Detailed Model (LCY)'!$D$2:$XFD$2,0))</f>
        <v>5.9175782303160931</v>
      </c>
      <c r="N229" s="617">
        <f ca="1">INDEX('Detailed Model (LCY)'!$D$2:$XFD$329,MATCH('Macro Model (USD)'!$C229,'Detailed Model (LCY)'!$D$2:$D$329,0),MATCH('Macro Model (USD)'!N$2,'Detailed Model (LCY)'!$D$2:$XFD$2,0))</f>
        <v>8.0548717980325559</v>
      </c>
      <c r="O229" s="617">
        <f ca="1">INDEX('Detailed Model (LCY)'!$D$2:$XFD$329,MATCH('Macro Model (USD)'!$C229,'Detailed Model (LCY)'!$D$2:$D$329,0),MATCH('Macro Model (USD)'!O$2,'Detailed Model (LCY)'!$D$2:$XFD$2,0))</f>
        <v>6.6618947592206696</v>
      </c>
      <c r="P229" s="617">
        <f ca="1">INDEX('Detailed Model (LCY)'!$D$2:$XFD$329,MATCH('Macro Model (USD)'!$C229,'Detailed Model (LCY)'!$D$2:$D$329,0),MATCH('Macro Model (USD)'!P$2,'Detailed Model (LCY)'!$D$2:$XFD$2,0))</f>
        <v>6.6480150950668753</v>
      </c>
      <c r="Q229" s="617">
        <f ca="1">INDEX('Detailed Model (LCY)'!$D$2:$XFD$329,MATCH('Macro Model (USD)'!$C229,'Detailed Model (LCY)'!$D$2:$D$329,0),MATCH('Macro Model (USD)'!Q$2,'Detailed Model (LCY)'!$D$2:$XFD$2,0))</f>
        <v>6.1591657108539914</v>
      </c>
    </row>
    <row r="230" spans="1:82" outlineLevel="1">
      <c r="H230" s="430"/>
      <c r="I230" s="430"/>
      <c r="J230" s="430"/>
      <c r="K230" s="430"/>
      <c r="L230" s="430"/>
      <c r="M230" s="430"/>
      <c r="N230" s="430"/>
      <c r="O230" s="430"/>
      <c r="P230" s="430"/>
      <c r="Q230" s="430"/>
    </row>
    <row r="231" spans="1:82" outlineLevel="1">
      <c r="B231" s="120" t="s">
        <v>196</v>
      </c>
      <c r="C231" s="120"/>
      <c r="D231" s="120"/>
      <c r="E231" s="120"/>
      <c r="F231" s="120"/>
      <c r="G231" s="120"/>
      <c r="H231" s="465"/>
      <c r="I231" s="465"/>
      <c r="J231" s="465"/>
      <c r="K231" s="465"/>
      <c r="L231" s="465"/>
      <c r="M231" s="465"/>
      <c r="N231" s="465"/>
      <c r="O231" s="465"/>
      <c r="P231" s="465"/>
      <c r="Q231" s="465"/>
    </row>
    <row r="232" spans="1:82" outlineLevel="1">
      <c r="C232" s="5" t="s">
        <v>197</v>
      </c>
      <c r="H232" s="431">
        <f ca="1">INDEX('Detailed Model (LCY)'!$D$2:$XFD$329,MATCH('Macro Model (USD)'!$C232,'Detailed Model (LCY)'!$D$2:$D$329,0),MATCH('Macro Model (USD)'!H$2,'Detailed Model (LCY)'!$D$2:$XFD$2,0))</f>
        <v>15527.041511382471</v>
      </c>
      <c r="I232" s="431">
        <f ca="1">INDEX('Detailed Model (LCY)'!$D$2:$XFD$329,MATCH('Macro Model (USD)'!$C232,'Detailed Model (LCY)'!$D$2:$D$329,0),MATCH('Macro Model (USD)'!I$2,'Detailed Model (LCY)'!$D$2:$XFD$2,0))</f>
        <v>23782.594577833301</v>
      </c>
      <c r="J232" s="431">
        <f ca="1">INDEX('Detailed Model (LCY)'!$D$2:$XFD$329,MATCH('Macro Model (USD)'!$C232,'Detailed Model (LCY)'!$D$2:$D$329,0),MATCH('Macro Model (USD)'!J$2,'Detailed Model (LCY)'!$D$2:$XFD$2,0))</f>
        <v>34438.172018726887</v>
      </c>
      <c r="K232" s="431">
        <f ca="1">INDEX('Detailed Model (LCY)'!$D$2:$XFD$329,MATCH('Macro Model (USD)'!$C232,'Detailed Model (LCY)'!$D$2:$D$329,0),MATCH('Macro Model (USD)'!K$2,'Detailed Model (LCY)'!$D$2:$XFD$2,0))</f>
        <v>47962.015600656618</v>
      </c>
      <c r="L232" s="431">
        <f ca="1">INDEX('Detailed Model (LCY)'!$D$2:$XFD$329,MATCH('Macro Model (USD)'!$C232,'Detailed Model (LCY)'!$D$2:$D$329,0),MATCH('Macro Model (USD)'!L$2,'Detailed Model (LCY)'!$D$2:$XFD$2,0))</f>
        <v>65127.012625105453</v>
      </c>
      <c r="M232" s="431">
        <f ca="1">INDEX('Detailed Model (LCY)'!$D$2:$XFD$329,MATCH('Macro Model (USD)'!$C232,'Detailed Model (LCY)'!$D$2:$D$329,0),MATCH('Macro Model (USD)'!M$2,'Detailed Model (LCY)'!$D$2:$XFD$2,0))</f>
        <v>84361.749277211769</v>
      </c>
      <c r="N232" s="431">
        <f ca="1">INDEX('Detailed Model (LCY)'!$D$2:$XFD$329,MATCH('Macro Model (USD)'!$C232,'Detailed Model (LCY)'!$D$2:$D$329,0),MATCH('Macro Model (USD)'!N$2,'Detailed Model (LCY)'!$D$2:$XFD$2,0))</f>
        <v>103850.0344266411</v>
      </c>
      <c r="O232" s="431">
        <f ca="1">INDEX('Detailed Model (LCY)'!$D$2:$XFD$329,MATCH('Macro Model (USD)'!$C232,'Detailed Model (LCY)'!$D$2:$D$329,0),MATCH('Macro Model (USD)'!O$2,'Detailed Model (LCY)'!$D$2:$XFD$2,0))</f>
        <v>123474.54292394446</v>
      </c>
      <c r="P232" s="431">
        <f ca="1">INDEX('Detailed Model (LCY)'!$D$2:$XFD$329,MATCH('Macro Model (USD)'!$C232,'Detailed Model (LCY)'!$D$2:$D$329,0),MATCH('Macro Model (USD)'!P$2,'Detailed Model (LCY)'!$D$2:$XFD$2,0))</f>
        <v>143119.23335231157</v>
      </c>
      <c r="Q232" s="431">
        <f ca="1">INDEX('Detailed Model (LCY)'!$D$2:$XFD$329,MATCH('Macro Model (USD)'!$C232,'Detailed Model (LCY)'!$D$2:$D$329,0),MATCH('Macro Model (USD)'!Q$2,'Detailed Model (LCY)'!$D$2:$XFD$2,0))</f>
        <v>162774.35618977321</v>
      </c>
    </row>
    <row r="233" spans="1:82" outlineLevel="1">
      <c r="C233" s="5" t="s">
        <v>198</v>
      </c>
      <c r="H233" s="431">
        <f ca="1">INDEX('Detailed Model (LCY)'!$D$2:$XFD$329,MATCH('Macro Model (USD)'!$C233,'Detailed Model (LCY)'!$D$2:$D$329,0),MATCH('Macro Model (USD)'!H$2,'Detailed Model (LCY)'!$D$2:$XFD$2,0))</f>
        <v>77635.207556912355</v>
      </c>
      <c r="I233" s="431">
        <f ca="1">INDEX('Detailed Model (LCY)'!$D$2:$XFD$329,MATCH('Macro Model (USD)'!$C233,'Detailed Model (LCY)'!$D$2:$D$329,0),MATCH('Macro Model (USD)'!I$2,'Detailed Model (LCY)'!$D$2:$XFD$2,0))</f>
        <v>118912.9728891665</v>
      </c>
      <c r="J233" s="431">
        <f ca="1">INDEX('Detailed Model (LCY)'!$D$2:$XFD$329,MATCH('Macro Model (USD)'!$C233,'Detailed Model (LCY)'!$D$2:$D$329,0),MATCH('Macro Model (USD)'!J$2,'Detailed Model (LCY)'!$D$2:$XFD$2,0))</f>
        <v>172190.86009363443</v>
      </c>
      <c r="K233" s="431">
        <f ca="1">INDEX('Detailed Model (LCY)'!$D$2:$XFD$329,MATCH('Macro Model (USD)'!$C233,'Detailed Model (LCY)'!$D$2:$D$329,0),MATCH('Macro Model (USD)'!K$2,'Detailed Model (LCY)'!$D$2:$XFD$2,0))</f>
        <v>239810.0780032831</v>
      </c>
      <c r="L233" s="431">
        <f ca="1">INDEX('Detailed Model (LCY)'!$D$2:$XFD$329,MATCH('Macro Model (USD)'!$C233,'Detailed Model (LCY)'!$D$2:$D$329,0),MATCH('Macro Model (USD)'!L$2,'Detailed Model (LCY)'!$D$2:$XFD$2,0))</f>
        <v>325635.06312552729</v>
      </c>
      <c r="M233" s="431">
        <f ca="1">INDEX('Detailed Model (LCY)'!$D$2:$XFD$329,MATCH('Macro Model (USD)'!$C233,'Detailed Model (LCY)'!$D$2:$D$329,0),MATCH('Macro Model (USD)'!M$2,'Detailed Model (LCY)'!$D$2:$XFD$2,0))</f>
        <v>421808.74638605886</v>
      </c>
      <c r="N233" s="431">
        <f ca="1">INDEX('Detailed Model (LCY)'!$D$2:$XFD$329,MATCH('Macro Model (USD)'!$C233,'Detailed Model (LCY)'!$D$2:$D$329,0),MATCH('Macro Model (USD)'!N$2,'Detailed Model (LCY)'!$D$2:$XFD$2,0))</f>
        <v>519250.17213320546</v>
      </c>
      <c r="O233" s="431">
        <f ca="1">INDEX('Detailed Model (LCY)'!$D$2:$XFD$329,MATCH('Macro Model (USD)'!$C233,'Detailed Model (LCY)'!$D$2:$D$329,0),MATCH('Macro Model (USD)'!O$2,'Detailed Model (LCY)'!$D$2:$XFD$2,0))</f>
        <v>617372.71461972233</v>
      </c>
      <c r="P233" s="431">
        <f ca="1">INDEX('Detailed Model (LCY)'!$D$2:$XFD$329,MATCH('Macro Model (USD)'!$C233,'Detailed Model (LCY)'!$D$2:$D$329,0),MATCH('Macro Model (USD)'!P$2,'Detailed Model (LCY)'!$D$2:$XFD$2,0))</f>
        <v>715596.1667615578</v>
      </c>
      <c r="Q233" s="431">
        <f ca="1">INDEX('Detailed Model (LCY)'!$D$2:$XFD$329,MATCH('Macro Model (USD)'!$C233,'Detailed Model (LCY)'!$D$2:$D$329,0),MATCH('Macro Model (USD)'!Q$2,'Detailed Model (LCY)'!$D$2:$XFD$2,0))</f>
        <v>813871.78094886604</v>
      </c>
    </row>
    <row r="234" spans="1:82" outlineLevel="1">
      <c r="C234" s="5" t="s">
        <v>471</v>
      </c>
      <c r="H234" s="431">
        <f ca="1">INDEX('Detailed Model (LCY)'!$D$2:$XFD$329,MATCH('Macro Model (USD)'!$C234,'Detailed Model (LCY)'!$D$2:$D$329,0),MATCH('Macro Model (USD)'!H$2,'Detailed Model (LCY)'!$D$2:$XFD$2,0))</f>
        <v>163.81985630661632</v>
      </c>
      <c r="I234" s="431">
        <f ca="1">INDEX('Detailed Model (LCY)'!$D$2:$XFD$329,MATCH('Macro Model (USD)'!$C234,'Detailed Model (LCY)'!$D$2:$D$329,0),MATCH('Macro Model (USD)'!I$2,'Detailed Model (LCY)'!$D$2:$XFD$2,0))</f>
        <v>176.11263869227705</v>
      </c>
      <c r="J234" s="431">
        <f ca="1">INDEX('Detailed Model (LCY)'!$D$2:$XFD$329,MATCH('Macro Model (USD)'!$C234,'Detailed Model (LCY)'!$D$2:$D$329,0),MATCH('Macro Model (USD)'!J$2,'Detailed Model (LCY)'!$D$2:$XFD$2,0))</f>
        <v>157.62923085305985</v>
      </c>
      <c r="K234" s="431">
        <f ca="1">INDEX('Detailed Model (LCY)'!$D$2:$XFD$329,MATCH('Macro Model (USD)'!$C234,'Detailed Model (LCY)'!$D$2:$D$329,0),MATCH('Macro Model (USD)'!K$2,'Detailed Model (LCY)'!$D$2:$XFD$2,0))</f>
        <v>154.02166142413296</v>
      </c>
      <c r="L234" s="431">
        <f ca="1">INDEX('Detailed Model (LCY)'!$D$2:$XFD$329,MATCH('Macro Model (USD)'!$C234,'Detailed Model (LCY)'!$D$2:$D$329,0),MATCH('Macro Model (USD)'!L$2,'Detailed Model (LCY)'!$D$2:$XFD$2,0))</f>
        <v>158.16441094034676</v>
      </c>
      <c r="M234" s="431">
        <f ca="1">INDEX('Detailed Model (LCY)'!$D$2:$XFD$329,MATCH('Macro Model (USD)'!$C234,'Detailed Model (LCY)'!$D$2:$D$329,0),MATCH('Macro Model (USD)'!M$2,'Detailed Model (LCY)'!$D$2:$XFD$2,0))</f>
        <v>148.0513951644341</v>
      </c>
      <c r="N234" s="431">
        <f ca="1">INDEX('Detailed Model (LCY)'!$D$2:$XFD$329,MATCH('Macro Model (USD)'!$C234,'Detailed Model (LCY)'!$D$2:$D$329,0),MATCH('Macro Model (USD)'!N$2,'Detailed Model (LCY)'!$D$2:$XFD$2,0))</f>
        <v>156.3332420059854</v>
      </c>
      <c r="O234" s="431">
        <f ca="1">INDEX('Detailed Model (LCY)'!$D$2:$XFD$329,MATCH('Macro Model (USD)'!$C234,'Detailed Model (LCY)'!$D$2:$D$329,0),MATCH('Macro Model (USD)'!O$2,'Detailed Model (LCY)'!$D$2:$XFD$2,0))</f>
        <v>157.96147093447715</v>
      </c>
      <c r="P234" s="431">
        <f ca="1">INDEX('Detailed Model (LCY)'!$D$2:$XFD$329,MATCH('Macro Model (USD)'!$C234,'Detailed Model (LCY)'!$D$2:$D$329,0),MATCH('Macro Model (USD)'!P$2,'Detailed Model (LCY)'!$D$2:$XFD$2,0))</f>
        <v>158.54963070322179</v>
      </c>
      <c r="Q234" s="431">
        <f ca="1">INDEX('Detailed Model (LCY)'!$D$2:$XFD$329,MATCH('Macro Model (USD)'!$C234,'Detailed Model (LCY)'!$D$2:$D$329,0),MATCH('Macro Model (USD)'!Q$2,'Detailed Model (LCY)'!$D$2:$XFD$2,0))</f>
        <v>158.6328202270671</v>
      </c>
    </row>
    <row r="235" spans="1:82" outlineLevel="1">
      <c r="C235" s="5" t="s">
        <v>199</v>
      </c>
      <c r="H235" s="431">
        <f ca="1">INDEX('Detailed Model (LCY)'!$D$2:$XFD$329,MATCH('Macro Model (USD)'!$C235,'Detailed Model (LCY)'!$D$2:$D$329,0),MATCH('Macro Model (USD)'!H$2,'Detailed Model (LCY)'!$D$2:$XFD$2,0))</f>
        <v>57.336949707315704</v>
      </c>
      <c r="I235" s="431">
        <f ca="1">INDEX('Detailed Model (LCY)'!$D$2:$XFD$329,MATCH('Macro Model (USD)'!$C235,'Detailed Model (LCY)'!$D$2:$D$329,0),MATCH('Macro Model (USD)'!I$2,'Detailed Model (LCY)'!$D$2:$XFD$2,0))</f>
        <v>70.445055476910824</v>
      </c>
      <c r="J235" s="431">
        <f ca="1">INDEX('Detailed Model (LCY)'!$D$2:$XFD$329,MATCH('Macro Model (USD)'!$C235,'Detailed Model (LCY)'!$D$2:$D$329,0),MATCH('Macro Model (USD)'!J$2,'Detailed Model (LCY)'!$D$2:$XFD$2,0))</f>
        <v>70.93315388387694</v>
      </c>
      <c r="K235" s="431">
        <f ca="1">INDEX('Detailed Model (LCY)'!$D$2:$XFD$329,MATCH('Macro Model (USD)'!$C235,'Detailed Model (LCY)'!$D$2:$D$329,0),MATCH('Macro Model (USD)'!K$2,'Detailed Model (LCY)'!$D$2:$XFD$2,0))</f>
        <v>77.010830712066479</v>
      </c>
      <c r="L235" s="431">
        <f ca="1">INDEX('Detailed Model (LCY)'!$D$2:$XFD$329,MATCH('Macro Model (USD)'!$C235,'Detailed Model (LCY)'!$D$2:$D$329,0),MATCH('Macro Model (USD)'!L$2,'Detailed Model (LCY)'!$D$2:$XFD$2,0))</f>
        <v>79.082205470173378</v>
      </c>
      <c r="M235" s="431">
        <f ca="1">INDEX('Detailed Model (LCY)'!$D$2:$XFD$329,MATCH('Macro Model (USD)'!$C235,'Detailed Model (LCY)'!$D$2:$D$329,0),MATCH('Macro Model (USD)'!M$2,'Detailed Model (LCY)'!$D$2:$XFD$2,0))</f>
        <v>74.025697582217049</v>
      </c>
      <c r="N235" s="431">
        <f ca="1">INDEX('Detailed Model (LCY)'!$D$2:$XFD$329,MATCH('Macro Model (USD)'!$C235,'Detailed Model (LCY)'!$D$2:$D$329,0),MATCH('Macro Model (USD)'!N$2,'Detailed Model (LCY)'!$D$2:$XFD$2,0))</f>
        <v>78.166621002992699</v>
      </c>
      <c r="O235" s="431">
        <f ca="1">INDEX('Detailed Model (LCY)'!$D$2:$XFD$329,MATCH('Macro Model (USD)'!$C235,'Detailed Model (LCY)'!$D$2:$D$329,0),MATCH('Macro Model (USD)'!O$2,'Detailed Model (LCY)'!$D$2:$XFD$2,0))</f>
        <v>78.980735467238574</v>
      </c>
      <c r="P235" s="431">
        <f ca="1">INDEX('Detailed Model (LCY)'!$D$2:$XFD$329,MATCH('Macro Model (USD)'!$C235,'Detailed Model (LCY)'!$D$2:$D$329,0),MATCH('Macro Model (USD)'!P$2,'Detailed Model (LCY)'!$D$2:$XFD$2,0))</f>
        <v>79.274815351610897</v>
      </c>
      <c r="Q235" s="431">
        <f ca="1">INDEX('Detailed Model (LCY)'!$D$2:$XFD$329,MATCH('Macro Model (USD)'!$C235,'Detailed Model (LCY)'!$D$2:$D$329,0),MATCH('Macro Model (USD)'!Q$2,'Detailed Model (LCY)'!$D$2:$XFD$2,0))</f>
        <v>79.31641011353355</v>
      </c>
    </row>
    <row r="236" spans="1:82" outlineLevel="1">
      <c r="C236" s="5" t="s">
        <v>200</v>
      </c>
      <c r="H236" s="431">
        <f ca="1">INDEX('Detailed Model (LCY)'!$D$2:$XFD$329,MATCH('Macro Model (USD)'!$C236,'Detailed Model (LCY)'!$D$2:$D$329,0),MATCH('Macro Model (USD)'!H$2,'Detailed Model (LCY)'!$D$2:$XFD$2,0))</f>
        <v>2018.5153964797214</v>
      </c>
      <c r="I236" s="431">
        <f ca="1">INDEX('Detailed Model (LCY)'!$D$2:$XFD$329,MATCH('Macro Model (USD)'!$C236,'Detailed Model (LCY)'!$D$2:$D$329,0),MATCH('Macro Model (USD)'!I$2,'Detailed Model (LCY)'!$D$2:$XFD$2,0))</f>
        <v>3091.7372951183293</v>
      </c>
      <c r="J236" s="431">
        <f ca="1">INDEX('Detailed Model (LCY)'!$D$2:$XFD$329,MATCH('Macro Model (USD)'!$C236,'Detailed Model (LCY)'!$D$2:$D$329,0),MATCH('Macro Model (USD)'!J$2,'Detailed Model (LCY)'!$D$2:$XFD$2,0))</f>
        <v>4476.9623624344958</v>
      </c>
      <c r="K236" s="431">
        <f ca="1">INDEX('Detailed Model (LCY)'!$D$2:$XFD$329,MATCH('Macro Model (USD)'!$C236,'Detailed Model (LCY)'!$D$2:$D$329,0),MATCH('Macro Model (USD)'!K$2,'Detailed Model (LCY)'!$D$2:$XFD$2,0))</f>
        <v>6235.0620280853609</v>
      </c>
      <c r="L236" s="431">
        <f ca="1">INDEX('Detailed Model (LCY)'!$D$2:$XFD$329,MATCH('Macro Model (USD)'!$C236,'Detailed Model (LCY)'!$D$2:$D$329,0),MATCH('Macro Model (USD)'!L$2,'Detailed Model (LCY)'!$D$2:$XFD$2,0))</f>
        <v>8466.511641263709</v>
      </c>
      <c r="M236" s="431">
        <f ca="1">INDEX('Detailed Model (LCY)'!$D$2:$XFD$329,MATCH('Macro Model (USD)'!$C236,'Detailed Model (LCY)'!$D$2:$D$329,0),MATCH('Macro Model (USD)'!M$2,'Detailed Model (LCY)'!$D$2:$XFD$2,0))</f>
        <v>10967.02740603753</v>
      </c>
      <c r="N236" s="431">
        <f ca="1">INDEX('Detailed Model (LCY)'!$D$2:$XFD$329,MATCH('Macro Model (USD)'!$C236,'Detailed Model (LCY)'!$D$2:$D$329,0),MATCH('Macro Model (USD)'!N$2,'Detailed Model (LCY)'!$D$2:$XFD$2,0))</f>
        <v>13500.504475463344</v>
      </c>
      <c r="O236" s="431">
        <f ca="1">INDEX('Detailed Model (LCY)'!$D$2:$XFD$329,MATCH('Macro Model (USD)'!$C236,'Detailed Model (LCY)'!$D$2:$D$329,0),MATCH('Macro Model (USD)'!O$2,'Detailed Model (LCY)'!$D$2:$XFD$2,0))</f>
        <v>16051.690580112781</v>
      </c>
      <c r="P236" s="431">
        <f ca="1">INDEX('Detailed Model (LCY)'!$D$2:$XFD$329,MATCH('Macro Model (USD)'!$C236,'Detailed Model (LCY)'!$D$2:$D$329,0),MATCH('Macro Model (USD)'!P$2,'Detailed Model (LCY)'!$D$2:$XFD$2,0))</f>
        <v>18605.500335800505</v>
      </c>
      <c r="Q236" s="431">
        <f ca="1">INDEX('Detailed Model (LCY)'!$D$2:$XFD$329,MATCH('Macro Model (USD)'!$C236,'Detailed Model (LCY)'!$D$2:$D$329,0),MATCH('Macro Model (USD)'!Q$2,'Detailed Model (LCY)'!$D$2:$XFD$2,0))</f>
        <v>21160.666304670518</v>
      </c>
    </row>
    <row r="238" spans="1:82" s="163" customFormat="1">
      <c r="A238" s="160" t="s">
        <v>40</v>
      </c>
      <c r="B238" s="338"/>
      <c r="C238" s="161"/>
      <c r="D238" s="161"/>
      <c r="E238" s="161"/>
      <c r="F238" s="161"/>
      <c r="G238" s="161"/>
      <c r="H238" s="161"/>
      <c r="I238" s="161"/>
      <c r="J238" s="161"/>
      <c r="K238" s="339"/>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c r="BP238" s="161"/>
      <c r="BQ238" s="161"/>
      <c r="BR238" s="161"/>
      <c r="BS238" s="161"/>
      <c r="BT238" s="161"/>
      <c r="BU238" s="161"/>
      <c r="BV238" s="161"/>
      <c r="BW238" s="161"/>
      <c r="BX238" s="161"/>
      <c r="BY238" s="161"/>
      <c r="BZ238" s="161"/>
      <c r="CA238" s="161"/>
      <c r="CB238" s="161"/>
      <c r="CC238" s="161"/>
      <c r="CD238" s="161"/>
    </row>
  </sheetData>
  <sheetProtection sheet="1" objects="1" scenarios="1"/>
  <scenarios current="0" sqref="H120">
    <scenario name="Worst case" locked="1" count="8" user="lea bouguern" comment="Created by lea bouguern on 13/08/2020">
      <inputCells r="M18" val="42458,4575686467"/>
      <inputCells r="M33" val="12023076,8395773"/>
      <inputCells r="M62" val="-5106694,60677176"/>
      <inputCells r="M99" val="-4385433,59824772"/>
      <inputCells r="M101" val="2530948,63455786"/>
      <inputCells r="M115" val="1603129,2054617"/>
      <inputCells r="M232" val="111267,966696824"/>
      <inputCells r="M236" val="14464,8356705871"/>
    </scenario>
    <scenario name="Base case" locked="1" count="8" user="lea bouguern" comment="Created by lea bouguern on 13/08/2020">
      <inputCells r="M18" val="54735,8107282106"/>
      <inputCells r="M33" val="16338649,1956106"/>
      <inputCells r="M62" val="-6485156,70132401"/>
      <inputCells r="M99" val="-4152821,75468954"/>
      <inputCells r="M101" val="5700670,73959706"/>
      <inputCells r="M115" val="3713998,0574741"/>
      <inputCells r="M232" val="134723,453062756"/>
      <inputCells r="M236" val="17514,0488981583"/>
    </scenario>
    <scenario name="Best case" locked="1" count="8" user="lea bouguern" comment="Created by lea bouguern on 13/08/2020">
      <inputCells r="M18" val="71023,756513701"/>
      <inputCells r="M33" val="21476572,9866487"/>
      <inputCells r="M62" val="-8285921,07211518"/>
      <inputCells r="M99" val="-5405029,35831124"/>
      <inputCells r="M101" val="7785622,55622226"/>
      <inputCells r="M115" val="5207510,04814092"/>
      <inputCells r="M232" val="164663,058231761"/>
      <inputCells r="M236" val="21406,1975701289"/>
    </scenario>
  </scenarios>
  <conditionalFormatting sqref="K238">
    <cfRule type="colorScale" priority="4">
      <colorScale>
        <cfvo type="num" val="0"/>
        <cfvo type="num" val="1"/>
        <color rgb="FF00B050"/>
        <color rgb="FFFFC000"/>
      </colorScale>
    </cfRule>
  </conditionalFormatting>
  <conditionalFormatting sqref="C6:C9">
    <cfRule type="endsWith" dxfId="8" priority="1" operator="endsWith" text="best case">
      <formula>RIGHT(C6,LEN("best case"))="best case"</formula>
    </cfRule>
    <cfRule type="endsWith" dxfId="7" priority="2" operator="endsWith" text="worst case">
      <formula>RIGHT(C6,LEN("worst case"))="worst case"</formula>
    </cfRule>
    <cfRule type="endsWith" dxfId="6" priority="3" operator="endsWith" text="base">
      <formula>RIGHT(C6,LEN("base"))="base"</formula>
    </cfRule>
  </conditionalFormatting>
  <dataValidations count="1">
    <dataValidation allowBlank="1" showErrorMessage="1" sqref="C106:C109 C225:C229 C113:C116 C219:C223 C119:C124" xr:uid="{00576EAA-338A-4746-82E4-5D267A86B792}"/>
  </dataValidations>
  <hyperlinks>
    <hyperlink ref="B3" location="'Cover page'!A1" display="Cover page" xr:uid="{329DA21E-FC8A-429A-934B-BAEBDB4078CA}"/>
  </hyperlinks>
  <pageMargins left="0.7" right="0.7" top="0.75" bottom="0.75" header="0.3" footer="0.3"/>
  <pageSetup scale="48" orientation="portrait" horizontalDpi="1200" verticalDpi="1200" r:id="rId1"/>
  <rowBreaks count="1" manualBreakCount="1">
    <brk id="124" max="11"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B261-7989-4B56-B6AB-AC318F2F1128}">
  <sheetPr>
    <tabColor theme="8" tint="0.59999389629810485"/>
  </sheetPr>
  <dimension ref="A1:V74"/>
  <sheetViews>
    <sheetView showGridLines="0" topLeftCell="A37" zoomScale="80" zoomScaleNormal="80" workbookViewId="0">
      <selection activeCell="E76" sqref="E76"/>
    </sheetView>
  </sheetViews>
  <sheetFormatPr defaultColWidth="8.77734375" defaultRowHeight="13.8" outlineLevelRow="1" outlineLevelCol="1"/>
  <cols>
    <col min="1" max="1" width="6" style="5" customWidth="1"/>
    <col min="2" max="2" width="53" style="5" bestFit="1" customWidth="1"/>
    <col min="3" max="4" width="42.44140625" style="5" hidden="1" customWidth="1" outlineLevel="1"/>
    <col min="5" max="5" width="20.44140625" style="5" customWidth="1" collapsed="1"/>
    <col min="6" max="9" width="20.44140625" style="5" customWidth="1"/>
    <col min="10" max="10" width="18.44140625" style="5" customWidth="1"/>
    <col min="11" max="15" width="18.44140625" style="5" hidden="1" customWidth="1" outlineLevel="1"/>
    <col min="16" max="16" width="18.44140625" style="5" customWidth="1" collapsed="1"/>
    <col min="17" max="21" width="18.44140625" style="5" hidden="1" customWidth="1" outlineLevel="1"/>
    <col min="22" max="22" width="8.77734375" style="5" collapsed="1"/>
    <col min="23" max="16384" width="8.77734375" style="5"/>
  </cols>
  <sheetData>
    <row r="1" spans="1:17" s="277" customFormat="1">
      <c r="B1" s="276" t="str">
        <f>+Flags!B1</f>
        <v>[Company name]</v>
      </c>
      <c r="C1" s="276"/>
      <c r="D1" s="276"/>
    </row>
    <row r="2" spans="1:17" s="277" customFormat="1">
      <c r="B2" s="276" t="str">
        <f ca="1">RIGHT(CELL("filename",$B$1),LEN(CELL("filename",$B$1))-SEARCH("]",CELL("filename",$B$1)))</f>
        <v>Unit economics (LCY)</v>
      </c>
      <c r="C2" s="276"/>
      <c r="D2" s="276"/>
    </row>
    <row r="3" spans="1:17" s="277" customFormat="1">
      <c r="B3" s="164" t="s">
        <v>72</v>
      </c>
      <c r="C3" s="164"/>
      <c r="D3" s="164"/>
    </row>
    <row r="4" spans="1:17" s="539" customFormat="1" outlineLevel="1">
      <c r="B4" s="544" t="str">
        <f ca="1">IF(MasterCheck=0,"All checks are OK","There are "&amp;MasterCheck&amp;" errors!")</f>
        <v>All checks are OK</v>
      </c>
    </row>
    <row r="5" spans="1:17" outlineLevel="1"/>
    <row r="6" spans="1:17" s="120" customFormat="1" outlineLevel="1">
      <c r="A6" s="5"/>
      <c r="B6" s="85" t="s">
        <v>490</v>
      </c>
      <c r="C6" s="85"/>
      <c r="D6" s="85"/>
    </row>
    <row r="7" spans="1:17" outlineLevel="1">
      <c r="E7" s="5">
        <f t="shared" ref="E7:J7" si="0">YEAR(E9)</f>
        <v>2023</v>
      </c>
      <c r="F7" s="5">
        <f t="shared" si="0"/>
        <v>2024</v>
      </c>
      <c r="G7" s="5">
        <f t="shared" si="0"/>
        <v>2025</v>
      </c>
      <c r="H7" s="5">
        <f t="shared" si="0"/>
        <v>2026</v>
      </c>
      <c r="I7" s="5">
        <f t="shared" si="0"/>
        <v>2027</v>
      </c>
      <c r="J7" s="5">
        <f t="shared" si="0"/>
        <v>2028</v>
      </c>
    </row>
    <row r="8" spans="1:17" outlineLevel="1">
      <c r="E8" s="307">
        <f>Flags!J21</f>
        <v>44927</v>
      </c>
      <c r="F8" s="307">
        <f>E9+1</f>
        <v>45292</v>
      </c>
      <c r="G8" s="307">
        <f>F9+1</f>
        <v>45658</v>
      </c>
      <c r="H8" s="307">
        <f>G9+1</f>
        <v>46023</v>
      </c>
      <c r="I8" s="307">
        <f>H9+1</f>
        <v>46388</v>
      </c>
      <c r="J8" s="307">
        <f>I9+1</f>
        <v>46753</v>
      </c>
    </row>
    <row r="9" spans="1:17" outlineLevel="1">
      <c r="B9" s="37" t="s">
        <v>491</v>
      </c>
      <c r="E9" s="307">
        <f t="shared" ref="E9:J9" si="1">EDATE(E8,_monthsinyear-MONTH(E8)+1)-1</f>
        <v>45291</v>
      </c>
      <c r="F9" s="307">
        <f t="shared" si="1"/>
        <v>45657</v>
      </c>
      <c r="G9" s="307">
        <f t="shared" si="1"/>
        <v>46022</v>
      </c>
      <c r="H9" s="307">
        <f t="shared" si="1"/>
        <v>46387</v>
      </c>
      <c r="I9" s="307">
        <f t="shared" si="1"/>
        <v>46752</v>
      </c>
      <c r="J9" s="307">
        <f t="shared" si="1"/>
        <v>47118</v>
      </c>
      <c r="K9" s="493"/>
      <c r="L9" s="493"/>
      <c r="M9" s="493"/>
      <c r="N9" s="493"/>
      <c r="O9" s="493"/>
      <c r="P9" s="493"/>
      <c r="Q9" s="493"/>
    </row>
    <row r="10" spans="1:17" outlineLevel="1">
      <c r="B10" s="9" t="str">
        <f>'Model Assumptions'!$G$24</f>
        <v>Product 1</v>
      </c>
      <c r="C10" s="213" t="s">
        <v>269</v>
      </c>
      <c r="D10" s="213"/>
      <c r="E10" s="25">
        <f ca="1">INDEX('Detailed Model (LCY)'!$F$2:$CC$93,MATCH('Unit economics (LCY)'!$C10,'Detailed Model (LCY)'!$F$2:$F$93,0),MATCH('Unit economics (LCY)'!E$9,'Detailed Model (LCY)'!$F$2:$CC$2,0))</f>
        <v>0</v>
      </c>
      <c r="F10" s="25">
        <f ca="1">INDEX('Detailed Model (LCY)'!$F$2:$CC$93,MATCH('Unit economics (LCY)'!$C10,'Detailed Model (LCY)'!$F$2:$F$93,0),MATCH('Unit economics (LCY)'!F$9,'Detailed Model (LCY)'!$F$2:$CC$2,0))</f>
        <v>0</v>
      </c>
      <c r="G10" s="25">
        <f ca="1">INDEX('Detailed Model (LCY)'!$F$2:$CC$93,MATCH('Unit economics (LCY)'!$C10,'Detailed Model (LCY)'!$F$2:$F$93,0),MATCH('Unit economics (LCY)'!G$9,'Detailed Model (LCY)'!$F$2:$CC$2,0))</f>
        <v>0</v>
      </c>
      <c r="H10" s="25">
        <f ca="1">INDEX('Detailed Model (LCY)'!$F$2:$CC$93,MATCH('Unit economics (LCY)'!$C10,'Detailed Model (LCY)'!$F$2:$F$93,0),MATCH('Unit economics (LCY)'!H$9,'Detailed Model (LCY)'!$F$2:$CC$2,0))</f>
        <v>0</v>
      </c>
      <c r="I10" s="25">
        <f ca="1">INDEX('Detailed Model (LCY)'!$F$2:$CC$93,MATCH('Unit economics (LCY)'!$C10,'Detailed Model (LCY)'!$F$2:$F$93,0),MATCH('Unit economics (LCY)'!I$9,'Detailed Model (LCY)'!$F$2:$CC$2,0))</f>
        <v>0</v>
      </c>
      <c r="J10" s="25">
        <f ca="1">INDEX('Detailed Model (LCY)'!$F$2:$CC$93,MATCH('Unit economics (LCY)'!$C10,'Detailed Model (LCY)'!$F$2:$F$93,0),MATCH('Unit economics (LCY)'!J$9,'Detailed Model (LCY)'!$F$2:$CC$2,0))</f>
        <v>0</v>
      </c>
      <c r="K10" s="25"/>
      <c r="L10" s="25"/>
      <c r="M10" s="25"/>
      <c r="N10" s="25"/>
      <c r="O10" s="25"/>
      <c r="P10" s="25"/>
      <c r="Q10" s="25"/>
    </row>
    <row r="11" spans="1:17" outlineLevel="1">
      <c r="B11" s="9" t="str">
        <f>'Model Assumptions'!$H$24</f>
        <v>Product 2</v>
      </c>
      <c r="C11" s="213" t="s">
        <v>278</v>
      </c>
      <c r="D11" s="213"/>
      <c r="E11" s="25">
        <f ca="1">INDEX('Detailed Model (LCY)'!$F$2:$CC$93,MATCH('Unit economics (LCY)'!$C11,'Detailed Model (LCY)'!$F$2:$F$93,0),MATCH('Unit economics (LCY)'!E$9,'Detailed Model (LCY)'!$F$2:$CC$2,0))</f>
        <v>1429.3979275771164</v>
      </c>
      <c r="F11" s="25">
        <f ca="1">INDEX('Detailed Model (LCY)'!$F$2:$CC$93,MATCH('Unit economics (LCY)'!$C11,'Detailed Model (LCY)'!$F$2:$F$93,0),MATCH('Unit economics (LCY)'!F$9,'Detailed Model (LCY)'!$F$2:$CC$2,0))</f>
        <v>1810.898566840192</v>
      </c>
      <c r="G11" s="25">
        <f ca="1">INDEX('Detailed Model (LCY)'!$F$2:$CC$93,MATCH('Unit economics (LCY)'!$C11,'Detailed Model (LCY)'!$F$2:$F$93,0),MATCH('Unit economics (LCY)'!G$9,'Detailed Model (LCY)'!$F$2:$CC$2,0))</f>
        <v>2282.1199828248878</v>
      </c>
      <c r="H11" s="25">
        <f ca="1">INDEX('Detailed Model (LCY)'!$F$2:$CC$93,MATCH('Unit economics (LCY)'!$C11,'Detailed Model (LCY)'!$F$2:$F$93,0),MATCH('Unit economics (LCY)'!H$9,'Detailed Model (LCY)'!$F$2:$CC$2,0))</f>
        <v>2880.2569042170544</v>
      </c>
      <c r="I11" s="25">
        <f ca="1">INDEX('Detailed Model (LCY)'!$F$2:$CC$93,MATCH('Unit economics (LCY)'!$C11,'Detailed Model (LCY)'!$F$2:$F$93,0),MATCH('Unit economics (LCY)'!I$9,'Detailed Model (LCY)'!$F$2:$CC$2,0))</f>
        <v>3640.3315563518659</v>
      </c>
      <c r="J11" s="25">
        <f ca="1">INDEX('Detailed Model (LCY)'!$F$2:$CC$93,MATCH('Unit economics (LCY)'!$C11,'Detailed Model (LCY)'!$F$2:$F$93,0),MATCH('Unit economics (LCY)'!J$9,'Detailed Model (LCY)'!$F$2:$CC$2,0))</f>
        <v>4073.6453788125013</v>
      </c>
      <c r="K11" s="25"/>
      <c r="L11" s="25"/>
      <c r="M11" s="25"/>
      <c r="N11" s="25"/>
      <c r="O11" s="25"/>
      <c r="P11" s="25"/>
      <c r="Q11" s="25"/>
    </row>
    <row r="12" spans="1:17" outlineLevel="1">
      <c r="B12" s="9" t="str">
        <f>'Model Assumptions'!$I$24</f>
        <v>Product 3</v>
      </c>
      <c r="C12" s="213" t="s">
        <v>287</v>
      </c>
      <c r="D12" s="213"/>
      <c r="E12" s="25">
        <f ca="1">INDEX('Detailed Model (LCY)'!$F$2:$CC$93,MATCH('Unit economics (LCY)'!$C12,'Detailed Model (LCY)'!$F$2:$F$93,0),MATCH('Unit economics (LCY)'!E$9,'Detailed Model (LCY)'!$F$2:$CC$2,0))</f>
        <v>1156.565899457883</v>
      </c>
      <c r="F12" s="25">
        <f ca="1">INDEX('Detailed Model (LCY)'!$F$2:$CC$93,MATCH('Unit economics (LCY)'!$C12,'Detailed Model (LCY)'!$F$2:$F$93,0),MATCH('Unit economics (LCY)'!F$9,'Detailed Model (LCY)'!$F$2:$CC$2,0))</f>
        <v>1646.751495132977</v>
      </c>
      <c r="G12" s="25">
        <f ca="1">INDEX('Detailed Model (LCY)'!$F$2:$CC$93,MATCH('Unit economics (LCY)'!$C12,'Detailed Model (LCY)'!$F$2:$F$93,0),MATCH('Unit economics (LCY)'!G$9,'Detailed Model (LCY)'!$F$2:$CC$2,0))</f>
        <v>2189.2766582951035</v>
      </c>
      <c r="H12" s="25">
        <f ca="1">INDEX('Detailed Model (LCY)'!$F$2:$CC$93,MATCH('Unit economics (LCY)'!$C12,'Detailed Model (LCY)'!$F$2:$F$93,0),MATCH('Unit economics (LCY)'!H$9,'Detailed Model (LCY)'!$F$2:$CC$2,0))</f>
        <v>2763.1425933387854</v>
      </c>
      <c r="I12" s="25">
        <f ca="1">INDEX('Detailed Model (LCY)'!$F$2:$CC$93,MATCH('Unit economics (LCY)'!$C12,'Detailed Model (LCY)'!$F$2:$F$93,0),MATCH('Unit economics (LCY)'!I$9,'Detailed Model (LCY)'!$F$2:$CC$2,0))</f>
        <v>3496.4666915298167</v>
      </c>
      <c r="J12" s="25">
        <f ca="1">INDEX('Detailed Model (LCY)'!$F$2:$CC$93,MATCH('Unit economics (LCY)'!$C12,'Detailed Model (LCY)'!$F$2:$F$93,0),MATCH('Unit economics (LCY)'!J$9,'Detailed Model (LCY)'!$F$2:$CC$2,0))</f>
        <v>4147.2140045731276</v>
      </c>
      <c r="K12" s="25"/>
      <c r="L12" s="25"/>
      <c r="M12" s="25"/>
      <c r="N12" s="25"/>
      <c r="O12" s="25"/>
      <c r="P12" s="25"/>
      <c r="Q12" s="25"/>
    </row>
    <row r="13" spans="1:17" outlineLevel="1">
      <c r="B13" s="9" t="str">
        <f>'Model Assumptions'!$J$24</f>
        <v>Product 4</v>
      </c>
      <c r="C13" s="213" t="s">
        <v>260</v>
      </c>
      <c r="D13" s="213"/>
      <c r="E13" s="25">
        <f ca="1">INDEX('Detailed Model (LCY)'!$F$2:$CC$93,MATCH('Unit economics (LCY)'!$C13,'Detailed Model (LCY)'!$F$2:$F$93,0),MATCH('Unit economics (LCY)'!E$9,'Detailed Model (LCY)'!$F$2:$CC$2,0))</f>
        <v>4251.5513094805056</v>
      </c>
      <c r="F13" s="25">
        <f ca="1">INDEX('Detailed Model (LCY)'!$F$2:$CC$93,MATCH('Unit economics (LCY)'!$C13,'Detailed Model (LCY)'!$F$2:$F$93,0),MATCH('Unit economics (LCY)'!F$9,'Detailed Model (LCY)'!$F$2:$CC$2,0))</f>
        <v>6057.4313628836289</v>
      </c>
      <c r="G13" s="25">
        <f ca="1">INDEX('Detailed Model (LCY)'!$F$2:$CC$93,MATCH('Unit economics (LCY)'!$C13,'Detailed Model (LCY)'!$F$2:$F$93,0),MATCH('Unit economics (LCY)'!G$9,'Detailed Model (LCY)'!$F$2:$CC$2,0))</f>
        <v>7630.7252270047202</v>
      </c>
      <c r="H13" s="25">
        <f ca="1">INDEX('Detailed Model (LCY)'!$F$2:$CC$93,MATCH('Unit economics (LCY)'!$C13,'Detailed Model (LCY)'!$F$2:$F$93,0),MATCH('Unit economics (LCY)'!H$9,'Detailed Model (LCY)'!$F$2:$CC$2,0))</f>
        <v>9653.0648561948165</v>
      </c>
      <c r="I13" s="25">
        <f ca="1">INDEX('Detailed Model (LCY)'!$F$2:$CC$93,MATCH('Unit economics (LCY)'!$C13,'Detailed Model (LCY)'!$F$2:$F$93,0),MATCH('Unit economics (LCY)'!I$9,'Detailed Model (LCY)'!$F$2:$CC$2,0))</f>
        <v>12170.275580990206</v>
      </c>
      <c r="J13" s="25">
        <f ca="1">INDEX('Detailed Model (LCY)'!$F$2:$CC$93,MATCH('Unit economics (LCY)'!$C13,'Detailed Model (LCY)'!$F$2:$F$93,0),MATCH('Unit economics (LCY)'!J$9,'Detailed Model (LCY)'!$F$2:$CC$2,0))</f>
        <v>14308.448292244397</v>
      </c>
      <c r="K13" s="25"/>
      <c r="L13" s="25"/>
      <c r="M13" s="25"/>
      <c r="N13" s="25"/>
      <c r="O13" s="25"/>
      <c r="P13" s="25"/>
      <c r="Q13" s="25"/>
    </row>
    <row r="14" spans="1:17" outlineLevel="1">
      <c r="B14" s="9" t="str">
        <f>'Model Assumptions'!$K$24</f>
        <v>Product 5</v>
      </c>
      <c r="C14" s="213" t="s">
        <v>224</v>
      </c>
      <c r="D14" s="213"/>
      <c r="E14" s="25">
        <f ca="1">INDEX('Detailed Model (LCY)'!$F$2:$CC$93,MATCH('Unit economics (LCY)'!$C14,'Detailed Model (LCY)'!$F$2:$F$93,0),MATCH('Unit economics (LCY)'!E$9,'Detailed Model (LCY)'!$F$2:$CC$2,0))</f>
        <v>1353.4776788153104</v>
      </c>
      <c r="F14" s="25">
        <f ca="1">INDEX('Detailed Model (LCY)'!$F$2:$CC$93,MATCH('Unit economics (LCY)'!$C14,'Detailed Model (LCY)'!$F$2:$F$93,0),MATCH('Unit economics (LCY)'!F$9,'Detailed Model (LCY)'!$F$2:$CC$2,0))</f>
        <v>2812.8032836025959</v>
      </c>
      <c r="G14" s="25">
        <f ca="1">INDEX('Detailed Model (LCY)'!$F$2:$CC$93,MATCH('Unit economics (LCY)'!$C14,'Detailed Model (LCY)'!$F$2:$F$93,0),MATCH('Unit economics (LCY)'!G$9,'Detailed Model (LCY)'!$F$2:$CC$2,0))</f>
        <v>3660.8012171812725</v>
      </c>
      <c r="H14" s="25">
        <f ca="1">INDEX('Detailed Model (LCY)'!$F$2:$CC$93,MATCH('Unit economics (LCY)'!$C14,'Detailed Model (LCY)'!$F$2:$F$93,0),MATCH('Unit economics (LCY)'!H$9,'Detailed Model (LCY)'!$F$2:$CC$2,0))</f>
        <v>4726.3516313866294</v>
      </c>
      <c r="I14" s="25">
        <f ca="1">INDEX('Detailed Model (LCY)'!$F$2:$CC$93,MATCH('Unit economics (LCY)'!$C14,'Detailed Model (LCY)'!$F$2:$F$93,0),MATCH('Unit economics (LCY)'!I$9,'Detailed Model (LCY)'!$F$2:$CC$2,0))</f>
        <v>5999.2319215835923</v>
      </c>
      <c r="J14" s="25">
        <f ca="1">INDEX('Detailed Model (LCY)'!$F$2:$CC$93,MATCH('Unit economics (LCY)'!$C14,'Detailed Model (LCY)'!$F$2:$F$93,0),MATCH('Unit economics (LCY)'!J$9,'Detailed Model (LCY)'!$F$2:$CC$2,0))</f>
        <v>7080.9713572567925</v>
      </c>
      <c r="K14" s="25"/>
      <c r="L14" s="25"/>
      <c r="M14" s="25"/>
      <c r="N14" s="25"/>
      <c r="O14" s="25"/>
      <c r="P14" s="25"/>
      <c r="Q14" s="25"/>
    </row>
    <row r="15" spans="1:17" outlineLevel="1">
      <c r="B15" s="497" t="str">
        <f>'Model Assumptions'!$G$24</f>
        <v>Product 1</v>
      </c>
      <c r="E15" s="495">
        <f t="shared" ref="E15:J15" ca="1" si="2">E10/SUM(E$10:E$14)</f>
        <v>0</v>
      </c>
      <c r="F15" s="495">
        <f t="shared" ca="1" si="2"/>
        <v>0</v>
      </c>
      <c r="G15" s="495">
        <f t="shared" ca="1" si="2"/>
        <v>0</v>
      </c>
      <c r="H15" s="495">
        <f t="shared" ca="1" si="2"/>
        <v>0</v>
      </c>
      <c r="I15" s="495">
        <f t="shared" ca="1" si="2"/>
        <v>0</v>
      </c>
      <c r="J15" s="495">
        <f t="shared" ca="1" si="2"/>
        <v>0</v>
      </c>
      <c r="K15" s="495"/>
      <c r="L15" s="495"/>
      <c r="M15" s="495"/>
      <c r="N15" s="495"/>
      <c r="O15" s="495"/>
      <c r="P15" s="495"/>
      <c r="Q15" s="495"/>
    </row>
    <row r="16" spans="1:17" outlineLevel="1">
      <c r="B16" s="497" t="str">
        <f>'Model Assumptions'!$H$24</f>
        <v>Product 2</v>
      </c>
      <c r="E16" s="495">
        <f t="shared" ref="E16:J16" ca="1" si="3">E11/SUM(E$10:E$14)</f>
        <v>0.174508507064218</v>
      </c>
      <c r="F16" s="495">
        <f t="shared" ca="1" si="3"/>
        <v>0.14689450864166123</v>
      </c>
      <c r="G16" s="495">
        <f t="shared" ca="1" si="3"/>
        <v>0.14477771479785076</v>
      </c>
      <c r="H16" s="495">
        <f t="shared" ca="1" si="3"/>
        <v>0.14384874267211153</v>
      </c>
      <c r="I16" s="495">
        <f t="shared" ca="1" si="3"/>
        <v>0.1438507695374045</v>
      </c>
      <c r="J16" s="495">
        <f t="shared" ca="1" si="3"/>
        <v>0.13757537962705738</v>
      </c>
      <c r="K16" s="495"/>
      <c r="L16" s="495"/>
      <c r="M16" s="495"/>
      <c r="N16" s="495"/>
      <c r="O16" s="495"/>
      <c r="P16" s="495"/>
      <c r="Q16" s="495"/>
    </row>
    <row r="17" spans="2:17" outlineLevel="1">
      <c r="B17" s="497" t="str">
        <f>'Model Assumptions'!$I$24</f>
        <v>Product 3</v>
      </c>
      <c r="E17" s="495">
        <f t="shared" ref="E17:J17" ca="1" si="4">E12/SUM(E$10:E$14)</f>
        <v>0.14119972090479388</v>
      </c>
      <c r="F17" s="495">
        <f t="shared" ca="1" si="4"/>
        <v>0.13357940425927053</v>
      </c>
      <c r="G17" s="495">
        <f t="shared" ca="1" si="4"/>
        <v>0.13888773335041657</v>
      </c>
      <c r="H17" s="495">
        <f t="shared" ca="1" si="4"/>
        <v>0.13799969971206028</v>
      </c>
      <c r="I17" s="495">
        <f t="shared" ca="1" si="4"/>
        <v>0.1381658281539922</v>
      </c>
      <c r="J17" s="495">
        <f t="shared" ca="1" si="4"/>
        <v>0.14005994337192842</v>
      </c>
      <c r="K17" s="495"/>
      <c r="L17" s="495"/>
      <c r="M17" s="495"/>
      <c r="N17" s="495"/>
      <c r="O17" s="495"/>
      <c r="P17" s="495"/>
      <c r="Q17" s="495"/>
    </row>
    <row r="18" spans="2:17" outlineLevel="1">
      <c r="B18" s="497" t="str">
        <f>'Model Assumptions'!$J$24</f>
        <v>Product 4</v>
      </c>
      <c r="E18" s="495">
        <f t="shared" ref="E18:J18" ca="1" si="5">E13/SUM(E$10:E$14)</f>
        <v>0.51905201302618831</v>
      </c>
      <c r="F18" s="495">
        <f t="shared" ca="1" si="5"/>
        <v>0.49136015676128281</v>
      </c>
      <c r="G18" s="495">
        <f t="shared" ca="1" si="5"/>
        <v>0.48409328559865866</v>
      </c>
      <c r="H18" s="495">
        <f t="shared" ca="1" si="5"/>
        <v>0.48210325976926421</v>
      </c>
      <c r="I18" s="495">
        <f t="shared" ca="1" si="5"/>
        <v>0.48091869674700177</v>
      </c>
      <c r="J18" s="495">
        <f t="shared" ca="1" si="5"/>
        <v>0.48322571618972726</v>
      </c>
      <c r="K18" s="495"/>
      <c r="L18" s="495"/>
      <c r="M18" s="495"/>
      <c r="N18" s="495"/>
      <c r="O18" s="495"/>
      <c r="P18" s="495"/>
      <c r="Q18" s="495"/>
    </row>
    <row r="19" spans="2:17" outlineLevel="1">
      <c r="B19" s="497" t="str">
        <f>'Model Assumptions'!$K$24</f>
        <v>Product 5</v>
      </c>
      <c r="E19" s="495">
        <f t="shared" ref="E19:J19" ca="1" si="6">E14/SUM(E$10:E$14)</f>
        <v>0.16523975900479976</v>
      </c>
      <c r="F19" s="495">
        <f t="shared" ca="1" si="6"/>
        <v>0.2281659303377854</v>
      </c>
      <c r="G19" s="495">
        <f t="shared" ca="1" si="6"/>
        <v>0.2322412662530739</v>
      </c>
      <c r="H19" s="495">
        <f t="shared" ca="1" si="6"/>
        <v>0.23604829784656406</v>
      </c>
      <c r="I19" s="495">
        <f t="shared" ca="1" si="6"/>
        <v>0.23706470556160153</v>
      </c>
      <c r="J19" s="495">
        <f t="shared" ca="1" si="6"/>
        <v>0.23913896081128697</v>
      </c>
      <c r="K19" s="495"/>
      <c r="L19" s="495"/>
      <c r="M19" s="495"/>
      <c r="N19" s="495"/>
      <c r="O19" s="495"/>
      <c r="P19" s="495"/>
      <c r="Q19" s="495"/>
    </row>
    <row r="20" spans="2:17" outlineLevel="1">
      <c r="B20" s="494"/>
      <c r="E20" s="495"/>
      <c r="F20" s="495"/>
      <c r="G20" s="495"/>
      <c r="H20" s="495"/>
      <c r="I20" s="495"/>
      <c r="J20" s="495"/>
      <c r="K20" s="495"/>
      <c r="L20" s="495"/>
      <c r="M20" s="495"/>
      <c r="N20" s="495"/>
      <c r="O20" s="495"/>
      <c r="P20" s="495"/>
      <c r="Q20" s="495"/>
    </row>
    <row r="21" spans="2:17" outlineLevel="1">
      <c r="B21" s="37" t="s">
        <v>492</v>
      </c>
      <c r="E21" s="495"/>
      <c r="F21" s="495"/>
      <c r="G21" s="495"/>
      <c r="H21" s="495"/>
      <c r="I21" s="495"/>
      <c r="J21" s="495"/>
      <c r="K21" s="495"/>
      <c r="L21" s="495"/>
      <c r="M21" s="495"/>
      <c r="N21" s="495"/>
      <c r="O21" s="495"/>
      <c r="P21" s="495"/>
      <c r="Q21" s="495"/>
    </row>
    <row r="22" spans="2:17" outlineLevel="1">
      <c r="B22" s="9" t="str">
        <f>'Model Assumptions'!$G$24</f>
        <v>Product 1</v>
      </c>
      <c r="E22" s="25">
        <f>SUMIF('Detailed Model (LCY)'!$J$4:$CC$4,'Unit economics (LCY)'!E$7,'Detailed Model (LCY)'!$I13:$CC13)</f>
        <v>134.12089728127268</v>
      </c>
      <c r="F22" s="25">
        <f>SUMIF('Detailed Model (LCY)'!$J$4:$CC$4,'Unit economics (LCY)'!F$7,'Detailed Model (LCY)'!$I13:$CC13)</f>
        <v>170.09772745634007</v>
      </c>
      <c r="G22" s="25">
        <f>SUMIF('Detailed Model (LCY)'!$J$4:$CC$4,'Unit economics (LCY)'!G$7,'Detailed Model (LCY)'!$I13:$CC13)</f>
        <v>215.72504712023951</v>
      </c>
      <c r="H22" s="25">
        <f>SUMIF('Detailed Model (LCY)'!$J$4:$CC$4,'Unit economics (LCY)'!H$7,'Detailed Model (LCY)'!$I13:$CC13)</f>
        <v>273.59152089186222</v>
      </c>
      <c r="I22" s="25">
        <f>SUMIF('Detailed Model (LCY)'!$J$4:$CC$4,'Unit economics (LCY)'!I$7,'Detailed Model (LCY)'!$I13:$CC13)</f>
        <v>346.98020143299152</v>
      </c>
      <c r="J22" s="25">
        <f>SUMIF('Detailed Model (LCY)'!$J$4:$CC$4,'Unit economics (LCY)'!J$7,'Detailed Model (LCY)'!$I13:$CC13)</f>
        <v>393.72369460384976</v>
      </c>
      <c r="K22" s="25"/>
      <c r="L22" s="25"/>
      <c r="M22" s="25"/>
      <c r="N22" s="25"/>
      <c r="O22" s="25"/>
      <c r="P22" s="25"/>
      <c r="Q22" s="25"/>
    </row>
    <row r="23" spans="2:17" outlineLevel="1">
      <c r="B23" s="9" t="str">
        <f>'Model Assumptions'!$H$24</f>
        <v>Product 2</v>
      </c>
      <c r="E23" s="25">
        <f>SUMIF('Detailed Model (LCY)'!$J$4:$CC$4,'Unit economics (LCY)'!E$7,'Detailed Model (LCY)'!$I14:$CC14)</f>
        <v>1341.2089728127266</v>
      </c>
      <c r="F23" s="25">
        <f>SUMIF('Detailed Model (LCY)'!$J$4:$CC$4,'Unit economics (LCY)'!F$7,'Detailed Model (LCY)'!$I14:$CC14)</f>
        <v>1700.9772745634009</v>
      </c>
      <c r="G23" s="25">
        <f>SUMIF('Detailed Model (LCY)'!$J$4:$CC$4,'Unit economics (LCY)'!G$7,'Detailed Model (LCY)'!$I14:$CC14)</f>
        <v>2157.2504712023951</v>
      </c>
      <c r="H23" s="25">
        <f>SUMIF('Detailed Model (LCY)'!$J$4:$CC$4,'Unit economics (LCY)'!H$7,'Detailed Model (LCY)'!$I14:$CC14)</f>
        <v>2735.9152089186236</v>
      </c>
      <c r="I23" s="25">
        <f>SUMIF('Detailed Model (LCY)'!$J$4:$CC$4,'Unit economics (LCY)'!I$7,'Detailed Model (LCY)'!$I14:$CC14)</f>
        <v>3469.8020143299163</v>
      </c>
      <c r="J23" s="25">
        <f>SUMIF('Detailed Model (LCY)'!$J$4:$CC$4,'Unit economics (LCY)'!J$7,'Detailed Model (LCY)'!$I14:$CC14)</f>
        <v>3937.2369460384975</v>
      </c>
      <c r="K23" s="25"/>
      <c r="L23" s="25"/>
      <c r="M23" s="25"/>
      <c r="N23" s="25"/>
      <c r="O23" s="25"/>
      <c r="P23" s="25"/>
      <c r="Q23" s="25"/>
    </row>
    <row r="24" spans="2:17" outlineLevel="1">
      <c r="B24" s="9" t="str">
        <f>'Model Assumptions'!$I$24</f>
        <v>Product 3</v>
      </c>
      <c r="E24" s="25">
        <f>SUMIF('Detailed Model (LCY)'!$J$4:$CC$4,'Unit economics (LCY)'!E$7,'Detailed Model (LCY)'!$I15:$CC15)</f>
        <v>670.60448640636332</v>
      </c>
      <c r="F24" s="25">
        <f>SUMIF('Detailed Model (LCY)'!$J$4:$CC$4,'Unit economics (LCY)'!F$7,'Detailed Model (LCY)'!$I15:$CC15)</f>
        <v>850.48863728170045</v>
      </c>
      <c r="G24" s="25">
        <f>SUMIF('Detailed Model (LCY)'!$J$4:$CC$4,'Unit economics (LCY)'!G$7,'Detailed Model (LCY)'!$I15:$CC15)</f>
        <v>1078.6252356011976</v>
      </c>
      <c r="H24" s="25">
        <f>SUMIF('Detailed Model (LCY)'!$J$4:$CC$4,'Unit economics (LCY)'!H$7,'Detailed Model (LCY)'!$I15:$CC15)</f>
        <v>1367.9576044593118</v>
      </c>
      <c r="I24" s="25">
        <f>SUMIF('Detailed Model (LCY)'!$J$4:$CC$4,'Unit economics (LCY)'!I$7,'Detailed Model (LCY)'!$I15:$CC15)</f>
        <v>1734.9010071649582</v>
      </c>
      <c r="J24" s="25">
        <f>SUMIF('Detailed Model (LCY)'!$J$4:$CC$4,'Unit economics (LCY)'!J$7,'Detailed Model (LCY)'!$I15:$CC15)</f>
        <v>1968.6184730192488</v>
      </c>
      <c r="K24" s="25"/>
      <c r="L24" s="25"/>
      <c r="M24" s="25"/>
      <c r="N24" s="25"/>
      <c r="O24" s="25"/>
      <c r="P24" s="25"/>
      <c r="Q24" s="25"/>
    </row>
    <row r="25" spans="2:17" outlineLevel="1">
      <c r="B25" s="9" t="str">
        <f>'Model Assumptions'!$J$24</f>
        <v>Product 4</v>
      </c>
      <c r="E25" s="25">
        <f>SUMIF('Detailed Model (LCY)'!$J$4:$CC$4,'Unit economics (LCY)'!E$7,'Detailed Model (LCY)'!$I16:$CC16)</f>
        <v>2682.4179456254533</v>
      </c>
      <c r="F25" s="25">
        <f>SUMIF('Detailed Model (LCY)'!$J$4:$CC$4,'Unit economics (LCY)'!F$7,'Detailed Model (LCY)'!$I16:$CC16)</f>
        <v>3401.9545491268018</v>
      </c>
      <c r="G25" s="25">
        <f>SUMIF('Detailed Model (LCY)'!$J$4:$CC$4,'Unit economics (LCY)'!G$7,'Detailed Model (LCY)'!$I16:$CC16)</f>
        <v>4314.5009424047903</v>
      </c>
      <c r="H25" s="25">
        <f>SUMIF('Detailed Model (LCY)'!$J$4:$CC$4,'Unit economics (LCY)'!H$7,'Detailed Model (LCY)'!$I16:$CC16)</f>
        <v>5471.8304178372473</v>
      </c>
      <c r="I25" s="25">
        <f>SUMIF('Detailed Model (LCY)'!$J$4:$CC$4,'Unit economics (LCY)'!I$7,'Detailed Model (LCY)'!$I16:$CC16)</f>
        <v>6939.6040286598327</v>
      </c>
      <c r="J25" s="25">
        <f>SUMIF('Detailed Model (LCY)'!$J$4:$CC$4,'Unit economics (LCY)'!J$7,'Detailed Model (LCY)'!$I16:$CC16)</f>
        <v>7874.4738920769951</v>
      </c>
      <c r="K25" s="25"/>
      <c r="L25" s="25"/>
      <c r="M25" s="25"/>
      <c r="N25" s="25"/>
      <c r="O25" s="25"/>
      <c r="P25" s="25"/>
      <c r="Q25" s="25"/>
    </row>
    <row r="26" spans="2:17" outlineLevel="1">
      <c r="B26" s="9" t="str">
        <f>'Model Assumptions'!$K$24</f>
        <v>Product 5</v>
      </c>
      <c r="E26" s="25">
        <f>SUMIF('Detailed Model (LCY)'!$J$4:$CC$4,'Unit economics (LCY)'!E$7,'Detailed Model (LCY)'!$I17:$CC17)</f>
        <v>1341.2089728127266</v>
      </c>
      <c r="F26" s="25">
        <f>SUMIF('Detailed Model (LCY)'!$J$4:$CC$4,'Unit economics (LCY)'!F$7,'Detailed Model (LCY)'!$I17:$CC17)</f>
        <v>1700.9772745634009</v>
      </c>
      <c r="G26" s="25">
        <f>SUMIF('Detailed Model (LCY)'!$J$4:$CC$4,'Unit economics (LCY)'!G$7,'Detailed Model (LCY)'!$I17:$CC17)</f>
        <v>2157.2504712023951</v>
      </c>
      <c r="H26" s="25">
        <f>SUMIF('Detailed Model (LCY)'!$J$4:$CC$4,'Unit economics (LCY)'!H$7,'Detailed Model (LCY)'!$I17:$CC17)</f>
        <v>2735.9152089186236</v>
      </c>
      <c r="I26" s="25">
        <f>SUMIF('Detailed Model (LCY)'!$J$4:$CC$4,'Unit economics (LCY)'!I$7,'Detailed Model (LCY)'!$I17:$CC17)</f>
        <v>3469.8020143299163</v>
      </c>
      <c r="J26" s="25">
        <f>SUMIF('Detailed Model (LCY)'!$J$4:$CC$4,'Unit economics (LCY)'!J$7,'Detailed Model (LCY)'!$I17:$CC17)</f>
        <v>3937.2369460384975</v>
      </c>
      <c r="K26" s="25"/>
      <c r="L26" s="25"/>
      <c r="M26" s="25"/>
      <c r="N26" s="25"/>
      <c r="O26" s="25"/>
      <c r="P26" s="25"/>
      <c r="Q26" s="25"/>
    </row>
    <row r="27" spans="2:17" outlineLevel="1">
      <c r="B27" s="494" t="str">
        <f>B22</f>
        <v>Product 1</v>
      </c>
      <c r="E27" s="496">
        <f t="shared" ref="E27:J27" si="7">E22/SUM(E$22:E$26)</f>
        <v>2.1739130434782612E-2</v>
      </c>
      <c r="F27" s="496">
        <f t="shared" si="7"/>
        <v>2.1739130434782608E-2</v>
      </c>
      <c r="G27" s="496">
        <f t="shared" si="7"/>
        <v>2.1739130434782605E-2</v>
      </c>
      <c r="H27" s="496">
        <f t="shared" si="7"/>
        <v>2.1739130434782594E-2</v>
      </c>
      <c r="I27" s="496">
        <f t="shared" si="7"/>
        <v>2.1739130434782601E-2</v>
      </c>
      <c r="J27" s="496">
        <f t="shared" si="7"/>
        <v>2.1739130434782608E-2</v>
      </c>
      <c r="K27" s="496"/>
      <c r="L27" s="496"/>
      <c r="M27" s="496"/>
      <c r="N27" s="496"/>
      <c r="O27" s="496"/>
      <c r="P27" s="496"/>
      <c r="Q27" s="496"/>
    </row>
    <row r="28" spans="2:17" outlineLevel="1">
      <c r="B28" s="494" t="str">
        <f>B23</f>
        <v>Product 2</v>
      </c>
      <c r="E28" s="496">
        <f t="shared" ref="E28:J28" si="8">E23/SUM(E$22:E$26)</f>
        <v>0.21739130434782608</v>
      </c>
      <c r="F28" s="496">
        <f t="shared" si="8"/>
        <v>0.21739130434782611</v>
      </c>
      <c r="G28" s="496">
        <f t="shared" si="8"/>
        <v>0.21739130434782608</v>
      </c>
      <c r="H28" s="496">
        <f t="shared" si="8"/>
        <v>0.21739130434782605</v>
      </c>
      <c r="I28" s="496">
        <f t="shared" si="8"/>
        <v>0.21739130434782608</v>
      </c>
      <c r="J28" s="496">
        <f t="shared" si="8"/>
        <v>0.21739130434782608</v>
      </c>
      <c r="K28" s="496"/>
      <c r="L28" s="496"/>
      <c r="M28" s="496"/>
      <c r="N28" s="496"/>
      <c r="O28" s="496"/>
      <c r="P28" s="496"/>
      <c r="Q28" s="496"/>
    </row>
    <row r="29" spans="2:17" outlineLevel="1">
      <c r="B29" s="494" t="str">
        <f>B24</f>
        <v>Product 3</v>
      </c>
      <c r="E29" s="496">
        <f t="shared" ref="E29:J29" si="9">E24/SUM(E$22:E$26)</f>
        <v>0.10869565217391304</v>
      </c>
      <c r="F29" s="496">
        <f t="shared" si="9"/>
        <v>0.10869565217391305</v>
      </c>
      <c r="G29" s="496">
        <f t="shared" si="9"/>
        <v>0.10869565217391304</v>
      </c>
      <c r="H29" s="496">
        <f t="shared" si="9"/>
        <v>0.10869565217391303</v>
      </c>
      <c r="I29" s="496">
        <f t="shared" si="9"/>
        <v>0.10869565217391304</v>
      </c>
      <c r="J29" s="496">
        <f t="shared" si="9"/>
        <v>0.10869565217391304</v>
      </c>
      <c r="K29" s="496"/>
      <c r="L29" s="496"/>
      <c r="M29" s="496"/>
      <c r="N29" s="496"/>
      <c r="O29" s="496"/>
      <c r="P29" s="496"/>
      <c r="Q29" s="496"/>
    </row>
    <row r="30" spans="2:17" outlineLevel="1">
      <c r="B30" s="494" t="str">
        <f>B25</f>
        <v>Product 4</v>
      </c>
      <c r="E30" s="496">
        <f t="shared" ref="E30:J30" si="10">E25/SUM(E$22:E$26)</f>
        <v>0.43478260869565216</v>
      </c>
      <c r="F30" s="496">
        <f t="shared" si="10"/>
        <v>0.43478260869565222</v>
      </c>
      <c r="G30" s="496">
        <f t="shared" si="10"/>
        <v>0.43478260869565216</v>
      </c>
      <c r="H30" s="496">
        <f t="shared" si="10"/>
        <v>0.43478260869565211</v>
      </c>
      <c r="I30" s="496">
        <f t="shared" si="10"/>
        <v>0.43478260869565216</v>
      </c>
      <c r="J30" s="496">
        <f t="shared" si="10"/>
        <v>0.43478260869565216</v>
      </c>
      <c r="K30" s="496"/>
      <c r="L30" s="496"/>
      <c r="M30" s="496"/>
      <c r="N30" s="496"/>
      <c r="O30" s="496"/>
      <c r="P30" s="496"/>
      <c r="Q30" s="496"/>
    </row>
    <row r="31" spans="2:17" outlineLevel="1">
      <c r="B31" s="494" t="str">
        <f>B26</f>
        <v>Product 5</v>
      </c>
      <c r="E31" s="496">
        <f t="shared" ref="E31:J31" si="11">E26/SUM(E$22:E$26)</f>
        <v>0.21739130434782608</v>
      </c>
      <c r="F31" s="496">
        <f t="shared" si="11"/>
        <v>0.21739130434782611</v>
      </c>
      <c r="G31" s="496">
        <f t="shared" si="11"/>
        <v>0.21739130434782608</v>
      </c>
      <c r="H31" s="496">
        <f t="shared" si="11"/>
        <v>0.21739130434782605</v>
      </c>
      <c r="I31" s="496">
        <f t="shared" si="11"/>
        <v>0.21739130434782608</v>
      </c>
      <c r="J31" s="496">
        <f t="shared" si="11"/>
        <v>0.21739130434782608</v>
      </c>
      <c r="K31" s="496"/>
      <c r="L31" s="496"/>
      <c r="M31" s="496"/>
      <c r="N31" s="496"/>
      <c r="O31" s="496"/>
      <c r="P31" s="496"/>
      <c r="Q31" s="496"/>
    </row>
    <row r="32" spans="2:17" outlineLevel="1">
      <c r="B32" s="37"/>
      <c r="C32" s="37"/>
      <c r="D32" s="37"/>
    </row>
    <row r="33" spans="1:21">
      <c r="B33" s="37"/>
      <c r="C33" s="37"/>
      <c r="D33" s="37"/>
    </row>
    <row r="34" spans="1:21" s="85" customFormat="1">
      <c r="A34" s="5"/>
      <c r="B34" s="85" t="s">
        <v>227</v>
      </c>
      <c r="K34" s="37"/>
      <c r="L34" s="37"/>
      <c r="M34" s="37"/>
      <c r="N34" s="37"/>
      <c r="O34" s="37"/>
      <c r="P34" s="37"/>
      <c r="Q34" s="37"/>
      <c r="R34" s="37"/>
    </row>
    <row r="35" spans="1:21">
      <c r="J35" s="55"/>
      <c r="K35" s="55"/>
      <c r="L35" s="55"/>
      <c r="M35" s="55"/>
      <c r="N35" s="55"/>
      <c r="O35" s="55"/>
      <c r="P35" s="55"/>
      <c r="Q35" s="55"/>
      <c r="R35" s="55"/>
    </row>
    <row r="36" spans="1:21">
      <c r="B36" s="37"/>
      <c r="K36" s="120"/>
      <c r="L36" s="120"/>
      <c r="M36" s="120"/>
      <c r="N36" s="120"/>
      <c r="O36" s="120"/>
      <c r="P36" s="120"/>
      <c r="Q36" s="120"/>
      <c r="R36" s="120"/>
    </row>
    <row r="37" spans="1:21" s="363" customFormat="1" ht="27.6">
      <c r="B37" s="37"/>
      <c r="E37" s="215" t="str">
        <f>'Model Assumptions'!G24</f>
        <v>Product 1</v>
      </c>
      <c r="F37" s="215" t="str">
        <f>'Model Assumptions'!H24</f>
        <v>Product 2</v>
      </c>
      <c r="G37" s="215" t="str">
        <f>'Model Assumptions'!I24</f>
        <v>Product 3</v>
      </c>
      <c r="H37" s="215" t="str">
        <f>'Model Assumptions'!J24</f>
        <v>Product 4</v>
      </c>
      <c r="I37" s="234" t="str">
        <f>'Model Assumptions'!K24</f>
        <v>Product 5</v>
      </c>
      <c r="J37" s="508" t="s">
        <v>493</v>
      </c>
      <c r="K37" s="508"/>
      <c r="L37" s="508"/>
      <c r="M37" s="508"/>
      <c r="N37" s="508"/>
      <c r="O37" s="508"/>
      <c r="P37" s="508" t="s">
        <v>294</v>
      </c>
      <c r="Q37" s="508"/>
      <c r="R37" s="508"/>
      <c r="S37" s="508"/>
      <c r="T37" s="508"/>
      <c r="U37" s="508"/>
    </row>
    <row r="38" spans="1:21">
      <c r="J38" s="500">
        <f t="shared" ref="J38:O38" si="12">E7</f>
        <v>2023</v>
      </c>
      <c r="K38" s="500">
        <f t="shared" si="12"/>
        <v>2024</v>
      </c>
      <c r="L38" s="500">
        <f t="shared" si="12"/>
        <v>2025</v>
      </c>
      <c r="M38" s="500">
        <f t="shared" si="12"/>
        <v>2026</v>
      </c>
      <c r="N38" s="500">
        <f t="shared" si="12"/>
        <v>2027</v>
      </c>
      <c r="O38" s="500">
        <f t="shared" si="12"/>
        <v>2028</v>
      </c>
      <c r="P38" s="500">
        <f t="shared" ref="P38:U38" si="13">E7</f>
        <v>2023</v>
      </c>
      <c r="Q38" s="500">
        <f t="shared" si="13"/>
        <v>2024</v>
      </c>
      <c r="R38" s="500">
        <f t="shared" si="13"/>
        <v>2025</v>
      </c>
      <c r="S38" s="500">
        <f t="shared" si="13"/>
        <v>2026</v>
      </c>
      <c r="T38" s="500">
        <f t="shared" si="13"/>
        <v>2027</v>
      </c>
      <c r="U38" s="500">
        <f t="shared" si="13"/>
        <v>2028</v>
      </c>
    </row>
    <row r="39" spans="1:21" hidden="1" outlineLevel="1">
      <c r="B39" s="5" t="s">
        <v>487</v>
      </c>
      <c r="D39" s="5">
        <f>E7</f>
        <v>2023</v>
      </c>
      <c r="E39" s="26">
        <f ca="1">E15</f>
        <v>0</v>
      </c>
      <c r="F39" s="26">
        <f ca="1">E16</f>
        <v>0.174508507064218</v>
      </c>
      <c r="G39" s="26">
        <f ca="1">E17</f>
        <v>0.14119972090479388</v>
      </c>
      <c r="H39" s="26">
        <f ca="1">E18</f>
        <v>0.51905201302618831</v>
      </c>
      <c r="I39" s="26">
        <f ca="1">E19</f>
        <v>0.16523975900479976</v>
      </c>
      <c r="J39" s="499"/>
      <c r="K39" s="499"/>
      <c r="L39" s="499"/>
      <c r="M39" s="499"/>
      <c r="N39" s="499"/>
      <c r="O39" s="499"/>
      <c r="P39" s="499"/>
      <c r="Q39" s="499"/>
      <c r="R39" s="499"/>
      <c r="S39" s="499"/>
      <c r="T39" s="499"/>
      <c r="U39" s="499"/>
    </row>
    <row r="40" spans="1:21" hidden="1" outlineLevel="1">
      <c r="B40" s="5" t="s">
        <v>487</v>
      </c>
      <c r="D40" s="5">
        <f>F7</f>
        <v>2024</v>
      </c>
      <c r="E40" s="26">
        <f ca="1">F15</f>
        <v>0</v>
      </c>
      <c r="F40" s="26">
        <f ca="1">F16</f>
        <v>0.14689450864166123</v>
      </c>
      <c r="G40" s="26">
        <f ca="1">F17</f>
        <v>0.13357940425927053</v>
      </c>
      <c r="H40" s="26">
        <f ca="1">F18</f>
        <v>0.49136015676128281</v>
      </c>
      <c r="I40" s="26">
        <f ca="1">F19</f>
        <v>0.2281659303377854</v>
      </c>
      <c r="J40" s="499"/>
      <c r="K40" s="499"/>
      <c r="L40" s="499"/>
      <c r="M40" s="499"/>
      <c r="N40" s="499"/>
      <c r="O40" s="499"/>
      <c r="P40" s="499"/>
      <c r="Q40" s="499"/>
      <c r="R40" s="499"/>
      <c r="S40" s="499"/>
      <c r="T40" s="499"/>
      <c r="U40" s="499"/>
    </row>
    <row r="41" spans="1:21" hidden="1" outlineLevel="1">
      <c r="B41" s="5" t="s">
        <v>487</v>
      </c>
      <c r="D41" s="5">
        <f>G7</f>
        <v>2025</v>
      </c>
      <c r="E41" s="26">
        <f ca="1">G15</f>
        <v>0</v>
      </c>
      <c r="F41" s="26">
        <f ca="1">G16</f>
        <v>0.14477771479785076</v>
      </c>
      <c r="G41" s="26">
        <f ca="1">G17</f>
        <v>0.13888773335041657</v>
      </c>
      <c r="H41" s="26">
        <f ca="1">G18</f>
        <v>0.48409328559865866</v>
      </c>
      <c r="I41" s="26">
        <f ca="1">G19</f>
        <v>0.2322412662530739</v>
      </c>
      <c r="J41" s="499"/>
      <c r="K41" s="499"/>
      <c r="L41" s="499"/>
      <c r="M41" s="499"/>
      <c r="N41" s="499"/>
      <c r="O41" s="499"/>
      <c r="P41" s="499"/>
      <c r="Q41" s="499"/>
      <c r="R41" s="499"/>
      <c r="S41" s="499"/>
      <c r="T41" s="499"/>
      <c r="U41" s="499"/>
    </row>
    <row r="42" spans="1:21" hidden="1" outlineLevel="1">
      <c r="B42" s="5" t="s">
        <v>487</v>
      </c>
      <c r="D42" s="5">
        <f>H7</f>
        <v>2026</v>
      </c>
      <c r="E42" s="26">
        <f ca="1">H15</f>
        <v>0</v>
      </c>
      <c r="F42" s="26">
        <f ca="1">H16</f>
        <v>0.14384874267211153</v>
      </c>
      <c r="G42" s="26">
        <f ca="1">H17</f>
        <v>0.13799969971206028</v>
      </c>
      <c r="H42" s="26">
        <f ca="1">H18</f>
        <v>0.48210325976926421</v>
      </c>
      <c r="I42" s="26">
        <f ca="1">H19</f>
        <v>0.23604829784656406</v>
      </c>
      <c r="J42" s="499"/>
      <c r="K42" s="499"/>
      <c r="L42" s="499"/>
      <c r="M42" s="499"/>
      <c r="N42" s="499"/>
      <c r="O42" s="499"/>
      <c r="P42" s="499"/>
      <c r="Q42" s="499"/>
      <c r="R42" s="499"/>
      <c r="S42" s="499"/>
      <c r="T42" s="499"/>
      <c r="U42" s="499"/>
    </row>
    <row r="43" spans="1:21" hidden="1" outlineLevel="1">
      <c r="B43" s="5" t="s">
        <v>487</v>
      </c>
      <c r="D43" s="5">
        <f>I7</f>
        <v>2027</v>
      </c>
      <c r="E43" s="26">
        <f ca="1">I15</f>
        <v>0</v>
      </c>
      <c r="F43" s="26">
        <f ca="1">I16</f>
        <v>0.1438507695374045</v>
      </c>
      <c r="G43" s="26">
        <f ca="1">I17</f>
        <v>0.1381658281539922</v>
      </c>
      <c r="H43" s="26">
        <f ca="1">I18</f>
        <v>0.48091869674700177</v>
      </c>
      <c r="I43" s="26">
        <f ca="1">I19</f>
        <v>0.23706470556160153</v>
      </c>
      <c r="J43" s="499"/>
      <c r="K43" s="499"/>
      <c r="L43" s="499"/>
      <c r="M43" s="499"/>
      <c r="N43" s="499"/>
      <c r="O43" s="499"/>
      <c r="P43" s="499"/>
      <c r="Q43" s="499"/>
      <c r="R43" s="499"/>
      <c r="S43" s="499"/>
      <c r="T43" s="499"/>
      <c r="U43" s="499"/>
    </row>
    <row r="44" spans="1:21" hidden="1" outlineLevel="1">
      <c r="B44" s="5" t="s">
        <v>487</v>
      </c>
      <c r="D44" s="5">
        <f>J7</f>
        <v>2028</v>
      </c>
      <c r="E44" s="26">
        <f ca="1">J15</f>
        <v>0</v>
      </c>
      <c r="F44" s="26">
        <f ca="1">J16</f>
        <v>0.13757537962705738</v>
      </c>
      <c r="G44" s="26">
        <f ca="1">J17</f>
        <v>0.14005994337192842</v>
      </c>
      <c r="H44" s="26">
        <f ca="1">J18</f>
        <v>0.48322571618972726</v>
      </c>
      <c r="I44" s="26">
        <f ca="1">J19</f>
        <v>0.23913896081128697</v>
      </c>
      <c r="J44" s="499"/>
      <c r="K44" s="499"/>
      <c r="L44" s="499"/>
      <c r="M44" s="499"/>
      <c r="N44" s="499"/>
      <c r="O44" s="499"/>
      <c r="P44" s="499"/>
      <c r="Q44" s="499"/>
      <c r="R44" s="499"/>
      <c r="S44" s="499"/>
      <c r="T44" s="499"/>
      <c r="U44" s="499"/>
    </row>
    <row r="45" spans="1:21" hidden="1" outlineLevel="1">
      <c r="B45" s="5" t="s">
        <v>295</v>
      </c>
      <c r="D45" s="5">
        <f>E7</f>
        <v>2023</v>
      </c>
      <c r="E45" s="26">
        <f>E27</f>
        <v>2.1739130434782612E-2</v>
      </c>
      <c r="F45" s="26">
        <f>E28</f>
        <v>0.21739130434782608</v>
      </c>
      <c r="G45" s="26">
        <f>E29</f>
        <v>0.10869565217391304</v>
      </c>
      <c r="H45" s="26">
        <f>E30</f>
        <v>0.43478260869565216</v>
      </c>
      <c r="I45" s="26">
        <f>E31</f>
        <v>0.21739130434782608</v>
      </c>
      <c r="J45" s="499"/>
      <c r="K45" s="499"/>
      <c r="L45" s="499"/>
      <c r="M45" s="499"/>
      <c r="N45" s="499"/>
      <c r="O45" s="499"/>
      <c r="P45" s="499"/>
      <c r="Q45" s="499"/>
      <c r="R45" s="499"/>
      <c r="S45" s="499"/>
      <c r="T45" s="499"/>
      <c r="U45" s="499"/>
    </row>
    <row r="46" spans="1:21" hidden="1" outlineLevel="1">
      <c r="B46" s="5" t="s">
        <v>295</v>
      </c>
      <c r="D46" s="5">
        <f>F7</f>
        <v>2024</v>
      </c>
      <c r="E46" s="26">
        <f>F27</f>
        <v>2.1739130434782608E-2</v>
      </c>
      <c r="F46" s="26">
        <f>F28</f>
        <v>0.21739130434782611</v>
      </c>
      <c r="G46" s="26">
        <f>F29</f>
        <v>0.10869565217391305</v>
      </c>
      <c r="H46" s="26">
        <f>F30</f>
        <v>0.43478260869565222</v>
      </c>
      <c r="I46" s="26">
        <f>F31</f>
        <v>0.21739130434782611</v>
      </c>
      <c r="J46" s="500"/>
      <c r="K46" s="500"/>
      <c r="L46" s="500"/>
      <c r="M46" s="500"/>
      <c r="N46" s="500"/>
      <c r="O46" s="500"/>
      <c r="P46" s="499"/>
      <c r="Q46" s="500"/>
      <c r="R46" s="500"/>
      <c r="S46" s="500"/>
      <c r="T46" s="500"/>
      <c r="U46" s="500"/>
    </row>
    <row r="47" spans="1:21" hidden="1" outlineLevel="1">
      <c r="B47" s="5" t="s">
        <v>295</v>
      </c>
      <c r="D47" s="5">
        <f>G7</f>
        <v>2025</v>
      </c>
      <c r="E47" s="26">
        <f>G27</f>
        <v>2.1739130434782605E-2</v>
      </c>
      <c r="F47" s="26">
        <f>G28</f>
        <v>0.21739130434782608</v>
      </c>
      <c r="G47" s="26">
        <f>G29</f>
        <v>0.10869565217391304</v>
      </c>
      <c r="H47" s="26">
        <f>G30</f>
        <v>0.43478260869565216</v>
      </c>
      <c r="I47" s="26">
        <f>G31</f>
        <v>0.21739130434782608</v>
      </c>
      <c r="J47" s="500"/>
      <c r="K47" s="500"/>
      <c r="L47" s="500"/>
      <c r="M47" s="500"/>
      <c r="N47" s="500"/>
      <c r="O47" s="500"/>
      <c r="P47" s="499"/>
      <c r="Q47" s="500"/>
      <c r="R47" s="500"/>
      <c r="S47" s="500"/>
      <c r="T47" s="500"/>
      <c r="U47" s="500"/>
    </row>
    <row r="48" spans="1:21" hidden="1" outlineLevel="1">
      <c r="B48" s="5" t="s">
        <v>295</v>
      </c>
      <c r="D48" s="5">
        <f>H7</f>
        <v>2026</v>
      </c>
      <c r="E48" s="26">
        <f>H27</f>
        <v>2.1739130434782594E-2</v>
      </c>
      <c r="F48" s="26">
        <f>H28</f>
        <v>0.21739130434782605</v>
      </c>
      <c r="G48" s="26">
        <f>H29</f>
        <v>0.10869565217391303</v>
      </c>
      <c r="H48" s="26">
        <f>H30</f>
        <v>0.43478260869565211</v>
      </c>
      <c r="I48" s="26">
        <f>H31</f>
        <v>0.21739130434782605</v>
      </c>
      <c r="J48" s="500"/>
      <c r="K48" s="500"/>
      <c r="L48" s="500"/>
      <c r="M48" s="500"/>
      <c r="N48" s="500"/>
      <c r="O48" s="500"/>
      <c r="P48" s="499"/>
      <c r="Q48" s="500"/>
      <c r="R48" s="500"/>
      <c r="S48" s="500"/>
      <c r="T48" s="500"/>
      <c r="U48" s="500"/>
    </row>
    <row r="49" spans="2:21" hidden="1" outlineLevel="1">
      <c r="B49" s="5" t="s">
        <v>295</v>
      </c>
      <c r="D49" s="5">
        <f>I7</f>
        <v>2027</v>
      </c>
      <c r="E49" s="26">
        <f>I27</f>
        <v>2.1739130434782601E-2</v>
      </c>
      <c r="F49" s="26">
        <f>I28</f>
        <v>0.21739130434782608</v>
      </c>
      <c r="G49" s="26">
        <f>I29</f>
        <v>0.10869565217391304</v>
      </c>
      <c r="H49" s="26">
        <f>I30</f>
        <v>0.43478260869565216</v>
      </c>
      <c r="I49" s="26">
        <f>I31</f>
        <v>0.21739130434782608</v>
      </c>
      <c r="J49" s="500"/>
      <c r="K49" s="500"/>
      <c r="L49" s="500"/>
      <c r="M49" s="500"/>
      <c r="N49" s="500"/>
      <c r="O49" s="500"/>
      <c r="P49" s="499"/>
      <c r="Q49" s="500"/>
      <c r="R49" s="500"/>
      <c r="S49" s="500"/>
      <c r="T49" s="500"/>
      <c r="U49" s="500"/>
    </row>
    <row r="50" spans="2:21" hidden="1" outlineLevel="1">
      <c r="B50" s="5" t="s">
        <v>295</v>
      </c>
      <c r="D50" s="5">
        <f>J7</f>
        <v>2028</v>
      </c>
      <c r="E50" s="26">
        <f>J27</f>
        <v>2.1739130434782608E-2</v>
      </c>
      <c r="F50" s="26">
        <f>J28</f>
        <v>0.21739130434782608</v>
      </c>
      <c r="G50" s="26">
        <f>J29</f>
        <v>0.10869565217391304</v>
      </c>
      <c r="H50" s="26">
        <f>J30</f>
        <v>0.43478260869565216</v>
      </c>
      <c r="I50" s="26">
        <f>J31</f>
        <v>0.21739130434782608</v>
      </c>
      <c r="J50" s="500"/>
      <c r="K50" s="500"/>
      <c r="L50" s="500"/>
      <c r="M50" s="500"/>
      <c r="N50" s="500"/>
      <c r="O50" s="500"/>
      <c r="P50" s="499"/>
      <c r="Q50" s="500"/>
      <c r="R50" s="500"/>
      <c r="S50" s="500"/>
      <c r="T50" s="500"/>
      <c r="U50" s="500"/>
    </row>
    <row r="51" spans="2:21" collapsed="1">
      <c r="J51" s="500"/>
      <c r="K51" s="500"/>
      <c r="L51" s="500"/>
      <c r="M51" s="500"/>
      <c r="N51" s="500"/>
      <c r="O51" s="500"/>
      <c r="P51" s="500"/>
      <c r="Q51" s="500"/>
      <c r="R51" s="500"/>
      <c r="S51" s="500"/>
      <c r="T51" s="500"/>
      <c r="U51" s="500"/>
    </row>
    <row r="52" spans="2:21">
      <c r="B52" s="208" t="s">
        <v>291</v>
      </c>
      <c r="C52" s="208"/>
      <c r="D52" s="208"/>
      <c r="E52" s="364">
        <f>'Model Assumptions'!G30/(1+_VATonCOGS)</f>
        <v>1818.181818181818</v>
      </c>
      <c r="F52" s="364">
        <f>'Model Assumptions'!H30/(1+_VATonCOGS)</f>
        <v>1090.9090909090908</v>
      </c>
      <c r="G52" s="364">
        <f>'Model Assumptions'!I30/(1+_VATonCOGS)</f>
        <v>999.99999999999989</v>
      </c>
      <c r="H52" s="364">
        <f>'Model Assumptions'!J30/(1+_VATonCOGS)</f>
        <v>181.81818181818181</v>
      </c>
      <c r="I52" s="364">
        <f>'Model Assumptions'!K30/(1+_VATonCOGS)</f>
        <v>181.81818181818181</v>
      </c>
      <c r="J52" s="501">
        <f ca="1">SUMPRODUCT($E$39:$I$39,$E52:$I52)</f>
        <v>455.98932352593852</v>
      </c>
      <c r="K52" s="501">
        <f ca="1">SUMPRODUCT($E$40:$I$40,$E52:$I52)</f>
        <v>424.65088406818597</v>
      </c>
      <c r="L52" s="501">
        <f ca="1">SUMPRODUCT($E$41:$I$41,$E52:$I52)</f>
        <v>427.06970437565968</v>
      </c>
      <c r="M52" s="501">
        <f ca="1">SUMPRODUCT($E$42:$I$42,$E52:$I52)</f>
        <v>425.49861128451431</v>
      </c>
      <c r="N52" s="501">
        <f ca="1">SUMPRODUCT($E$43:$I$43,$E52:$I52)</f>
        <v>425.63637715999766</v>
      </c>
      <c r="O52" s="501">
        <f ca="1">SUMPRODUCT($E$44:$I$44,$E52:$I52)</f>
        <v>421.48120787435715</v>
      </c>
      <c r="P52" s="501">
        <f t="shared" ref="P52:P68" si="14">SUMPRODUCT($E$45:$I$45,$E52:$I52)</f>
        <v>503.95256916996038</v>
      </c>
      <c r="Q52" s="501">
        <f>SUMPRODUCT($E$46:$I$46,$E52:$I52)</f>
        <v>503.9525691699605</v>
      </c>
      <c r="R52" s="501">
        <f t="shared" ref="R52:R68" si="15">SUMPRODUCT($E$47:$I$47,$E52:$I52)</f>
        <v>503.95256916996038</v>
      </c>
      <c r="S52" s="501">
        <f t="shared" ref="S52:S68" si="16">SUMPRODUCT($E$48:$I$48,$E52:$I52)</f>
        <v>503.95256916996027</v>
      </c>
      <c r="T52" s="501">
        <f>SUMPRODUCT($E$49:$I$49,$E52:$I52)</f>
        <v>503.95256916996038</v>
      </c>
      <c r="U52" s="501">
        <f>SUMPRODUCT($E$50:$I$50,$E52:$I52)</f>
        <v>503.95256916996038</v>
      </c>
    </row>
    <row r="53" spans="2:21">
      <c r="B53" s="9"/>
      <c r="C53" s="9"/>
      <c r="D53" s="9"/>
      <c r="J53" s="500"/>
      <c r="K53" s="500"/>
      <c r="L53" s="500"/>
      <c r="M53" s="500"/>
      <c r="N53" s="500"/>
      <c r="O53" s="500"/>
      <c r="P53" s="500"/>
      <c r="Q53" s="500"/>
      <c r="R53" s="500"/>
      <c r="S53" s="500"/>
      <c r="T53" s="500"/>
      <c r="U53" s="500"/>
    </row>
    <row r="54" spans="2:21">
      <c r="B54" s="9" t="s">
        <v>292</v>
      </c>
      <c r="C54" s="9"/>
      <c r="D54" s="9"/>
      <c r="E54" s="7">
        <f>'Model Assumptions'!G32</f>
        <v>0</v>
      </c>
      <c r="F54" s="7">
        <f>'Model Assumptions'!H32</f>
        <v>800</v>
      </c>
      <c r="G54" s="7">
        <f>'Model Assumptions'!I32</f>
        <v>400</v>
      </c>
      <c r="H54" s="7">
        <f>'Model Assumptions'!J32</f>
        <v>100</v>
      </c>
      <c r="I54" s="7">
        <f>'Model Assumptions'!K32</f>
        <v>100</v>
      </c>
      <c r="J54" s="506">
        <f ca="1">SUMPRODUCT($E$39:$I$39,$E54:$I54)</f>
        <v>264.51587121639074</v>
      </c>
      <c r="K54" s="506">
        <f ca="1">SUMPRODUCT($E$40:$I$40,$E54:$I54)</f>
        <v>242.899977326944</v>
      </c>
      <c r="L54" s="506">
        <f t="shared" ref="L54:L68" ca="1" si="17">SUMPRODUCT($E$41:$I$41,$E54:$I54)</f>
        <v>243.01072036362049</v>
      </c>
      <c r="M54" s="506">
        <f t="shared" ref="M54:M68" ca="1" si="18">SUMPRODUCT($E$42:$I$42,$E54:$I54)</f>
        <v>242.09402978409614</v>
      </c>
      <c r="N54" s="506">
        <f t="shared" ref="N54:N68" ca="1" si="19">SUMPRODUCT($E$43:$I$43,$E54:$I54)</f>
        <v>242.14528712238081</v>
      </c>
      <c r="O54" s="506">
        <f t="shared" ref="O54:O68" ca="1" si="20">SUMPRODUCT($E$44:$I$44,$E54:$I54)</f>
        <v>238.3207487505187</v>
      </c>
      <c r="P54" s="506">
        <f t="shared" si="14"/>
        <v>282.60869565217394</v>
      </c>
      <c r="Q54" s="506">
        <f t="shared" ref="Q54:Q68" si="21">SUMPRODUCT($E$46:$I$46,$E54:$I54)</f>
        <v>282.60869565217394</v>
      </c>
      <c r="R54" s="506">
        <f t="shared" si="15"/>
        <v>282.60869565217394</v>
      </c>
      <c r="S54" s="506">
        <f t="shared" si="16"/>
        <v>282.60869565217388</v>
      </c>
      <c r="T54" s="506">
        <f t="shared" ref="T54:T68" si="22">SUMPRODUCT($E$49:$I$49,$E54:$I54)</f>
        <v>282.60869565217394</v>
      </c>
      <c r="U54" s="506">
        <f t="shared" ref="U54:U68" si="23">SUMPRODUCT($E$50:$I$50,$E54:$I54)</f>
        <v>282.60869565217394</v>
      </c>
    </row>
    <row r="55" spans="2:21">
      <c r="B55" s="9" t="s">
        <v>88</v>
      </c>
      <c r="C55" s="9"/>
      <c r="D55" s="9"/>
      <c r="E55" s="140">
        <f>'Model Assumptions'!$G$80</f>
        <v>0.85</v>
      </c>
      <c r="F55" s="140">
        <f>'Model Assumptions'!$G$80</f>
        <v>0.85</v>
      </c>
      <c r="G55" s="140">
        <f>'Model Assumptions'!$G$80</f>
        <v>0.85</v>
      </c>
      <c r="H55" s="140">
        <f>'Model Assumptions'!$G$80</f>
        <v>0.85</v>
      </c>
      <c r="I55" s="140">
        <f>'Model Assumptions'!$G$80</f>
        <v>0.85</v>
      </c>
      <c r="J55" s="499">
        <f ca="1">SUMPRODUCT($E$39:$I$39,$E55:$I55)</f>
        <v>0.84999999999999987</v>
      </c>
      <c r="K55" s="499">
        <f ca="1">SUMPRODUCT($E$40:$I$40,$E55:$I55)</f>
        <v>0.85</v>
      </c>
      <c r="L55" s="499">
        <f t="shared" ca="1" si="17"/>
        <v>0.85</v>
      </c>
      <c r="M55" s="499">
        <f t="shared" ca="1" si="18"/>
        <v>0.85000000000000009</v>
      </c>
      <c r="N55" s="499">
        <f t="shared" ca="1" si="19"/>
        <v>0.84999999999999987</v>
      </c>
      <c r="O55" s="499">
        <f t="shared" ca="1" si="20"/>
        <v>0.85</v>
      </c>
      <c r="P55" s="499">
        <f t="shared" si="14"/>
        <v>0.84999999999999987</v>
      </c>
      <c r="Q55" s="499">
        <f t="shared" si="21"/>
        <v>0.85000000000000009</v>
      </c>
      <c r="R55" s="499">
        <f t="shared" si="15"/>
        <v>0.84999999999999987</v>
      </c>
      <c r="S55" s="499">
        <f t="shared" si="16"/>
        <v>0.84999999999999976</v>
      </c>
      <c r="T55" s="499">
        <f t="shared" si="22"/>
        <v>0.84999999999999987</v>
      </c>
      <c r="U55" s="499">
        <f t="shared" si="23"/>
        <v>0.84999999999999987</v>
      </c>
    </row>
    <row r="56" spans="2:21">
      <c r="B56" s="9" t="s">
        <v>667</v>
      </c>
      <c r="C56" s="9"/>
      <c r="D56" s="9"/>
      <c r="E56" s="25">
        <f>E54*E55</f>
        <v>0</v>
      </c>
      <c r="F56" s="25">
        <f>F54*F55</f>
        <v>680</v>
      </c>
      <c r="G56" s="25">
        <f>G54*G55</f>
        <v>340</v>
      </c>
      <c r="H56" s="25">
        <f>H54*H55</f>
        <v>85</v>
      </c>
      <c r="I56" s="25">
        <f>I54*I55</f>
        <v>85</v>
      </c>
      <c r="J56" s="507">
        <f ca="1">SUMPRODUCT($E$39:$I$39,$E56:$I56)</f>
        <v>224.83849053393214</v>
      </c>
      <c r="K56" s="507">
        <f ca="1">SUMPRODUCT($E$40:$I$40,$E56:$I56)</f>
        <v>206.46498072790243</v>
      </c>
      <c r="L56" s="507">
        <f t="shared" ca="1" si="17"/>
        <v>206.55911230907745</v>
      </c>
      <c r="M56" s="507">
        <f t="shared" ca="1" si="18"/>
        <v>205.77992531648175</v>
      </c>
      <c r="N56" s="507">
        <f t="shared" ca="1" si="19"/>
        <v>205.82349405402368</v>
      </c>
      <c r="O56" s="507">
        <f t="shared" ca="1" si="20"/>
        <v>202.5726364379409</v>
      </c>
      <c r="P56" s="507">
        <f t="shared" si="14"/>
        <v>240.21739130434784</v>
      </c>
      <c r="Q56" s="507">
        <f t="shared" si="21"/>
        <v>240.21739130434784</v>
      </c>
      <c r="R56" s="507">
        <f t="shared" si="15"/>
        <v>240.21739130434784</v>
      </c>
      <c r="S56" s="507">
        <f t="shared" si="16"/>
        <v>240.21739130434781</v>
      </c>
      <c r="T56" s="507">
        <f t="shared" si="22"/>
        <v>240.21739130434784</v>
      </c>
      <c r="U56" s="507">
        <f t="shared" si="23"/>
        <v>240.21739130434784</v>
      </c>
    </row>
    <row r="57" spans="2:21">
      <c r="B57" s="208" t="s">
        <v>668</v>
      </c>
      <c r="C57" s="208"/>
      <c r="D57" s="208"/>
      <c r="E57" s="365">
        <f>E56/(1+_VATonCOGS)</f>
        <v>0</v>
      </c>
      <c r="F57" s="365">
        <f>F56/(1+_VATonCOGS)</f>
        <v>618.18181818181813</v>
      </c>
      <c r="G57" s="365">
        <f>G56/(1+_VATonCOGS)</f>
        <v>309.09090909090907</v>
      </c>
      <c r="H57" s="365">
        <f>H56/(1+_VATonCOGS)</f>
        <v>77.272727272727266</v>
      </c>
      <c r="I57" s="365">
        <f>I56/(1+_VATonCOGS)</f>
        <v>77.272727272727266</v>
      </c>
      <c r="J57" s="504">
        <f ca="1">SUMPRODUCT($E$39:$I$39,$E57:$I57)</f>
        <v>204.39862775812011</v>
      </c>
      <c r="K57" s="504">
        <f ca="1">SUMPRODUCT($E$40:$I$40,$E57:$I57)</f>
        <v>187.69543702536581</v>
      </c>
      <c r="L57" s="504">
        <f t="shared" ca="1" si="17"/>
        <v>187.78101119007036</v>
      </c>
      <c r="M57" s="504">
        <f t="shared" ca="1" si="18"/>
        <v>187.07265937861973</v>
      </c>
      <c r="N57" s="504">
        <f t="shared" ca="1" si="19"/>
        <v>187.11226732183968</v>
      </c>
      <c r="O57" s="504">
        <f t="shared" ca="1" si="20"/>
        <v>184.15694221630989</v>
      </c>
      <c r="P57" s="504">
        <f t="shared" si="14"/>
        <v>218.37944664031619</v>
      </c>
      <c r="Q57" s="504">
        <f t="shared" si="21"/>
        <v>218.37944664031619</v>
      </c>
      <c r="R57" s="504">
        <f t="shared" si="15"/>
        <v>218.37944664031619</v>
      </c>
      <c r="S57" s="504">
        <f t="shared" si="16"/>
        <v>218.37944664031616</v>
      </c>
      <c r="T57" s="504">
        <f t="shared" si="22"/>
        <v>218.37944664031619</v>
      </c>
      <c r="U57" s="504">
        <f t="shared" si="23"/>
        <v>218.37944664031619</v>
      </c>
    </row>
    <row r="58" spans="2:21">
      <c r="B58" s="9"/>
      <c r="C58" s="9"/>
      <c r="D58" s="9"/>
      <c r="E58" s="35"/>
      <c r="F58" s="35"/>
      <c r="G58" s="35"/>
      <c r="H58" s="35"/>
      <c r="I58" s="35"/>
      <c r="J58" s="613"/>
      <c r="K58" s="613"/>
      <c r="L58" s="613"/>
      <c r="M58" s="613"/>
      <c r="N58" s="613"/>
      <c r="O58" s="613"/>
      <c r="P58" s="613"/>
      <c r="Q58" s="613"/>
      <c r="R58" s="613"/>
      <c r="S58" s="613"/>
      <c r="T58" s="613"/>
      <c r="U58" s="613"/>
    </row>
    <row r="59" spans="2:21">
      <c r="B59" s="9" t="s">
        <v>296</v>
      </c>
      <c r="C59" s="367"/>
      <c r="D59" s="367"/>
      <c r="E59" s="7">
        <f>'Model Assumptions'!G31</f>
        <v>1</v>
      </c>
      <c r="F59" s="7">
        <f>'Model Assumptions'!H31</f>
        <v>12</v>
      </c>
      <c r="G59" s="7">
        <f>'Model Assumptions'!I31</f>
        <v>30</v>
      </c>
      <c r="H59" s="7">
        <f>'Model Assumptions'!J31</f>
        <v>24</v>
      </c>
      <c r="I59" s="7">
        <f>'Model Assumptions'!K31</f>
        <v>24</v>
      </c>
      <c r="J59" s="507">
        <f ca="1">SUMPRODUCT($E$39:$I$39,$E59:$I59)</f>
        <v>22.753096240658145</v>
      </c>
      <c r="K59" s="507">
        <f ca="1">SUMPRODUCT($E$40:$I$40,$E59:$I59)</f>
        <v>23.038742321855686</v>
      </c>
      <c r="L59" s="507">
        <f ca="1">SUMPRODUCT($E$41:$I$41,$E59:$I59)</f>
        <v>23.095993822528285</v>
      </c>
      <c r="M59" s="507">
        <f ca="1">SUMPRODUCT($E$42:$I$42,$E59:$I59)</f>
        <v>23.101813286207026</v>
      </c>
      <c r="N59" s="507">
        <f ca="1">SUMPRODUCT($E$43:$I$43,$E59:$I59)</f>
        <v>23.102785734475098</v>
      </c>
      <c r="O59" s="507">
        <f ca="1">SUMPRODUCT($E$44:$I$44,$E59:$I59)</f>
        <v>23.18945510470688</v>
      </c>
      <c r="P59" s="507">
        <f>SUMPRODUCT($E$45:$I$45,$E59:$I59)</f>
        <v>21.543478260869563</v>
      </c>
      <c r="Q59" s="507">
        <f>SUMPRODUCT($E$46:$I$46,$E59:$I59)</f>
        <v>21.54347826086957</v>
      </c>
      <c r="R59" s="507">
        <f>SUMPRODUCT($E$47:$I$47,$E59:$I59)</f>
        <v>21.543478260869563</v>
      </c>
      <c r="S59" s="507">
        <f>SUMPRODUCT($E$48:$I$48,$E59:$I59)</f>
        <v>21.543478260869559</v>
      </c>
      <c r="T59" s="507">
        <f>SUMPRODUCT($E$49:$I$49,$E59:$I59)</f>
        <v>21.543478260869563</v>
      </c>
      <c r="U59" s="507">
        <f>SUMPRODUCT($E$50:$I$50,$E59:$I59)</f>
        <v>21.543478260869563</v>
      </c>
    </row>
    <row r="60" spans="2:21">
      <c r="B60" s="9" t="s">
        <v>228</v>
      </c>
      <c r="C60" s="9"/>
      <c r="D60" s="9"/>
      <c r="E60" s="35">
        <f>E52+E57*E59</f>
        <v>1818.181818181818</v>
      </c>
      <c r="F60" s="35">
        <f>F52+F57*F59</f>
        <v>8509.0909090909081</v>
      </c>
      <c r="G60" s="35">
        <f>G52+G57*G59</f>
        <v>10272.727272727272</v>
      </c>
      <c r="H60" s="35">
        <f>H52+H57*H59</f>
        <v>2036.3636363636363</v>
      </c>
      <c r="I60" s="35">
        <f>I52+I57*I59</f>
        <v>2036.3636363636363</v>
      </c>
      <c r="J60" s="507">
        <f ca="1">SUMPRODUCT($E$39:$I$39,$E60:$I60)</f>
        <v>4328.8818560860582</v>
      </c>
      <c r="K60" s="507">
        <f ca="1">SUMPRODUCT($E$40:$I$40,$E60:$I60)</f>
        <v>4087.3802764705624</v>
      </c>
      <c r="L60" s="507">
        <f ca="1">SUMPRODUCT($E$41:$I$41,$E60:$I60)</f>
        <v>4117.4001759231551</v>
      </c>
      <c r="M60" s="507">
        <f ca="1">SUMPRODUCT($E$42:$I$42,$E60:$I60)</f>
        <v>4104.0730247424553</v>
      </c>
      <c r="N60" s="507">
        <f ca="1">SUMPRODUCT($E$43:$I$43,$E60:$I60)</f>
        <v>4105.4544383468083</v>
      </c>
      <c r="O60" s="507">
        <f ca="1">SUMPRODUCT($E$44:$I$44,$E60:$I60)</f>
        <v>4080.4361726312</v>
      </c>
      <c r="P60" s="507">
        <f>SUMPRODUCT($E$45:$I$45,$E60:$I60)</f>
        <v>4333.99209486166</v>
      </c>
      <c r="Q60" s="507">
        <f>SUMPRODUCT($E$46:$I$46,$E60:$I60)</f>
        <v>4333.99209486166</v>
      </c>
      <c r="R60" s="507">
        <f>SUMPRODUCT($E$47:$I$47,$E60:$I60)</f>
        <v>4333.99209486166</v>
      </c>
      <c r="S60" s="507">
        <f>SUMPRODUCT($E$48:$I$48,$E60:$I60)</f>
        <v>4333.9920948616591</v>
      </c>
      <c r="T60" s="507">
        <f>SUMPRODUCT($E$49:$I$49,$E60:$I60)</f>
        <v>4333.99209486166</v>
      </c>
      <c r="U60" s="507">
        <f>SUMPRODUCT($E$50:$I$50,$E60:$I60)</f>
        <v>4333.99209486166</v>
      </c>
    </row>
    <row r="61" spans="2:21">
      <c r="B61" s="9"/>
      <c r="C61" s="9"/>
      <c r="D61" s="9"/>
      <c r="E61" s="35"/>
      <c r="F61" s="35"/>
      <c r="G61" s="35"/>
      <c r="H61" s="35"/>
      <c r="I61" s="35"/>
      <c r="J61" s="613"/>
      <c r="K61" s="613"/>
      <c r="L61" s="613"/>
      <c r="M61" s="613"/>
      <c r="N61" s="613"/>
      <c r="O61" s="613"/>
      <c r="P61" s="613"/>
      <c r="Q61" s="613"/>
      <c r="R61" s="613"/>
      <c r="S61" s="613"/>
      <c r="T61" s="613"/>
      <c r="U61" s="613"/>
    </row>
    <row r="62" spans="2:21">
      <c r="B62" s="9" t="s">
        <v>561</v>
      </c>
      <c r="C62" s="9"/>
      <c r="D62" s="9"/>
      <c r="E62" s="524">
        <f ca="1">'Cost of capital'!$C$16</f>
        <v>0.18597339504987986</v>
      </c>
      <c r="F62" s="524">
        <f ca="1">'Cost of capital'!$C$16</f>
        <v>0.18597339504987986</v>
      </c>
      <c r="G62" s="524">
        <f ca="1">'Cost of capital'!$C$16</f>
        <v>0.18597339504987986</v>
      </c>
      <c r="H62" s="524">
        <f ca="1">'Cost of capital'!$C$16</f>
        <v>0.18597339504987986</v>
      </c>
      <c r="I62" s="525">
        <f ca="1">'Cost of capital'!$C$16</f>
        <v>0.18597339504987986</v>
      </c>
      <c r="J62" s="523">
        <f ca="1">SUMPRODUCT($E$39:$I$39,$E62:$I62)</f>
        <v>0.18597339504987984</v>
      </c>
      <c r="K62" s="505">
        <f ca="1">SUMPRODUCT($E$40:$I$40,$E62:$I62)</f>
        <v>0.18597339504987986</v>
      </c>
      <c r="L62" s="505">
        <f ca="1">SUMPRODUCT($E$41:$I$41,$E62:$I62)</f>
        <v>0.18597339504987986</v>
      </c>
      <c r="M62" s="505">
        <f ca="1">SUMPRODUCT($E$42:$I$42,$E62:$I62)</f>
        <v>0.18597339504987989</v>
      </c>
      <c r="N62" s="505">
        <f ca="1">SUMPRODUCT($E$43:$I$43,$E62:$I62)</f>
        <v>0.18597339504987986</v>
      </c>
      <c r="O62" s="505">
        <f ca="1">SUMPRODUCT($E$44:$I$44,$E62:$I62)</f>
        <v>0.18597339504987986</v>
      </c>
      <c r="P62" s="505">
        <f ca="1">SUMPRODUCT($E$45:$I$45,$E62:$I62)</f>
        <v>0.18597339504987986</v>
      </c>
      <c r="Q62" s="505">
        <f ca="1">SUMPRODUCT($E$46:$I$46,$E62:$I62)</f>
        <v>0.18597339504987989</v>
      </c>
      <c r="R62" s="505">
        <f ca="1">SUMPRODUCT($E$47:$I$47,$E62:$I62)</f>
        <v>0.18597339504987986</v>
      </c>
      <c r="S62" s="505">
        <f ca="1">SUMPRODUCT($E$48:$I$48,$E62:$I62)</f>
        <v>0.18597339504987981</v>
      </c>
      <c r="T62" s="505">
        <f ca="1">SUMPRODUCT($E$49:$I$49,$E62:$I62)</f>
        <v>0.18597339504987986</v>
      </c>
      <c r="U62" s="505">
        <f ca="1">SUMPRODUCT($E$50:$I$50,$E62:$I62)</f>
        <v>0.18597339504987986</v>
      </c>
    </row>
    <row r="63" spans="2:21">
      <c r="B63" s="208" t="s">
        <v>188</v>
      </c>
      <c r="C63" s="208"/>
      <c r="D63" s="208"/>
      <c r="E63" s="358">
        <f ca="1">E52-PV(E$62/12,E59,E57)</f>
        <v>1818.181818181818</v>
      </c>
      <c r="F63" s="358">
        <f ca="1">F52-PV(F$62/12,F59,F57)</f>
        <v>7812.8694137805096</v>
      </c>
      <c r="G63" s="358">
        <f ca="1">G52-PV(G$62/12,G59,G57)</f>
        <v>8370.9598333727517</v>
      </c>
      <c r="H63" s="358">
        <f ca="1">H52-PV(H$62/12,H59,H57)</f>
        <v>1720.7108725652799</v>
      </c>
      <c r="I63" s="358">
        <f ca="1">I52-PV(I$62/12,I59,I57)</f>
        <v>1720.7108725652799</v>
      </c>
      <c r="J63" s="504">
        <f ca="1">SUMPRODUCT($E$39:$I$39,$E63:$I63)</f>
        <v>3722.8576616046839</v>
      </c>
      <c r="K63" s="504">
        <f ca="1">SUMPRODUCT($E$40:$I$40,$E63:$I63)</f>
        <v>3503.9518024046856</v>
      </c>
      <c r="L63" s="504">
        <f ca="1">SUMPRODUCT($E$41:$I$41,$E63:$I63)</f>
        <v>3526.357668731142</v>
      </c>
      <c r="M63" s="504">
        <f ca="1">SUMPRODUCT($E$42:$I$42,$E63:$I63)</f>
        <v>3514.7925784801278</v>
      </c>
      <c r="N63" s="504">
        <f ca="1">SUMPRODUCT($E$43:$I$43,$E63:$I63)</f>
        <v>3515.9097219631531</v>
      </c>
      <c r="O63" s="504">
        <f ca="1">SUMPRODUCT($E$44:$I$44,$E63:$I63)</f>
        <v>3490.2753894811053</v>
      </c>
      <c r="P63" s="504">
        <f ca="1">SUMPRODUCT($E$45:$I$45,$E63:$I63)</f>
        <v>3770.0652456480234</v>
      </c>
      <c r="Q63" s="504">
        <f ca="1">SUMPRODUCT($E$46:$I$46,$E63:$I63)</f>
        <v>3770.0652456480238</v>
      </c>
      <c r="R63" s="504">
        <f ca="1">SUMPRODUCT($E$47:$I$47,$E63:$I63)</f>
        <v>3770.0652456480234</v>
      </c>
      <c r="S63" s="504">
        <f ca="1">SUMPRODUCT($E$48:$I$48,$E63:$I63)</f>
        <v>3770.0652456480229</v>
      </c>
      <c r="T63" s="504">
        <f ca="1">SUMPRODUCT($E$49:$I$49,$E63:$I63)</f>
        <v>3770.0652456480234</v>
      </c>
      <c r="U63" s="504">
        <f ca="1">SUMPRODUCT($E$50:$I$50,$E63:$I63)</f>
        <v>3770.0652456480234</v>
      </c>
    </row>
    <row r="64" spans="2:21">
      <c r="B64" s="9"/>
      <c r="C64" s="9"/>
      <c r="D64" s="9"/>
      <c r="E64" s="150"/>
      <c r="F64" s="150"/>
      <c r="G64" s="150"/>
      <c r="H64" s="150"/>
      <c r="I64" s="150"/>
      <c r="J64" s="613"/>
      <c r="K64" s="613"/>
      <c r="L64" s="613"/>
      <c r="M64" s="613"/>
      <c r="N64" s="613"/>
      <c r="O64" s="613"/>
      <c r="P64" s="613"/>
      <c r="Q64" s="613"/>
      <c r="R64" s="613"/>
      <c r="S64" s="613"/>
      <c r="T64" s="613"/>
      <c r="U64" s="613"/>
    </row>
    <row r="65" spans="1:21">
      <c r="B65" s="9" t="s">
        <v>293</v>
      </c>
      <c r="C65" s="9"/>
      <c r="D65" s="9"/>
      <c r="E65" s="366">
        <f>'Model Assumptions'!G48</f>
        <v>922.5</v>
      </c>
      <c r="F65" s="366">
        <f>'Model Assumptions'!H48</f>
        <v>3926.5</v>
      </c>
      <c r="G65" s="366">
        <f>'Model Assumptions'!I48</f>
        <v>3808.25</v>
      </c>
      <c r="H65" s="366">
        <f>'Model Assumptions'!J48</f>
        <v>808.75</v>
      </c>
      <c r="I65" s="366">
        <f>'Model Assumptions'!K48</f>
        <v>808.75</v>
      </c>
      <c r="J65" s="507">
        <f ca="1">SUMPRODUCT($E$39:$I$39,$E65:$I65)</f>
        <v>1776.352460753395</v>
      </c>
      <c r="K65" s="507">
        <f ca="1">SUMPRODUCT($E$40:$I$40,$E65:$I65)</f>
        <v>1667.4017773932214</v>
      </c>
      <c r="L65" s="507">
        <f ca="1">SUMPRODUCT($E$41:$I$41,$E65:$I65)</f>
        <v>1676.7244764955735</v>
      </c>
      <c r="M65" s="507">
        <f t="shared" ca="1" si="18"/>
        <v>1671.1645167523006</v>
      </c>
      <c r="N65" s="507">
        <f t="shared" ca="1" si="19"/>
        <v>1671.6691382731424</v>
      </c>
      <c r="O65" s="507">
        <f t="shared" ca="1" si="20"/>
        <v>1657.7854399763576</v>
      </c>
      <c r="P65" s="507">
        <f t="shared" si="14"/>
        <v>1815.0271739130435</v>
      </c>
      <c r="Q65" s="507">
        <f t="shared" si="21"/>
        <v>1815.0271739130435</v>
      </c>
      <c r="R65" s="507">
        <f t="shared" si="15"/>
        <v>1815.0271739130435</v>
      </c>
      <c r="S65" s="507">
        <f t="shared" si="16"/>
        <v>1815.0271739130433</v>
      </c>
      <c r="T65" s="507">
        <f t="shared" si="22"/>
        <v>1815.0271739130435</v>
      </c>
      <c r="U65" s="507">
        <f t="shared" si="23"/>
        <v>1815.0271739130435</v>
      </c>
    </row>
    <row r="66" spans="1:21">
      <c r="B66" s="9"/>
      <c r="C66" s="9"/>
      <c r="D66" s="9"/>
      <c r="I66" s="54"/>
      <c r="J66" s="498"/>
      <c r="K66" s="498"/>
      <c r="L66" s="498"/>
      <c r="M66" s="498"/>
      <c r="N66" s="498"/>
      <c r="O66" s="498"/>
      <c r="P66" s="498"/>
      <c r="Q66" s="498"/>
      <c r="R66" s="498"/>
      <c r="S66" s="498"/>
      <c r="T66" s="498"/>
      <c r="U66" s="498"/>
    </row>
    <row r="67" spans="1:21">
      <c r="B67" s="9" t="s">
        <v>442</v>
      </c>
      <c r="C67" s="9"/>
      <c r="D67" s="9"/>
      <c r="E67" s="366">
        <f>_OpexP1</f>
        <v>51.5</v>
      </c>
      <c r="F67" s="5">
        <f>_OpexP2</f>
        <v>400</v>
      </c>
      <c r="G67" s="5">
        <f>_OpexP3</f>
        <v>300</v>
      </c>
      <c r="H67" s="5">
        <f>_OpexP4</f>
        <v>200</v>
      </c>
      <c r="I67" s="5">
        <f>_OpexP5</f>
        <v>200</v>
      </c>
      <c r="J67" s="507">
        <f ca="1">SUMPRODUCT($E$39:$I$39,$E67:$I67)</f>
        <v>249.02167350332297</v>
      </c>
      <c r="K67" s="507">
        <f ca="1">SUMPRODUCT($E$40:$I$40,$E67:$I67)</f>
        <v>242.73684215425931</v>
      </c>
      <c r="L67" s="507">
        <f t="shared" ca="1" si="17"/>
        <v>242.84431629461179</v>
      </c>
      <c r="M67" s="507">
        <f t="shared" ca="1" si="18"/>
        <v>242.56971850562832</v>
      </c>
      <c r="N67" s="507">
        <f t="shared" ca="1" si="19"/>
        <v>242.58673672288012</v>
      </c>
      <c r="O67" s="507">
        <f t="shared" ca="1" si="20"/>
        <v>241.52107026260433</v>
      </c>
      <c r="P67" s="507">
        <f t="shared" si="14"/>
        <v>251.11956521739131</v>
      </c>
      <c r="Q67" s="507">
        <f t="shared" si="21"/>
        <v>251.11956521739131</v>
      </c>
      <c r="R67" s="507">
        <f t="shared" si="15"/>
        <v>251.11956521739131</v>
      </c>
      <c r="S67" s="507">
        <f t="shared" si="16"/>
        <v>251.11956521739128</v>
      </c>
      <c r="T67" s="507">
        <f t="shared" si="22"/>
        <v>251.11956521739131</v>
      </c>
      <c r="U67" s="507">
        <f t="shared" si="23"/>
        <v>251.11956521739131</v>
      </c>
    </row>
    <row r="68" spans="1:21">
      <c r="B68" s="9" t="s">
        <v>443</v>
      </c>
      <c r="C68" s="9"/>
      <c r="D68" s="9"/>
      <c r="E68" s="366">
        <f>SUM('Model Assumptions'!$F$66:$F$68)*(E60)</f>
        <v>45.454545454545453</v>
      </c>
      <c r="F68" s="366">
        <f>SUM('Model Assumptions'!$F$66:$F$68)*(F60)</f>
        <v>212.72727272727272</v>
      </c>
      <c r="G68" s="366">
        <f>SUM('Model Assumptions'!$F$66:$F$68)*(G60)</f>
        <v>256.81818181818181</v>
      </c>
      <c r="H68" s="366">
        <f>SUM('Model Assumptions'!$F$66:$F$68)*(H60)</f>
        <v>50.909090909090907</v>
      </c>
      <c r="I68" s="366">
        <f>SUM('Model Assumptions'!$F$66:$F$68)*(I60)</f>
        <v>50.909090909090907</v>
      </c>
      <c r="J68" s="507">
        <f ca="1">SUMPRODUCT($E$39:$I$39,$E68:$I68)</f>
        <v>108.22204640215146</v>
      </c>
      <c r="K68" s="507">
        <f ca="1">SUMPRODUCT($E$40:$I$40,$E68:$I68)</f>
        <v>102.18450691176406</v>
      </c>
      <c r="L68" s="507">
        <f t="shared" ca="1" si="17"/>
        <v>102.93500439807889</v>
      </c>
      <c r="M68" s="507">
        <f t="shared" ca="1" si="18"/>
        <v>102.60182561856136</v>
      </c>
      <c r="N68" s="507">
        <f t="shared" ca="1" si="19"/>
        <v>102.63636095867022</v>
      </c>
      <c r="O68" s="507">
        <f t="shared" ca="1" si="20"/>
        <v>102.01090431578001</v>
      </c>
      <c r="P68" s="507">
        <f t="shared" si="14"/>
        <v>108.3498023715415</v>
      </c>
      <c r="Q68" s="507">
        <f t="shared" si="21"/>
        <v>108.34980237154151</v>
      </c>
      <c r="R68" s="507">
        <f t="shared" si="15"/>
        <v>108.3498023715415</v>
      </c>
      <c r="S68" s="507">
        <f t="shared" si="16"/>
        <v>108.34980237154149</v>
      </c>
      <c r="T68" s="507">
        <f t="shared" si="22"/>
        <v>108.3498023715415</v>
      </c>
      <c r="U68" s="507">
        <f t="shared" si="23"/>
        <v>108.3498023715415</v>
      </c>
    </row>
    <row r="69" spans="1:21">
      <c r="B69" s="9"/>
      <c r="C69" s="9"/>
      <c r="D69" s="9"/>
      <c r="I69" s="54"/>
      <c r="J69" s="498"/>
      <c r="K69" s="498"/>
      <c r="L69" s="498"/>
      <c r="M69" s="498"/>
      <c r="N69" s="498"/>
      <c r="O69" s="498"/>
      <c r="P69" s="498"/>
      <c r="Q69" s="498"/>
      <c r="R69" s="498"/>
      <c r="S69" s="498"/>
      <c r="T69" s="498"/>
      <c r="U69" s="498"/>
    </row>
    <row r="70" spans="1:21">
      <c r="B70" s="260" t="s">
        <v>229</v>
      </c>
      <c r="C70" s="260"/>
      <c r="D70" s="260"/>
      <c r="E70" s="26">
        <f t="shared" ref="E70:U70" ca="1" si="24">(E63-E65)/E63</f>
        <v>0.49262499999999998</v>
      </c>
      <c r="F70" s="26">
        <f t="shared" ca="1" si="24"/>
        <v>0.49743176392090294</v>
      </c>
      <c r="G70" s="26">
        <f t="shared" ca="1" si="24"/>
        <v>0.54506411740054739</v>
      </c>
      <c r="H70" s="26">
        <f t="shared" ca="1" si="24"/>
        <v>0.5299907655059477</v>
      </c>
      <c r="I70" s="26">
        <f t="shared" ca="1" si="24"/>
        <v>0.5299907655059477</v>
      </c>
      <c r="J70" s="502">
        <f t="shared" ca="1" si="24"/>
        <v>0.52285243696700345</v>
      </c>
      <c r="K70" s="502">
        <f t="shared" ca="1" si="24"/>
        <v>0.52413678286073451</v>
      </c>
      <c r="L70" s="502">
        <f t="shared" ca="1" si="24"/>
        <v>0.52451661629125257</v>
      </c>
      <c r="M70" s="502">
        <f t="shared" ca="1" si="24"/>
        <v>0.52453395771225042</v>
      </c>
      <c r="N70" s="502">
        <f t="shared" ca="1" si="24"/>
        <v>0.52454150690201895</v>
      </c>
      <c r="O70" s="502">
        <f t="shared" ca="1" si="24"/>
        <v>0.52502732449922285</v>
      </c>
      <c r="P70" s="502">
        <f t="shared" ca="1" si="24"/>
        <v>0.5185687632307634</v>
      </c>
      <c r="Q70" s="502">
        <f t="shared" ca="1" si="24"/>
        <v>0.51856876323076351</v>
      </c>
      <c r="R70" s="502">
        <f t="shared" ca="1" si="24"/>
        <v>0.5185687632307634</v>
      </c>
      <c r="S70" s="502">
        <f t="shared" ca="1" si="24"/>
        <v>0.51856876323076351</v>
      </c>
      <c r="T70" s="502">
        <f t="shared" ca="1" si="24"/>
        <v>0.5185687632307634</v>
      </c>
      <c r="U70" s="502">
        <f t="shared" ca="1" si="24"/>
        <v>0.5185687632307634</v>
      </c>
    </row>
    <row r="71" spans="1:21">
      <c r="B71" s="260" t="s">
        <v>444</v>
      </c>
      <c r="E71" s="26">
        <f t="shared" ref="E71:U71" ca="1" si="25">(E63-SUM(E65:E68))/E63</f>
        <v>0.43929999999999991</v>
      </c>
      <c r="F71" s="26">
        <f t="shared" ca="1" si="25"/>
        <v>0.41900638135319596</v>
      </c>
      <c r="G71" s="26">
        <f t="shared" ca="1" si="25"/>
        <v>0.47854627561156893</v>
      </c>
      <c r="H71" s="26">
        <f t="shared" ca="1" si="25"/>
        <v>0.38417365299184514</v>
      </c>
      <c r="I71" s="26">
        <f t="shared" ca="1" si="25"/>
        <v>0.38417365299184514</v>
      </c>
      <c r="J71" s="503">
        <f t="shared" ca="1" si="25"/>
        <v>0.4268928939552275</v>
      </c>
      <c r="K71" s="503">
        <f t="shared" ca="1" si="25"/>
        <v>0.42569897077972613</v>
      </c>
      <c r="L71" s="503">
        <f t="shared" ca="1" si="25"/>
        <v>0.42646095853458793</v>
      </c>
      <c r="M71" s="503">
        <f t="shared" ca="1" si="25"/>
        <v>0.42632857676386765</v>
      </c>
      <c r="N71" s="503">
        <f t="shared" ca="1" si="25"/>
        <v>0.42635266674920902</v>
      </c>
      <c r="O71" s="503">
        <f t="shared" ca="1" si="25"/>
        <v>0.42660186053333887</v>
      </c>
      <c r="P71" s="503">
        <f t="shared" ca="1" si="25"/>
        <v>0.42322044850228852</v>
      </c>
      <c r="Q71" s="503">
        <f t="shared" ca="1" si="25"/>
        <v>0.42322044850228857</v>
      </c>
      <c r="R71" s="503">
        <f t="shared" ca="1" si="25"/>
        <v>0.42322044850228852</v>
      </c>
      <c r="S71" s="503">
        <f t="shared" ca="1" si="25"/>
        <v>0.42322044850228857</v>
      </c>
      <c r="T71" s="503">
        <f t="shared" ca="1" si="25"/>
        <v>0.42322044850228852</v>
      </c>
      <c r="U71" s="503">
        <f t="shared" ca="1" si="25"/>
        <v>0.42322044850228852</v>
      </c>
    </row>
    <row r="72" spans="1:21">
      <c r="B72" s="260"/>
      <c r="E72" s="26"/>
      <c r="F72" s="26"/>
      <c r="G72" s="26"/>
      <c r="H72" s="26"/>
      <c r="I72" s="26"/>
      <c r="J72" s="368"/>
      <c r="K72" s="368"/>
      <c r="L72" s="368"/>
      <c r="M72" s="368"/>
      <c r="N72" s="368"/>
      <c r="O72" s="368"/>
      <c r="P72" s="368"/>
      <c r="Q72" s="368"/>
      <c r="R72" s="368"/>
    </row>
    <row r="73" spans="1:21">
      <c r="H73" s="26"/>
    </row>
    <row r="74" spans="1:21" s="163" customFormat="1">
      <c r="A74" s="160" t="s">
        <v>40</v>
      </c>
      <c r="B74" s="338"/>
      <c r="C74" s="161"/>
      <c r="D74" s="161"/>
      <c r="E74" s="161"/>
      <c r="F74" s="161"/>
      <c r="G74" s="161"/>
      <c r="H74" s="161"/>
      <c r="I74" s="339"/>
      <c r="J74" s="161"/>
      <c r="K74" s="161"/>
      <c r="L74" s="161"/>
      <c r="M74" s="161"/>
      <c r="N74" s="161"/>
      <c r="O74" s="161"/>
      <c r="P74" s="161"/>
      <c r="Q74" s="161"/>
      <c r="R74" s="161"/>
    </row>
  </sheetData>
  <sheetProtection sheet="1" objects="1" scenarios="1"/>
  <conditionalFormatting sqref="I74">
    <cfRule type="colorScale" priority="1">
      <colorScale>
        <cfvo type="num" val="0"/>
        <cfvo type="num" val="1"/>
        <color rgb="FF00B050"/>
        <color rgb="FFFFC000"/>
      </colorScale>
    </cfRule>
  </conditionalFormatting>
  <hyperlinks>
    <hyperlink ref="B3" location="'Cover page'!A1" display="Cover page" xr:uid="{A874BF7E-36FD-43A7-82C6-2974D25F22D1}"/>
  </hyperlinks>
  <pageMargins left="0.7" right="0.7" top="0.75" bottom="0.75" header="0.3" footer="0.3"/>
  <pageSetup paperSize="9" scale="37"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755D-B6E0-4C15-BCBA-2C45004FE2A7}">
  <sheetPr>
    <tabColor theme="8" tint="0.59999389629810485"/>
  </sheetPr>
  <dimension ref="A1:U24"/>
  <sheetViews>
    <sheetView showGridLines="0" zoomScale="80" zoomScaleNormal="80" zoomScaleSheetLayoutView="55" workbookViewId="0">
      <selection activeCell="D32" sqref="D32"/>
    </sheetView>
  </sheetViews>
  <sheetFormatPr defaultColWidth="8.77734375" defaultRowHeight="13.8" outlineLevelRow="1"/>
  <cols>
    <col min="1" max="1" width="6" style="5" customWidth="1"/>
    <col min="2" max="2" width="55.21875" style="5" customWidth="1"/>
    <col min="3" max="3" width="20" style="5" bestFit="1" customWidth="1"/>
    <col min="4" max="9" width="25.77734375" style="5" customWidth="1"/>
    <col min="10" max="16384" width="8.77734375" style="5"/>
  </cols>
  <sheetData>
    <row r="1" spans="1:21" s="163" customFormat="1">
      <c r="A1" s="160"/>
      <c r="B1" s="160" t="str">
        <f>+Flags!B1</f>
        <v>[Company name]</v>
      </c>
      <c r="C1" s="161"/>
      <c r="D1" s="161"/>
      <c r="E1" s="161"/>
      <c r="F1" s="161"/>
      <c r="G1" s="162"/>
      <c r="H1" s="162"/>
      <c r="I1" s="162"/>
      <c r="J1" s="162"/>
      <c r="K1" s="162"/>
      <c r="L1" s="162"/>
      <c r="M1" s="162"/>
      <c r="N1" s="369"/>
      <c r="O1" s="369"/>
      <c r="P1" s="369"/>
      <c r="Q1" s="369"/>
      <c r="R1" s="369"/>
      <c r="S1" s="369"/>
      <c r="T1" s="369"/>
      <c r="U1" s="369"/>
    </row>
    <row r="2" spans="1:21" s="163" customFormat="1">
      <c r="A2" s="160"/>
      <c r="B2" s="160" t="str">
        <f ca="1">RIGHT(CELL("filename",$B$1),LEN(CELL("filename",$B$1))-SEARCH("]",CELL("filename",$B$1)))</f>
        <v>Sensitivity analysis (USD)</v>
      </c>
      <c r="C2" s="161"/>
      <c r="D2" s="161"/>
      <c r="E2" s="161"/>
      <c r="F2" s="161"/>
      <c r="G2" s="162"/>
      <c r="H2" s="162"/>
      <c r="I2" s="162"/>
      <c r="J2" s="162"/>
      <c r="K2" s="162"/>
      <c r="L2" s="162"/>
      <c r="M2" s="162"/>
      <c r="N2" s="369"/>
      <c r="O2" s="369"/>
      <c r="P2" s="369"/>
      <c r="Q2" s="369"/>
      <c r="R2" s="369"/>
      <c r="S2" s="369"/>
      <c r="T2" s="369"/>
      <c r="U2" s="369"/>
    </row>
    <row r="3" spans="1:21" s="163" customFormat="1">
      <c r="A3" s="160"/>
      <c r="B3" s="370" t="s">
        <v>72</v>
      </c>
      <c r="C3" s="161"/>
      <c r="D3" s="161"/>
      <c r="E3" s="161"/>
      <c r="F3" s="161"/>
      <c r="G3" s="162"/>
      <c r="H3" s="165"/>
      <c r="I3" s="165"/>
      <c r="J3" s="165"/>
      <c r="K3" s="165"/>
      <c r="L3" s="165"/>
      <c r="M3" s="165"/>
      <c r="N3" s="371"/>
      <c r="O3" s="371"/>
      <c r="P3" s="371"/>
      <c r="Q3" s="371"/>
      <c r="R3" s="371"/>
      <c r="S3" s="371"/>
      <c r="T3" s="371"/>
      <c r="U3" s="371"/>
    </row>
    <row r="4" spans="1:21" s="539" customFormat="1">
      <c r="B4" s="544" t="str">
        <f ca="1">IF(MasterCheck=0,"All checks are OK","There are "&amp;MasterCheck&amp;" errors!")</f>
        <v>All checks are OK</v>
      </c>
    </row>
    <row r="6" spans="1:21" s="120" customFormat="1">
      <c r="A6" s="5"/>
      <c r="B6" s="85" t="s">
        <v>404</v>
      </c>
      <c r="C6" s="85"/>
      <c r="D6" s="85"/>
      <c r="E6" s="85"/>
      <c r="F6" s="85"/>
      <c r="G6" s="85"/>
      <c r="H6" s="85"/>
      <c r="I6" s="85"/>
    </row>
    <row r="8" spans="1:21">
      <c r="B8" s="119" t="s">
        <v>515</v>
      </c>
    </row>
    <row r="10" spans="1:21">
      <c r="C10" s="37" t="str">
        <f>"Net income cash "&amp;VALUE('Macro Model (USD)'!M3)</f>
        <v>Net income cash 2028</v>
      </c>
      <c r="F10" s="372" t="s">
        <v>88</v>
      </c>
    </row>
    <row r="11" spans="1:21">
      <c r="C11" s="373">
        <f ca="1">'Macro Model (USD)'!NetIncome_2025</f>
        <v>383372.58637138852</v>
      </c>
      <c r="D11" s="374">
        <v>0.75</v>
      </c>
      <c r="E11" s="374">
        <v>0.8</v>
      </c>
      <c r="F11" s="374">
        <v>0.85</v>
      </c>
      <c r="G11" s="374">
        <v>0.9</v>
      </c>
      <c r="H11" s="374">
        <v>0.95</v>
      </c>
      <c r="I11" s="375">
        <v>1</v>
      </c>
    </row>
    <row r="12" spans="1:21">
      <c r="B12" s="614" t="s">
        <v>680</v>
      </c>
      <c r="C12" s="499">
        <v>0.01</v>
      </c>
      <c r="D12" s="376">
        <f t="dataTable" ref="D12:I16" dt2D="1" dtr="1" r1="C19" r2="C21" ca="1"/>
        <v>-215639.75205977098</v>
      </c>
      <c r="E12" s="376">
        <v>-82883.008931306511</v>
      </c>
      <c r="F12" s="376">
        <v>14474.457973700555</v>
      </c>
      <c r="G12" s="376">
        <v>110117.14136644584</v>
      </c>
      <c r="H12" s="376">
        <v>202262.88293012467</v>
      </c>
      <c r="I12" s="377">
        <v>294408.62449380412</v>
      </c>
    </row>
    <row r="13" spans="1:21">
      <c r="C13" s="499">
        <v>0.02</v>
      </c>
      <c r="D13" s="376">
        <v>70959.645081357565</v>
      </c>
      <c r="E13" s="376">
        <v>227166.11572637255</v>
      </c>
      <c r="F13" s="376">
        <v>383372.58637138852</v>
      </c>
      <c r="G13" s="376">
        <v>539579.05701640411</v>
      </c>
      <c r="H13" s="376">
        <v>695785.52766142017</v>
      </c>
      <c r="I13" s="377">
        <v>851991.99830643542</v>
      </c>
    </row>
    <row r="14" spans="1:21">
      <c r="C14" s="499">
        <v>0.04</v>
      </c>
      <c r="D14" s="376">
        <v>1140097.6576077435</v>
      </c>
      <c r="E14" s="376">
        <v>1592246.7653878541</v>
      </c>
      <c r="F14" s="376">
        <v>2044395.8731679653</v>
      </c>
      <c r="G14" s="376">
        <v>2496544.9809480738</v>
      </c>
      <c r="H14" s="376">
        <v>2948694.0887281857</v>
      </c>
      <c r="I14" s="377">
        <v>3400843.1965083024</v>
      </c>
    </row>
    <row r="15" spans="1:21">
      <c r="C15" s="499">
        <v>0.05</v>
      </c>
      <c r="D15" s="376">
        <v>2265100.3976159003</v>
      </c>
      <c r="E15" s="376">
        <v>3034640.6478977818</v>
      </c>
      <c r="F15" s="376">
        <v>3804180.8981796703</v>
      </c>
      <c r="G15" s="376">
        <v>4573721.1484615579</v>
      </c>
      <c r="H15" s="376">
        <v>5343261.3987434367</v>
      </c>
      <c r="I15" s="377">
        <v>6112801.6490253257</v>
      </c>
    </row>
    <row r="16" spans="1:21">
      <c r="C16" s="512">
        <v>0.06</v>
      </c>
      <c r="D16" s="378">
        <v>4150779.034590011</v>
      </c>
      <c r="E16" s="378">
        <v>5459083.8974526161</v>
      </c>
      <c r="F16" s="378">
        <v>6767388.7603152059</v>
      </c>
      <c r="G16" s="378">
        <v>8075693.6231778096</v>
      </c>
      <c r="H16" s="378">
        <v>9383998.4860404208</v>
      </c>
      <c r="I16" s="379">
        <v>10692303.348903006</v>
      </c>
    </row>
    <row r="18" spans="1:11">
      <c r="C18" s="26"/>
    </row>
    <row r="19" spans="1:11" hidden="1" outlineLevel="1">
      <c r="B19" s="5" t="s">
        <v>318</v>
      </c>
      <c r="C19" s="380"/>
      <c r="D19" s="239" t="s">
        <v>330</v>
      </c>
    </row>
    <row r="20" spans="1:11" hidden="1" outlineLevel="1">
      <c r="B20" s="5" t="s">
        <v>319</v>
      </c>
      <c r="C20" s="380"/>
      <c r="D20" s="239" t="s">
        <v>330</v>
      </c>
    </row>
    <row r="21" spans="1:11" hidden="1" outlineLevel="1">
      <c r="B21" s="5" t="s">
        <v>325</v>
      </c>
      <c r="C21" s="380"/>
      <c r="D21" s="239" t="s">
        <v>330</v>
      </c>
    </row>
    <row r="22" spans="1:11" collapsed="1">
      <c r="K22" s="239"/>
    </row>
    <row r="24" spans="1:11" s="163" customFormat="1">
      <c r="A24" s="160" t="s">
        <v>40</v>
      </c>
      <c r="B24" s="338"/>
      <c r="C24" s="161"/>
      <c r="D24" s="161"/>
      <c r="E24" s="161"/>
      <c r="F24" s="161"/>
      <c r="G24" s="161"/>
      <c r="H24" s="339"/>
      <c r="I24" s="161"/>
      <c r="J24" s="161"/>
    </row>
  </sheetData>
  <sheetProtection sheet="1" objects="1" scenarios="1"/>
  <conditionalFormatting sqref="H24">
    <cfRule type="colorScale" priority="4">
      <colorScale>
        <cfvo type="num" val="0"/>
        <cfvo type="num" val="1"/>
        <color rgb="FF00B050"/>
        <color rgb="FFFFC000"/>
      </colorScale>
    </cfRule>
  </conditionalFormatting>
  <conditionalFormatting sqref="D12:I16">
    <cfRule type="colorScale" priority="3">
      <colorScale>
        <cfvo type="min"/>
        <cfvo type="percentile" val="50"/>
        <cfvo type="max"/>
        <color rgb="FFF8696B"/>
        <color rgb="FFFFEB84"/>
        <color rgb="FF63BE7B"/>
      </colorScale>
    </cfRule>
  </conditionalFormatting>
  <hyperlinks>
    <hyperlink ref="B3" location="'Cover page'!A1" display="Cover page" xr:uid="{C5FF8148-610D-4ABE-ADE2-A74E41974F36}"/>
  </hyperlinks>
  <pageMargins left="0.7" right="0.7" top="0.75" bottom="0.75" header="0.3" footer="0.3"/>
  <pageSetup paperSize="9" scale="2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41A7-1574-4553-97EF-22F2AE3AA2AD}">
  <sheetPr>
    <tabColor theme="9" tint="0.79998168889431442"/>
  </sheetPr>
  <dimension ref="A1:CB43"/>
  <sheetViews>
    <sheetView showGridLines="0" zoomScale="80" zoomScaleNormal="80" zoomScaleSheetLayoutView="70" workbookViewId="0">
      <selection activeCell="F23" sqref="F23"/>
    </sheetView>
  </sheetViews>
  <sheetFormatPr defaultColWidth="8.77734375" defaultRowHeight="13.8"/>
  <cols>
    <col min="1" max="1" width="6" style="266" customWidth="1"/>
    <col min="2" max="2" width="21" style="266" customWidth="1"/>
    <col min="3" max="3" width="28.44140625" style="266" bestFit="1" customWidth="1"/>
    <col min="4" max="4" width="89.44140625" style="266" bestFit="1" customWidth="1"/>
    <col min="5" max="5" width="12.21875" style="266" bestFit="1" customWidth="1"/>
    <col min="6" max="6" width="37.77734375" style="266" customWidth="1"/>
    <col min="7" max="7" width="13.77734375" style="269" customWidth="1"/>
    <col min="8" max="8" width="14.77734375" style="266" customWidth="1"/>
    <col min="9" max="14" width="12.77734375" style="271" customWidth="1"/>
    <col min="15" max="15" width="13.77734375" style="271" customWidth="1"/>
    <col min="16" max="16" width="12.77734375" style="271" customWidth="1"/>
    <col min="17" max="17" width="13.77734375" style="271" customWidth="1"/>
    <col min="18" max="19" width="12.77734375" style="271" customWidth="1"/>
    <col min="20" max="33" width="12.77734375" style="271" bestFit="1" customWidth="1"/>
    <col min="34" max="57" width="13.44140625" style="271" bestFit="1" customWidth="1"/>
    <col min="58" max="78" width="13.77734375" style="271" bestFit="1" customWidth="1"/>
    <col min="79" max="79" width="15.77734375" style="271" bestFit="1" customWidth="1"/>
    <col min="80" max="16384" width="8.77734375" style="266"/>
  </cols>
  <sheetData>
    <row r="1" spans="1:79" s="163" customFormat="1">
      <c r="A1" s="160"/>
      <c r="B1" s="160" t="str">
        <f>+Flags!B1</f>
        <v>[Company name]</v>
      </c>
      <c r="C1" s="160"/>
      <c r="D1" s="160"/>
      <c r="E1" s="161"/>
      <c r="F1" s="161"/>
      <c r="G1" s="237"/>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row>
    <row r="2" spans="1:79" s="163" customFormat="1">
      <c r="A2" s="160"/>
      <c r="B2" s="160" t="str">
        <f ca="1">RIGHT(CELL("filename",$B$1),LEN(CELL("filename",$B$1))-SEARCH("]",CELL("filename",$B$1)))</f>
        <v>Master error check</v>
      </c>
      <c r="C2" s="160"/>
      <c r="D2" s="160"/>
      <c r="E2" s="161"/>
      <c r="F2" s="161"/>
      <c r="G2" s="237"/>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row>
    <row r="3" spans="1:79" s="163" customFormat="1">
      <c r="A3" s="160"/>
      <c r="B3" s="267" t="s">
        <v>72</v>
      </c>
      <c r="C3" s="160"/>
      <c r="D3" s="160"/>
      <c r="E3" s="161"/>
      <c r="F3" s="161"/>
      <c r="G3" s="237"/>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row>
    <row r="4" spans="1:79" s="163" customFormat="1">
      <c r="A4" s="160"/>
      <c r="B4" s="544" t="str">
        <f ca="1">IF(MasterCheck=0,"All checks are OK","There are "&amp;MasterCheck&amp;" errors!")</f>
        <v>All checks are OK</v>
      </c>
      <c r="C4" s="160"/>
      <c r="D4" s="160"/>
      <c r="E4" s="161"/>
      <c r="F4" s="161"/>
      <c r="G4" s="237"/>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row>
    <row r="5" spans="1:79" s="75" customFormat="1">
      <c r="A5" s="70"/>
      <c r="B5" s="268"/>
      <c r="C5" s="70"/>
      <c r="D5" s="70"/>
      <c r="E5" s="72"/>
      <c r="F5" s="72"/>
      <c r="G5" s="238"/>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row>
    <row r="6" spans="1:79" customFormat="1" ht="14.4">
      <c r="B6" s="534" t="s">
        <v>555</v>
      </c>
      <c r="C6" s="266"/>
      <c r="D6" s="266"/>
      <c r="E6" s="536">
        <f ca="1">SUM(E9:E32)</f>
        <v>0</v>
      </c>
      <c r="F6" s="266"/>
    </row>
    <row r="7" spans="1:79" customFormat="1" ht="14.4"/>
    <row r="8" spans="1:79" customFormat="1" ht="14.4">
      <c r="B8" s="535" t="s">
        <v>532</v>
      </c>
      <c r="C8" s="535" t="s">
        <v>619</v>
      </c>
      <c r="D8" s="535" t="s">
        <v>533</v>
      </c>
      <c r="E8" s="535" t="s">
        <v>541</v>
      </c>
    </row>
    <row r="9" spans="1:79" customFormat="1" ht="14.4">
      <c r="B9" t="s">
        <v>593</v>
      </c>
      <c r="C9" t="s">
        <v>620</v>
      </c>
      <c r="D9" t="s">
        <v>615</v>
      </c>
      <c r="E9" s="528">
        <f>'Model Assumptions'!D127</f>
        <v>0</v>
      </c>
    </row>
    <row r="10" spans="1:79" customFormat="1" ht="14.4">
      <c r="B10" t="s">
        <v>422</v>
      </c>
      <c r="C10" t="s">
        <v>492</v>
      </c>
      <c r="D10" t="s">
        <v>535</v>
      </c>
      <c r="E10" s="528">
        <f>'Detailed Model (LCY)'!H20</f>
        <v>0</v>
      </c>
    </row>
    <row r="11" spans="1:79" customFormat="1" ht="14.4">
      <c r="B11" t="s">
        <v>422</v>
      </c>
      <c r="C11" t="s">
        <v>621</v>
      </c>
      <c r="D11" t="s">
        <v>536</v>
      </c>
      <c r="E11" s="528">
        <f ca="1">'Detailed Model (LCY)'!H243</f>
        <v>0</v>
      </c>
    </row>
    <row r="12" spans="1:79" customFormat="1" ht="14.4">
      <c r="B12" t="s">
        <v>422</v>
      </c>
      <c r="C12" t="s">
        <v>621</v>
      </c>
      <c r="D12" t="s">
        <v>534</v>
      </c>
      <c r="E12" s="528">
        <f ca="1">'Detailed Model (LCY)'!H244</f>
        <v>0</v>
      </c>
    </row>
    <row r="13" spans="1:79" customFormat="1" ht="14.4">
      <c r="B13" t="s">
        <v>422</v>
      </c>
      <c r="C13" t="s">
        <v>646</v>
      </c>
      <c r="D13" t="s">
        <v>616</v>
      </c>
      <c r="E13" s="528">
        <f ca="1">'Detailed Model (LCY)'!H266</f>
        <v>0</v>
      </c>
    </row>
    <row r="14" spans="1:79" customFormat="1" ht="14.4">
      <c r="B14" t="s">
        <v>422</v>
      </c>
      <c r="C14" t="s">
        <v>649</v>
      </c>
      <c r="D14" t="s">
        <v>618</v>
      </c>
      <c r="E14" s="528">
        <f ca="1">'Detailed Model (LCY)'!H267</f>
        <v>0</v>
      </c>
    </row>
    <row r="15" spans="1:79" customFormat="1" ht="14.4">
      <c r="B15" t="s">
        <v>422</v>
      </c>
      <c r="C15" t="s">
        <v>646</v>
      </c>
      <c r="D15" t="s">
        <v>648</v>
      </c>
      <c r="E15" s="528">
        <f ca="1">'Detailed Model (LCY)'!H268</f>
        <v>0</v>
      </c>
    </row>
    <row r="16" spans="1:79" customFormat="1" ht="14.4">
      <c r="B16" t="s">
        <v>422</v>
      </c>
      <c r="C16" t="s">
        <v>647</v>
      </c>
      <c r="D16" t="s">
        <v>616</v>
      </c>
      <c r="E16" s="528">
        <f ca="1">'Detailed Model (LCY)'!H290</f>
        <v>0</v>
      </c>
    </row>
    <row r="17" spans="2:5" customFormat="1" ht="14.4">
      <c r="B17" t="s">
        <v>422</v>
      </c>
      <c r="C17" t="s">
        <v>650</v>
      </c>
      <c r="D17" t="s">
        <v>618</v>
      </c>
      <c r="E17" s="528">
        <f ca="1">'Detailed Model (LCY)'!H291</f>
        <v>0</v>
      </c>
    </row>
    <row r="18" spans="2:5" customFormat="1" ht="14.4">
      <c r="B18" t="s">
        <v>422</v>
      </c>
      <c r="C18" t="s">
        <v>647</v>
      </c>
      <c r="D18" t="s">
        <v>648</v>
      </c>
      <c r="E18" s="528">
        <f ca="1">'Detailed Model (LCY)'!H292</f>
        <v>0</v>
      </c>
    </row>
    <row r="19" spans="2:5" customFormat="1" ht="14.4">
      <c r="B19" t="s">
        <v>424</v>
      </c>
      <c r="C19" t="s">
        <v>175</v>
      </c>
      <c r="D19" s="43" t="s">
        <v>537</v>
      </c>
      <c r="E19" s="528">
        <f ca="1">'Macro Model (LCY)'!F120</f>
        <v>0</v>
      </c>
    </row>
    <row r="20" spans="2:5" customFormat="1" ht="14.4">
      <c r="B20" t="s">
        <v>424</v>
      </c>
      <c r="C20" t="s">
        <v>175</v>
      </c>
      <c r="D20" s="43" t="s">
        <v>538</v>
      </c>
      <c r="E20" s="528">
        <f ca="1">'Macro Model (LCY)'!F121</f>
        <v>0</v>
      </c>
    </row>
    <row r="21" spans="2:5" customFormat="1" ht="14.4">
      <c r="B21" t="s">
        <v>424</v>
      </c>
      <c r="C21" t="s">
        <v>175</v>
      </c>
      <c r="D21" s="43" t="s">
        <v>539</v>
      </c>
      <c r="E21" s="528">
        <f ca="1">'Macro Model (LCY)'!F122</f>
        <v>0</v>
      </c>
    </row>
    <row r="22" spans="2:5" customFormat="1" ht="14.4">
      <c r="B22" t="s">
        <v>424</v>
      </c>
      <c r="C22" t="s">
        <v>175</v>
      </c>
      <c r="D22" s="43" t="s">
        <v>540</v>
      </c>
      <c r="E22" s="528">
        <f ca="1">'Macro Model (LCY)'!F123</f>
        <v>0</v>
      </c>
    </row>
    <row r="23" spans="2:5" customFormat="1" ht="14.4">
      <c r="B23" t="s">
        <v>424</v>
      </c>
      <c r="C23" t="s">
        <v>622</v>
      </c>
      <c r="D23" t="s">
        <v>616</v>
      </c>
      <c r="E23" s="528">
        <f ca="1">'Macro Model (LCY)'!F199</f>
        <v>0</v>
      </c>
    </row>
    <row r="24" spans="2:5" customFormat="1" ht="14.4">
      <c r="B24" t="s">
        <v>424</v>
      </c>
      <c r="C24" t="s">
        <v>621</v>
      </c>
      <c r="D24" t="s">
        <v>617</v>
      </c>
      <c r="E24" s="528">
        <f ca="1">'Macro Model (LCY)'!F200</f>
        <v>0</v>
      </c>
    </row>
    <row r="25" spans="2:5" customFormat="1" ht="14.4">
      <c r="B25" t="s">
        <v>424</v>
      </c>
      <c r="C25" t="s">
        <v>623</v>
      </c>
      <c r="D25" t="s">
        <v>618</v>
      </c>
      <c r="E25" s="528">
        <f ca="1">'Macro Model (LCY)'!F201</f>
        <v>0</v>
      </c>
    </row>
    <row r="26" spans="2:5" customFormat="1" ht="14.4">
      <c r="B26" t="s">
        <v>424</v>
      </c>
      <c r="C26" t="s">
        <v>621</v>
      </c>
      <c r="D26" t="s">
        <v>534</v>
      </c>
      <c r="E26" s="528">
        <f ca="1">'Macro Model (LCY)'!F202</f>
        <v>0</v>
      </c>
    </row>
    <row r="27" spans="2:5" customFormat="1" ht="14.4">
      <c r="B27" t="s">
        <v>423</v>
      </c>
      <c r="C27" t="s">
        <v>175</v>
      </c>
      <c r="D27" s="43" t="s">
        <v>651</v>
      </c>
      <c r="E27" s="528">
        <f ca="1">'Macro Model (USD)'!F121</f>
        <v>0</v>
      </c>
    </row>
    <row r="28" spans="2:5" customFormat="1" ht="14.4">
      <c r="B28" t="s">
        <v>423</v>
      </c>
      <c r="C28" t="s">
        <v>175</v>
      </c>
      <c r="D28" s="43" t="s">
        <v>652</v>
      </c>
      <c r="E28" s="528">
        <f ca="1">'Macro Model (USD)'!F122</f>
        <v>0</v>
      </c>
    </row>
    <row r="29" spans="2:5" customFormat="1" ht="14.4">
      <c r="B29" t="s">
        <v>423</v>
      </c>
      <c r="C29" t="s">
        <v>622</v>
      </c>
      <c r="D29" t="s">
        <v>616</v>
      </c>
      <c r="E29" s="528">
        <f ca="1">'Macro Model (USD)'!F199</f>
        <v>0</v>
      </c>
    </row>
    <row r="30" spans="2:5" customFormat="1" ht="14.4">
      <c r="B30" t="s">
        <v>423</v>
      </c>
      <c r="C30" t="s">
        <v>621</v>
      </c>
      <c r="D30" t="s">
        <v>617</v>
      </c>
      <c r="E30" s="528">
        <f ca="1">'Macro Model (USD)'!F200</f>
        <v>0</v>
      </c>
    </row>
    <row r="31" spans="2:5" customFormat="1" ht="14.4">
      <c r="B31" t="s">
        <v>423</v>
      </c>
      <c r="C31" t="s">
        <v>623</v>
      </c>
      <c r="D31" t="s">
        <v>618</v>
      </c>
      <c r="E31" s="528">
        <f ca="1">'Macro Model (USD)'!F201</f>
        <v>0</v>
      </c>
    </row>
    <row r="32" spans="2:5" customFormat="1" ht="14.4">
      <c r="B32" t="s">
        <v>423</v>
      </c>
      <c r="C32" t="s">
        <v>621</v>
      </c>
      <c r="D32" t="s">
        <v>534</v>
      </c>
      <c r="E32" s="528">
        <f ca="1">'Macro Model (USD)'!F202</f>
        <v>0</v>
      </c>
    </row>
    <row r="33" spans="1:80" customFormat="1" ht="14.4">
      <c r="C33" s="43"/>
      <c r="D33" s="43"/>
      <c r="E33" s="528"/>
    </row>
    <row r="34" spans="1:80" customFormat="1" ht="14.4">
      <c r="C34" s="43"/>
      <c r="D34" s="43"/>
      <c r="E34" s="528"/>
    </row>
    <row r="35" spans="1:80" customFormat="1" ht="14.4">
      <c r="C35" s="43"/>
      <c r="D35" s="43"/>
      <c r="E35" s="528"/>
    </row>
    <row r="36" spans="1:80" ht="14.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row>
    <row r="37" spans="1:80" s="170" customFormat="1" ht="14.4">
      <c r="A37" s="166" t="s">
        <v>40</v>
      </c>
      <c r="B37" s="168"/>
      <c r="C37" s="167"/>
      <c r="D37" s="167"/>
      <c r="E37" s="167"/>
      <c r="F37" s="167"/>
      <c r="G37" s="237"/>
      <c r="H37" s="169"/>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row>
    <row r="41" spans="1:80">
      <c r="H41" s="270"/>
    </row>
    <row r="42" spans="1:80">
      <c r="H42" s="272"/>
    </row>
    <row r="43" spans="1:80">
      <c r="H43" s="272"/>
    </row>
  </sheetData>
  <sheetProtection sheet="1" objects="1" scenarios="1"/>
  <conditionalFormatting sqref="H37">
    <cfRule type="colorScale" priority="24">
      <colorScale>
        <cfvo type="num" val="0"/>
        <cfvo type="num" val="1"/>
        <color rgb="FF00B050"/>
        <color rgb="FFFFC000"/>
      </colorScale>
    </cfRule>
  </conditionalFormatting>
  <conditionalFormatting sqref="A4 A1:B3 A36:B1048576 E36:XFD1048576 C33:D1048576 A5:B5 C1:XFD5 C19:D22 C23:C26 C27:D28 C29:C32">
    <cfRule type="cellIs" dxfId="5" priority="14" operator="equal">
      <formula>"FALSE"</formula>
    </cfRule>
    <cfRule type="cellIs" dxfId="4" priority="15" operator="equal">
      <formula>"TRUE"</formula>
    </cfRule>
  </conditionalFormatting>
  <conditionalFormatting sqref="C14">
    <cfRule type="cellIs" dxfId="3" priority="3" operator="equal">
      <formula>"FALSE"</formula>
    </cfRule>
    <cfRule type="cellIs" dxfId="2" priority="4" operator="equal">
      <formula>"TRUE"</formula>
    </cfRule>
  </conditionalFormatting>
  <conditionalFormatting sqref="C17">
    <cfRule type="cellIs" dxfId="1" priority="1" operator="equal">
      <formula>"FALSE"</formula>
    </cfRule>
    <cfRule type="cellIs" dxfId="0" priority="2" operator="equal">
      <formula>"TRUE"</formula>
    </cfRule>
  </conditionalFormatting>
  <dataValidations count="1">
    <dataValidation allowBlank="1" showErrorMessage="1" sqref="C33:D35 C19:D22 C27:D28" xr:uid="{9746ED2A-806D-4960-8428-9E653DC8963E}"/>
  </dataValidations>
  <hyperlinks>
    <hyperlink ref="B3" location="'Cover page'!A1" display="Cover page" xr:uid="{01FF5E4A-B18A-45A2-98A1-EC1BE3179652}"/>
  </hyperlinks>
  <pageMargins left="0.7" right="0.7" top="0.75" bottom="0.75" header="0.3" footer="0.3"/>
  <pageSetup scale="39" orientation="portrait" horizontalDpi="1200" verticalDpi="1200" r:id="rId1"/>
  <colBreaks count="5" manualBreakCount="5">
    <brk id="19" max="1048575" man="1"/>
    <brk id="31" max="1048575" man="1"/>
    <brk id="43" max="1048575" man="1"/>
    <brk id="55" max="1048575" man="1"/>
    <brk id="6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AG54"/>
  <sheetViews>
    <sheetView showGridLines="0" zoomScale="80" zoomScaleNormal="80" workbookViewId="0">
      <selection activeCell="L23" sqref="L23:R26"/>
    </sheetView>
  </sheetViews>
  <sheetFormatPr defaultColWidth="8.77734375" defaultRowHeight="13.8"/>
  <cols>
    <col min="1" max="1" width="6" style="623" customWidth="1"/>
    <col min="2" max="5" width="8.77734375" style="623"/>
    <col min="6" max="6" width="9.77734375" style="623" customWidth="1"/>
    <col min="7" max="8" width="8.77734375" style="623"/>
    <col min="9" max="9" width="10.44140625" style="623" customWidth="1"/>
    <col min="10" max="25" width="8.77734375" style="623"/>
    <col min="26" max="26" width="12.21875" style="623" customWidth="1"/>
    <col min="27" max="27" width="8.77734375" style="623"/>
    <col min="28" max="33" width="16.77734375" style="623" bestFit="1" customWidth="1"/>
    <col min="34" max="16384" width="8.77734375" style="5"/>
  </cols>
  <sheetData>
    <row r="1" spans="1:33" s="277" customFormat="1">
      <c r="B1" s="276" t="str">
        <f>+Flags!B1</f>
        <v>[Company name]</v>
      </c>
      <c r="I1" s="618"/>
    </row>
    <row r="2" spans="1:33" s="277" customFormat="1">
      <c r="B2" s="276" t="str">
        <f ca="1">RIGHT(CELL("filename",$B$1),LEN(CELL("filename",$B$1))-SEARCH("]",CELL("filename",$B$1)))</f>
        <v>Dashboard</v>
      </c>
      <c r="I2" s="618"/>
      <c r="J2" s="619"/>
    </row>
    <row r="3" spans="1:33" s="277" customFormat="1">
      <c r="B3" s="370" t="s">
        <v>72</v>
      </c>
      <c r="I3" s="618"/>
    </row>
    <row r="4" spans="1:33" s="277" customFormat="1">
      <c r="B4" s="620" t="str">
        <f ca="1">IF(MasterCheck=0,"All checks are OK","There are "&amp;MasterCheck&amp;" errors!")</f>
        <v>All checks are OK</v>
      </c>
      <c r="I4" s="618"/>
    </row>
    <row r="6" spans="1:33" s="622" customFormat="1" ht="16.2" thickBot="1">
      <c r="A6" s="621"/>
      <c r="B6" s="621"/>
      <c r="C6" s="670" t="s">
        <v>710</v>
      </c>
      <c r="D6" s="670"/>
      <c r="E6" s="670"/>
      <c r="F6" s="670"/>
      <c r="G6" s="670"/>
      <c r="H6" s="670"/>
      <c r="I6" s="670"/>
      <c r="J6" s="621"/>
      <c r="K6" s="621"/>
      <c r="L6" s="670" t="s">
        <v>203</v>
      </c>
      <c r="M6" s="670"/>
      <c r="N6" s="670"/>
      <c r="O6" s="670"/>
      <c r="P6" s="670"/>
      <c r="Q6" s="670"/>
      <c r="R6" s="670"/>
      <c r="S6" s="621"/>
      <c r="T6" s="621"/>
      <c r="U6" s="670" t="s">
        <v>519</v>
      </c>
      <c r="V6" s="670"/>
      <c r="W6" s="670"/>
      <c r="X6" s="670"/>
      <c r="Y6" s="670"/>
      <c r="Z6" s="670"/>
      <c r="AA6" s="670"/>
      <c r="AB6" s="621"/>
      <c r="AC6" s="621"/>
      <c r="AD6" s="621"/>
      <c r="AE6" s="621"/>
      <c r="AF6" s="621"/>
      <c r="AG6" s="621"/>
    </row>
    <row r="7" spans="1:33" s="622" customFormat="1" ht="15.6">
      <c r="A7" s="621"/>
      <c r="B7" s="621"/>
      <c r="C7" s="621" t="s">
        <v>516</v>
      </c>
      <c r="D7" s="621"/>
      <c r="E7" s="621"/>
      <c r="F7" s="621"/>
      <c r="G7" s="621"/>
      <c r="H7" s="621"/>
      <c r="I7" s="621"/>
      <c r="J7" s="621"/>
      <c r="K7" s="621"/>
      <c r="L7" s="621" t="s">
        <v>204</v>
      </c>
      <c r="M7" s="621"/>
      <c r="N7" s="621"/>
      <c r="O7" s="621"/>
      <c r="P7" s="621"/>
      <c r="Q7" s="621"/>
      <c r="R7" s="621"/>
      <c r="S7" s="621"/>
      <c r="T7" s="621"/>
      <c r="U7" s="621" t="s">
        <v>204</v>
      </c>
      <c r="V7" s="621"/>
      <c r="W7" s="621"/>
      <c r="X7" s="621"/>
      <c r="Y7" s="621"/>
      <c r="Z7" s="621"/>
      <c r="AA7" s="621"/>
      <c r="AB7" s="621"/>
      <c r="AC7" s="621"/>
      <c r="AD7" s="621"/>
      <c r="AE7" s="621"/>
      <c r="AF7" s="621"/>
      <c r="AG7" s="621"/>
    </row>
    <row r="9" spans="1:33" ht="13.8" customHeight="1">
      <c r="V9" s="624"/>
      <c r="W9" s="624"/>
      <c r="X9" s="624"/>
      <c r="Y9" s="624"/>
      <c r="Z9" s="624"/>
      <c r="AB9" s="625"/>
      <c r="AC9" s="625"/>
      <c r="AD9" s="625"/>
      <c r="AE9" s="625"/>
      <c r="AF9" s="625"/>
      <c r="AG9" s="625"/>
    </row>
    <row r="10" spans="1:33" ht="38.549999999999997" customHeight="1">
      <c r="V10" s="624"/>
      <c r="W10" s="624"/>
      <c r="X10" s="624"/>
      <c r="Y10" s="624"/>
      <c r="Z10" s="624"/>
      <c r="AB10" s="625"/>
      <c r="AC10" s="625"/>
      <c r="AD10" s="625"/>
      <c r="AE10" s="625"/>
      <c r="AF10" s="625"/>
      <c r="AG10" s="625"/>
    </row>
    <row r="11" spans="1:33">
      <c r="V11" s="626"/>
      <c r="W11" s="626"/>
      <c r="X11" s="626"/>
      <c r="Y11" s="626"/>
      <c r="Z11" s="626"/>
      <c r="AB11" s="625"/>
      <c r="AC11" s="625"/>
      <c r="AD11" s="625"/>
      <c r="AE11" s="625"/>
      <c r="AF11" s="625"/>
      <c r="AG11" s="625"/>
    </row>
    <row r="12" spans="1:33" ht="14.55" customHeight="1">
      <c r="AB12" s="625"/>
      <c r="AC12" s="625"/>
      <c r="AD12" s="625"/>
      <c r="AE12" s="625"/>
      <c r="AF12" s="625"/>
      <c r="AG12" s="625"/>
    </row>
    <row r="13" spans="1:33" ht="32.549999999999997" customHeight="1"/>
    <row r="14" spans="1:33" ht="14.55" customHeight="1"/>
    <row r="15" spans="1:33" ht="14.55" customHeight="1"/>
    <row r="16" spans="1:33" ht="14.55" customHeight="1"/>
    <row r="17" spans="1:33" ht="38.549999999999997" customHeight="1"/>
    <row r="23" spans="1:33">
      <c r="C23" s="671" t="s">
        <v>729</v>
      </c>
      <c r="D23" s="665"/>
      <c r="E23" s="665"/>
      <c r="F23" s="665"/>
      <c r="G23" s="665"/>
      <c r="H23" s="665"/>
      <c r="I23" s="665"/>
      <c r="L23" s="671" t="s">
        <v>730</v>
      </c>
      <c r="M23" s="665"/>
      <c r="N23" s="665"/>
      <c r="O23" s="665"/>
      <c r="P23" s="665"/>
      <c r="Q23" s="665"/>
      <c r="R23" s="665"/>
      <c r="U23" s="671" t="s">
        <v>731</v>
      </c>
      <c r="V23" s="665"/>
      <c r="W23" s="665"/>
      <c r="X23" s="665"/>
      <c r="Y23" s="665"/>
      <c r="Z23" s="665"/>
      <c r="AA23" s="665"/>
    </row>
    <row r="24" spans="1:33">
      <c r="C24" s="665"/>
      <c r="D24" s="665"/>
      <c r="E24" s="665"/>
      <c r="F24" s="665"/>
      <c r="G24" s="665"/>
      <c r="H24" s="665"/>
      <c r="I24" s="665"/>
      <c r="L24" s="665"/>
      <c r="M24" s="665"/>
      <c r="N24" s="665"/>
      <c r="O24" s="665"/>
      <c r="P24" s="665"/>
      <c r="Q24" s="665"/>
      <c r="R24" s="665"/>
      <c r="U24" s="665"/>
      <c r="V24" s="665"/>
      <c r="W24" s="665"/>
      <c r="X24" s="665"/>
      <c r="Y24" s="665"/>
      <c r="Z24" s="665"/>
      <c r="AA24" s="665"/>
    </row>
    <row r="25" spans="1:33" ht="13.5" customHeight="1">
      <c r="C25" s="664"/>
      <c r="D25" s="664"/>
      <c r="E25" s="664"/>
      <c r="F25" s="664"/>
      <c r="G25" s="664"/>
      <c r="H25" s="664"/>
      <c r="I25" s="664"/>
      <c r="L25" s="665"/>
      <c r="M25" s="665"/>
      <c r="N25" s="665"/>
      <c r="O25" s="665"/>
      <c r="P25" s="665"/>
      <c r="Q25" s="665"/>
      <c r="R25" s="665"/>
      <c r="U25" s="665"/>
      <c r="V25" s="665"/>
      <c r="W25" s="665"/>
      <c r="X25" s="665"/>
      <c r="Y25" s="665"/>
      <c r="Z25" s="665"/>
      <c r="AA25" s="665"/>
    </row>
    <row r="26" spans="1:33" ht="16.05" customHeight="1">
      <c r="C26" s="664"/>
      <c r="D26" s="664"/>
      <c r="E26" s="664"/>
      <c r="F26" s="664"/>
      <c r="G26" s="664"/>
      <c r="H26" s="664"/>
      <c r="I26" s="664"/>
      <c r="L26" s="665"/>
      <c r="M26" s="665"/>
      <c r="N26" s="665"/>
      <c r="O26" s="665"/>
      <c r="P26" s="665"/>
      <c r="Q26" s="665"/>
      <c r="R26" s="665"/>
      <c r="U26" s="665"/>
      <c r="V26" s="665"/>
      <c r="W26" s="665"/>
      <c r="X26" s="665"/>
      <c r="Y26" s="665"/>
      <c r="Z26" s="665"/>
      <c r="AA26" s="665"/>
    </row>
    <row r="27" spans="1:33" ht="12" customHeight="1"/>
    <row r="28" spans="1:33" s="622" customFormat="1" ht="16.2" thickBot="1">
      <c r="A28" s="621"/>
      <c r="B28" s="621"/>
      <c r="C28" s="670" t="s">
        <v>517</v>
      </c>
      <c r="D28" s="670"/>
      <c r="E28" s="670"/>
      <c r="F28" s="670"/>
      <c r="G28" s="670"/>
      <c r="H28" s="670"/>
      <c r="I28" s="670"/>
      <c r="J28" s="621"/>
      <c r="K28" s="621"/>
      <c r="L28" s="670" t="s">
        <v>518</v>
      </c>
      <c r="M28" s="670"/>
      <c r="N28" s="670"/>
      <c r="O28" s="670"/>
      <c r="P28" s="670"/>
      <c r="Q28" s="670"/>
      <c r="R28" s="670"/>
      <c r="S28" s="621"/>
      <c r="T28" s="621"/>
      <c r="U28" s="670" t="s">
        <v>520</v>
      </c>
      <c r="V28" s="670"/>
      <c r="W28" s="670"/>
      <c r="X28" s="670"/>
      <c r="Y28" s="670"/>
      <c r="Z28" s="670"/>
      <c r="AA28" s="670"/>
      <c r="AB28" s="621"/>
      <c r="AC28" s="621"/>
      <c r="AD28" s="621"/>
      <c r="AE28" s="621"/>
      <c r="AF28" s="621"/>
      <c r="AG28" s="621"/>
    </row>
    <row r="29" spans="1:33" s="622" customFormat="1" ht="19.350000000000001" customHeight="1">
      <c r="A29" s="621"/>
      <c r="B29" s="621"/>
      <c r="C29" s="621" t="s">
        <v>204</v>
      </c>
      <c r="D29" s="627"/>
      <c r="E29" s="627"/>
      <c r="F29" s="627"/>
      <c r="G29" s="627"/>
      <c r="H29" s="627"/>
      <c r="I29" s="627"/>
      <c r="J29" s="621"/>
      <c r="K29" s="621"/>
      <c r="L29" s="621" t="s">
        <v>204</v>
      </c>
      <c r="M29" s="627"/>
      <c r="N29" s="627"/>
      <c r="O29" s="627"/>
      <c r="P29" s="627"/>
      <c r="Q29" s="627"/>
      <c r="R29" s="628"/>
      <c r="S29" s="621"/>
      <c r="T29" s="621"/>
      <c r="U29" s="621"/>
      <c r="V29" s="621"/>
      <c r="W29" s="621"/>
      <c r="X29" s="621"/>
      <c r="Y29" s="621"/>
      <c r="Z29" s="621"/>
      <c r="AA29" s="621"/>
      <c r="AB29" s="621"/>
      <c r="AC29" s="621"/>
      <c r="AD29" s="621"/>
      <c r="AE29" s="621"/>
      <c r="AF29" s="621"/>
      <c r="AG29" s="621"/>
    </row>
    <row r="30" spans="1:33" ht="23.1" customHeight="1">
      <c r="C30" s="629"/>
      <c r="D30" s="629"/>
      <c r="E30" s="629"/>
      <c r="F30" s="629"/>
      <c r="G30" s="629"/>
      <c r="H30" s="629"/>
      <c r="I30" s="629"/>
      <c r="M30" s="629"/>
      <c r="N30" s="629"/>
      <c r="O30" s="629"/>
      <c r="P30" s="629"/>
      <c r="Q30" s="629"/>
      <c r="R30" s="629"/>
    </row>
    <row r="31" spans="1:33" ht="22.35" customHeight="1">
      <c r="C31" s="629"/>
      <c r="D31" s="629"/>
      <c r="E31" s="629"/>
      <c r="F31" s="629"/>
      <c r="G31" s="629"/>
      <c r="H31" s="629"/>
      <c r="I31" s="629"/>
      <c r="L31" s="629"/>
      <c r="M31" s="629"/>
      <c r="N31" s="629"/>
      <c r="O31" s="629"/>
      <c r="P31" s="629"/>
      <c r="Q31" s="629"/>
      <c r="R31" s="629"/>
      <c r="U31" s="629"/>
      <c r="V31" s="629"/>
      <c r="W31" s="629"/>
      <c r="X31" s="629"/>
      <c r="Y31" s="629"/>
      <c r="Z31" s="629"/>
      <c r="AA31" s="629"/>
    </row>
    <row r="32" spans="1:33" ht="17.55" customHeight="1"/>
    <row r="49" spans="1:33" s="622" customFormat="1" ht="15.6">
      <c r="A49" s="621"/>
      <c r="B49" s="623"/>
      <c r="C49" s="671" t="s">
        <v>733</v>
      </c>
      <c r="D49" s="665"/>
      <c r="E49" s="665"/>
      <c r="F49" s="665"/>
      <c r="G49" s="665"/>
      <c r="H49" s="665"/>
      <c r="I49" s="665"/>
      <c r="J49" s="623"/>
      <c r="K49" s="623"/>
      <c r="L49" s="671" t="s">
        <v>734</v>
      </c>
      <c r="M49" s="665"/>
      <c r="N49" s="665"/>
      <c r="O49" s="665"/>
      <c r="P49" s="665"/>
      <c r="Q49" s="665"/>
      <c r="R49" s="665"/>
      <c r="S49" s="623"/>
      <c r="T49" s="623"/>
      <c r="U49" s="671" t="s">
        <v>735</v>
      </c>
      <c r="V49" s="665"/>
      <c r="W49" s="665"/>
      <c r="X49" s="665"/>
      <c r="Y49" s="665"/>
      <c r="Z49" s="665"/>
      <c r="AA49" s="665"/>
      <c r="AB49" s="623"/>
      <c r="AC49" s="623"/>
      <c r="AD49" s="623"/>
      <c r="AE49" s="623"/>
      <c r="AF49" s="623"/>
      <c r="AG49" s="623"/>
    </row>
    <row r="50" spans="1:33" s="622" customFormat="1" ht="14.55" customHeight="1">
      <c r="A50" s="621"/>
      <c r="B50" s="621"/>
      <c r="C50" s="665"/>
      <c r="D50" s="665"/>
      <c r="E50" s="665"/>
      <c r="F50" s="665"/>
      <c r="G50" s="665"/>
      <c r="H50" s="665"/>
      <c r="I50" s="665"/>
      <c r="J50" s="621"/>
      <c r="K50" s="621"/>
      <c r="L50" s="665"/>
      <c r="M50" s="665"/>
      <c r="N50" s="665"/>
      <c r="O50" s="665"/>
      <c r="P50" s="665"/>
      <c r="Q50" s="665"/>
      <c r="R50" s="665"/>
      <c r="S50" s="621"/>
      <c r="T50" s="621"/>
      <c r="U50" s="665"/>
      <c r="V50" s="665"/>
      <c r="W50" s="665"/>
      <c r="X50" s="665"/>
      <c r="Y50" s="665"/>
      <c r="Z50" s="665"/>
      <c r="AA50" s="665"/>
      <c r="AB50" s="621"/>
      <c r="AC50" s="621"/>
      <c r="AD50" s="621"/>
      <c r="AE50" s="621"/>
      <c r="AF50" s="621"/>
      <c r="AG50" s="621"/>
    </row>
    <row r="51" spans="1:33">
      <c r="C51" s="665"/>
      <c r="D51" s="665"/>
      <c r="E51" s="665"/>
      <c r="F51" s="665"/>
      <c r="G51" s="665"/>
      <c r="H51" s="665"/>
      <c r="I51" s="665"/>
      <c r="L51" s="665"/>
      <c r="M51" s="665"/>
      <c r="N51" s="665"/>
      <c r="O51" s="665"/>
      <c r="P51" s="665"/>
      <c r="Q51" s="665"/>
      <c r="R51" s="665"/>
      <c r="U51" s="665"/>
      <c r="V51" s="665"/>
      <c r="W51" s="665"/>
      <c r="X51" s="665"/>
      <c r="Y51" s="665"/>
      <c r="Z51" s="665"/>
      <c r="AA51" s="665"/>
    </row>
    <row r="52" spans="1:33" ht="15.45" customHeight="1">
      <c r="C52" s="665"/>
      <c r="D52" s="665"/>
      <c r="E52" s="665"/>
      <c r="F52" s="665"/>
      <c r="G52" s="665"/>
      <c r="H52" s="665"/>
      <c r="I52" s="665"/>
      <c r="L52" s="665"/>
      <c r="M52" s="665"/>
      <c r="N52" s="665"/>
      <c r="O52" s="665"/>
      <c r="P52" s="665"/>
      <c r="Q52" s="665"/>
      <c r="R52" s="665"/>
      <c r="U52" s="665"/>
      <c r="V52" s="665"/>
      <c r="W52" s="665"/>
      <c r="X52" s="665"/>
      <c r="Y52" s="665"/>
      <c r="Z52" s="665"/>
      <c r="AA52" s="665"/>
    </row>
    <row r="53" spans="1:33">
      <c r="L53" s="672"/>
      <c r="M53" s="672"/>
      <c r="N53" s="672"/>
      <c r="O53" s="672"/>
      <c r="P53" s="672"/>
      <c r="Q53" s="672"/>
      <c r="R53" s="672"/>
    </row>
    <row r="54" spans="1:33">
      <c r="L54" s="672"/>
      <c r="M54" s="672"/>
      <c r="N54" s="672"/>
      <c r="O54" s="672"/>
      <c r="P54" s="672"/>
      <c r="Q54" s="672"/>
      <c r="R54" s="672"/>
    </row>
  </sheetData>
  <sheetProtection sheet="1" objects="1" scenarios="1"/>
  <mergeCells count="12">
    <mergeCell ref="C49:I52"/>
    <mergeCell ref="L49:R54"/>
    <mergeCell ref="U49:AA52"/>
    <mergeCell ref="U28:AA28"/>
    <mergeCell ref="C28:I28"/>
    <mergeCell ref="L28:R28"/>
    <mergeCell ref="C6:I6"/>
    <mergeCell ref="L6:R6"/>
    <mergeCell ref="U6:AA6"/>
    <mergeCell ref="C23:I26"/>
    <mergeCell ref="L23:R26"/>
    <mergeCell ref="U23:AA26"/>
  </mergeCells>
  <phoneticPr fontId="47" type="noConversion"/>
  <conditionalFormatting sqref="I1:I3">
    <cfRule type="colorScale" priority="2">
      <colorScale>
        <cfvo type="num" val="0"/>
        <cfvo type="num" val="1"/>
        <color rgb="FF00B050"/>
        <color rgb="FFFFC000"/>
      </colorScale>
    </cfRule>
  </conditionalFormatting>
  <conditionalFormatting sqref="I4">
    <cfRule type="colorScale" priority="1">
      <colorScale>
        <cfvo type="num" val="0"/>
        <cfvo type="num" val="1"/>
        <color rgb="FF00B050"/>
        <color rgb="FFFFC000"/>
      </colorScale>
    </cfRule>
  </conditionalFormatting>
  <hyperlinks>
    <hyperlink ref="B3" location="'Cover page'!A1" display="Cover page" xr:uid="{00000000-0004-0000-0100-000000000000}"/>
  </hyperlinks>
  <pageMargins left="0.7" right="0.7" top="0.75" bottom="0.75" header="0.3" footer="0.3"/>
  <pageSetup scale="3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7" tint="0.39997558519241921"/>
  </sheetPr>
  <dimension ref="A1:CD177"/>
  <sheetViews>
    <sheetView showGridLines="0" zoomScale="80" zoomScaleNormal="80" zoomScaleSheetLayoutView="55" workbookViewId="0">
      <selection activeCell="D13" sqref="D13"/>
    </sheetView>
  </sheetViews>
  <sheetFormatPr defaultColWidth="11.44140625" defaultRowHeight="14.4" outlineLevelRow="1"/>
  <cols>
    <col min="1" max="1" width="6" style="5" customWidth="1"/>
    <col min="2" max="2" width="34.21875" style="5" bestFit="1" customWidth="1"/>
    <col min="3" max="4" width="49.21875" style="5" customWidth="1"/>
    <col min="5" max="5" width="30.77734375" style="5" bestFit="1" customWidth="1"/>
    <col min="6" max="6" width="41.44140625" style="5" bestFit="1" customWidth="1"/>
    <col min="7" max="7" width="11.44140625" style="5"/>
    <col min="8" max="9" width="12.44140625" style="5" customWidth="1"/>
    <col min="10" max="10" width="12.21875" style="5" bestFit="1" customWidth="1"/>
    <col min="11" max="11" width="11.21875" style="5" bestFit="1" customWidth="1"/>
    <col min="12" max="12" width="11.44140625" style="5" bestFit="1"/>
    <col min="13" max="13" width="11.44140625" style="5"/>
    <col min="14" max="16" width="11.44140625" style="5" customWidth="1"/>
    <col min="17" max="19" width="10.77734375" style="5"/>
  </cols>
  <sheetData>
    <row r="1" spans="1:19" s="277" customFormat="1" ht="13.8">
      <c r="B1" s="276" t="str">
        <f>+Flags!B1</f>
        <v>[Company name]</v>
      </c>
      <c r="K1" s="278"/>
    </row>
    <row r="2" spans="1:19" s="277" customFormat="1" ht="13.8">
      <c r="B2" s="276" t="str">
        <f ca="1">RIGHT(CELL("filename",$B$1),LEN(CELL("filename",$B$1))-SEARCH("]",CELL("filename",$B$1)))</f>
        <v>Model Assumptions</v>
      </c>
      <c r="K2" s="278"/>
    </row>
    <row r="3" spans="1:19" s="277" customFormat="1" ht="13.8">
      <c r="B3" s="164" t="s">
        <v>72</v>
      </c>
      <c r="K3" s="278"/>
    </row>
    <row r="4" spans="1:19" s="277" customFormat="1" ht="13.8">
      <c r="B4" s="544" t="str">
        <f ca="1">IF(MasterCheck=0,"All checks are OK","There are "&amp;MasterCheck&amp;" errors!")</f>
        <v>All checks are OK</v>
      </c>
      <c r="J4" s="278"/>
    </row>
    <row r="5" spans="1:19" s="5" customFormat="1" ht="13.8"/>
    <row r="6" spans="1:19" s="5" customFormat="1" ht="13.8">
      <c r="B6" s="393" t="s">
        <v>454</v>
      </c>
      <c r="C6" s="183"/>
      <c r="D6" s="183"/>
      <c r="E6" s="183"/>
      <c r="F6" s="183"/>
      <c r="G6" s="183"/>
      <c r="H6" s="183"/>
      <c r="I6" s="183"/>
      <c r="J6" s="183"/>
      <c r="K6" s="183"/>
      <c r="L6" s="183"/>
      <c r="M6" s="120"/>
      <c r="N6" s="183"/>
      <c r="O6" s="120"/>
      <c r="P6" s="183"/>
      <c r="Q6" s="183"/>
      <c r="R6" s="183"/>
      <c r="S6" s="183"/>
    </row>
    <row r="7" spans="1:19" s="5" customFormat="1" ht="13.8"/>
    <row r="8" spans="1:19" s="15" customFormat="1" ht="13.8">
      <c r="C8" s="16" t="s">
        <v>30</v>
      </c>
      <c r="D8" s="16"/>
    </row>
    <row r="9" spans="1:19" s="15" customFormat="1" ht="13.8">
      <c r="C9" s="15" t="s">
        <v>31</v>
      </c>
      <c r="D9" s="630" t="s">
        <v>420</v>
      </c>
    </row>
    <row r="10" spans="1:19" s="15" customFormat="1" ht="13.8"/>
    <row r="11" spans="1:19">
      <c r="A11" s="15"/>
      <c r="B11" s="15"/>
      <c r="C11" s="17" t="s">
        <v>35</v>
      </c>
      <c r="D11" s="15"/>
      <c r="F11" s="15"/>
      <c r="G11" s="15"/>
      <c r="H11" s="15"/>
      <c r="I11" s="15"/>
      <c r="J11" s="15"/>
      <c r="K11" s="15"/>
      <c r="L11" s="15"/>
      <c r="M11" s="15"/>
      <c r="N11" s="15"/>
      <c r="O11" s="15"/>
      <c r="P11" s="15"/>
      <c r="Q11" s="15"/>
      <c r="R11" s="15"/>
      <c r="S11" s="15"/>
    </row>
    <row r="12" spans="1:19">
      <c r="A12" s="15"/>
      <c r="B12" s="15"/>
      <c r="C12" s="15" t="s">
        <v>36</v>
      </c>
      <c r="D12" s="631">
        <v>44927</v>
      </c>
      <c r="F12" s="15"/>
      <c r="G12" s="15"/>
      <c r="H12" s="15"/>
      <c r="I12" s="15"/>
      <c r="J12" s="15"/>
      <c r="K12" s="15"/>
      <c r="L12" s="15"/>
      <c r="M12" s="15"/>
      <c r="N12" s="15"/>
      <c r="O12" s="15"/>
      <c r="P12" s="15"/>
      <c r="Q12" s="15"/>
      <c r="R12" s="15"/>
      <c r="S12" s="15"/>
    </row>
    <row r="13" spans="1:19">
      <c r="A13" s="15"/>
      <c r="B13" s="15"/>
      <c r="C13" s="15" t="s">
        <v>419</v>
      </c>
      <c r="D13" s="266">
        <v>12</v>
      </c>
      <c r="F13" s="15"/>
      <c r="G13" s="15"/>
      <c r="H13" s="15"/>
      <c r="I13" s="15"/>
      <c r="J13" s="15"/>
      <c r="K13" s="15"/>
      <c r="L13" s="15"/>
      <c r="M13" s="15"/>
      <c r="N13" s="15"/>
      <c r="O13" s="15"/>
      <c r="P13" s="15"/>
      <c r="Q13" s="15"/>
      <c r="R13" s="15"/>
      <c r="S13" s="15"/>
    </row>
    <row r="14" spans="1:19">
      <c r="A14" s="15"/>
      <c r="B14" s="15"/>
      <c r="C14" s="15" t="s">
        <v>38</v>
      </c>
      <c r="D14" s="266">
        <v>10</v>
      </c>
      <c r="F14" s="15"/>
      <c r="G14" s="15"/>
      <c r="H14" s="15"/>
      <c r="I14" s="15"/>
      <c r="J14" s="15"/>
      <c r="K14" s="15"/>
      <c r="L14" s="15"/>
      <c r="M14" s="15"/>
      <c r="N14" s="15"/>
      <c r="O14" s="15"/>
      <c r="P14" s="15"/>
      <c r="Q14" s="15"/>
      <c r="R14" s="15"/>
      <c r="S14" s="15"/>
    </row>
    <row r="15" spans="1:19">
      <c r="A15" s="15"/>
      <c r="B15" s="15"/>
      <c r="C15" s="15" t="s">
        <v>39</v>
      </c>
      <c r="D15" s="18">
        <f>EOMONTH($D$12,$D$14*$D$13-MONTH(D12))</f>
        <v>48579</v>
      </c>
      <c r="F15" s="15"/>
      <c r="G15" s="15"/>
      <c r="H15" s="15"/>
      <c r="I15" s="15"/>
      <c r="J15" s="15"/>
      <c r="K15" s="15"/>
      <c r="L15" s="15"/>
      <c r="M15" s="15"/>
      <c r="N15" s="15"/>
      <c r="O15" s="15"/>
      <c r="P15" s="15"/>
      <c r="Q15" s="15"/>
      <c r="R15" s="15"/>
      <c r="S15" s="15"/>
    </row>
    <row r="16" spans="1:19">
      <c r="A16" s="15"/>
      <c r="B16" s="15"/>
      <c r="C16" s="15"/>
      <c r="D16" s="15"/>
      <c r="E16" s="18"/>
      <c r="F16" s="15"/>
      <c r="G16" s="15"/>
      <c r="H16" s="15"/>
      <c r="I16" s="15"/>
      <c r="J16" s="15"/>
      <c r="K16" s="15"/>
      <c r="L16" s="15"/>
      <c r="M16" s="15"/>
      <c r="N16" s="15"/>
      <c r="O16" s="15"/>
      <c r="P16" s="15"/>
      <c r="Q16" s="15"/>
      <c r="R16" s="15"/>
      <c r="S16" s="15"/>
    </row>
    <row r="17" spans="1:19">
      <c r="B17" s="393" t="s">
        <v>217</v>
      </c>
      <c r="C17" s="183"/>
      <c r="D17" s="183"/>
      <c r="E17" s="183"/>
      <c r="F17" s="183"/>
      <c r="G17" s="183"/>
      <c r="H17" s="183"/>
      <c r="I17" s="183"/>
      <c r="J17" s="183"/>
      <c r="K17" s="183"/>
      <c r="L17" s="183"/>
      <c r="M17" s="120"/>
      <c r="N17" s="183"/>
      <c r="O17" s="120"/>
      <c r="P17" s="183"/>
      <c r="Q17" s="183"/>
      <c r="R17" s="183"/>
      <c r="S17" s="183"/>
    </row>
    <row r="19" spans="1:19">
      <c r="B19" s="6" t="s">
        <v>401</v>
      </c>
      <c r="C19" s="5" t="s">
        <v>456</v>
      </c>
      <c r="D19" s="632">
        <v>10</v>
      </c>
    </row>
    <row r="20" spans="1:19">
      <c r="B20" s="6" t="s">
        <v>331</v>
      </c>
      <c r="C20" s="5" t="s">
        <v>521</v>
      </c>
      <c r="D20" s="633">
        <v>0</v>
      </c>
    </row>
    <row r="22" spans="1:19">
      <c r="B22" s="394" t="s">
        <v>70</v>
      </c>
      <c r="C22" s="173"/>
      <c r="D22" s="569" t="s">
        <v>566</v>
      </c>
      <c r="E22" s="174"/>
      <c r="F22" s="174"/>
      <c r="G22" s="174"/>
      <c r="H22" s="174"/>
      <c r="I22" s="174"/>
      <c r="J22" s="174"/>
      <c r="K22" s="175"/>
      <c r="L22" s="175"/>
      <c r="M22" s="175"/>
      <c r="N22" s="175"/>
      <c r="O22" s="175"/>
      <c r="P22" s="175"/>
      <c r="Q22" s="175"/>
      <c r="R22" s="175"/>
      <c r="S22" s="175"/>
    </row>
    <row r="23" spans="1:19">
      <c r="B23" s="49"/>
      <c r="C23" s="50"/>
      <c r="E23" s="51"/>
      <c r="F23" s="51"/>
      <c r="G23" s="51"/>
      <c r="H23" s="52"/>
      <c r="I23" s="52"/>
      <c r="J23" s="51"/>
      <c r="L23" s="51"/>
      <c r="M23" s="51"/>
      <c r="N23" s="52"/>
      <c r="O23" s="51"/>
      <c r="P23" s="51"/>
      <c r="Q23" s="51"/>
      <c r="R23" s="51"/>
      <c r="S23" s="51"/>
    </row>
    <row r="24" spans="1:19">
      <c r="A24" s="225"/>
      <c r="B24" s="226"/>
      <c r="C24" s="225"/>
      <c r="E24" s="517"/>
      <c r="F24" s="225"/>
      <c r="G24" s="227" t="s">
        <v>249</v>
      </c>
      <c r="H24" s="228" t="s">
        <v>250</v>
      </c>
      <c r="I24" s="229" t="s">
        <v>251</v>
      </c>
      <c r="J24" s="230" t="s">
        <v>252</v>
      </c>
      <c r="K24" s="231" t="s">
        <v>216</v>
      </c>
      <c r="L24" s="225"/>
      <c r="M24" s="225"/>
      <c r="N24" s="225"/>
      <c r="O24" s="225"/>
      <c r="P24" s="225"/>
      <c r="Q24" s="225"/>
      <c r="R24" s="225"/>
      <c r="S24" s="225"/>
    </row>
    <row r="25" spans="1:19">
      <c r="B25" s="6" t="s">
        <v>24</v>
      </c>
      <c r="C25" s="9" t="s">
        <v>736</v>
      </c>
      <c r="D25" s="9" t="s">
        <v>571</v>
      </c>
      <c r="E25" s="9"/>
      <c r="F25" s="9"/>
      <c r="G25" s="647">
        <v>0</v>
      </c>
      <c r="H25" s="647">
        <v>1000</v>
      </c>
      <c r="I25" s="647">
        <v>800</v>
      </c>
      <c r="J25" s="647">
        <v>3000</v>
      </c>
      <c r="K25" s="647">
        <v>100</v>
      </c>
      <c r="L25" s="26"/>
      <c r="O25" s="186"/>
      <c r="P25" s="13"/>
    </row>
    <row r="26" spans="1:19">
      <c r="B26" s="6"/>
      <c r="C26" s="5" t="s">
        <v>737</v>
      </c>
      <c r="D26" s="5" t="s">
        <v>571</v>
      </c>
      <c r="E26" s="9"/>
      <c r="F26" s="9"/>
      <c r="G26" s="635">
        <v>10</v>
      </c>
      <c r="H26" s="635">
        <v>100</v>
      </c>
      <c r="I26" s="635">
        <v>50</v>
      </c>
      <c r="J26" s="635">
        <v>200</v>
      </c>
      <c r="K26" s="647">
        <v>100</v>
      </c>
      <c r="O26" s="186"/>
      <c r="P26" s="13"/>
    </row>
    <row r="27" spans="1:19">
      <c r="C27" s="5" t="s">
        <v>698</v>
      </c>
      <c r="G27" s="635">
        <v>1000</v>
      </c>
      <c r="H27" s="635">
        <v>1000</v>
      </c>
      <c r="I27" s="635">
        <v>1000</v>
      </c>
      <c r="J27" s="635">
        <v>5000</v>
      </c>
      <c r="K27" s="647">
        <v>1000</v>
      </c>
    </row>
    <row r="28" spans="1:19">
      <c r="G28" s="35"/>
    </row>
    <row r="29" spans="1:19">
      <c r="B29" s="6" t="s">
        <v>699</v>
      </c>
      <c r="G29" s="227" t="str">
        <f>G24</f>
        <v>Product 1</v>
      </c>
      <c r="H29" s="228" t="str">
        <f>H24</f>
        <v>Product 2</v>
      </c>
      <c r="I29" s="229" t="str">
        <f>I24</f>
        <v>Product 3</v>
      </c>
      <c r="J29" s="230" t="str">
        <f>J24</f>
        <v>Product 4</v>
      </c>
      <c r="K29" s="231" t="str">
        <f>K24</f>
        <v>Product 5</v>
      </c>
      <c r="O29" s="11"/>
    </row>
    <row r="30" spans="1:19">
      <c r="C30" s="9" t="s">
        <v>672</v>
      </c>
      <c r="D30" s="9" t="s">
        <v>380</v>
      </c>
      <c r="G30" s="632">
        <v>2000</v>
      </c>
      <c r="H30" s="632">
        <v>1200</v>
      </c>
      <c r="I30" s="632">
        <v>1100</v>
      </c>
      <c r="J30" s="632">
        <v>200</v>
      </c>
      <c r="K30" s="632">
        <v>200</v>
      </c>
    </row>
    <row r="31" spans="1:19">
      <c r="C31" s="9" t="s">
        <v>522</v>
      </c>
      <c r="D31" s="9" t="s">
        <v>568</v>
      </c>
      <c r="G31" s="632">
        <v>1</v>
      </c>
      <c r="H31" s="632">
        <v>12</v>
      </c>
      <c r="I31" s="632">
        <v>30</v>
      </c>
      <c r="J31" s="632">
        <v>24</v>
      </c>
      <c r="K31" s="632">
        <v>24</v>
      </c>
      <c r="O31" s="187"/>
      <c r="P31" s="138"/>
      <c r="Q31" s="138"/>
      <c r="R31" s="138"/>
      <c r="S31" s="138"/>
    </row>
    <row r="32" spans="1:19">
      <c r="C32" s="9" t="s">
        <v>523</v>
      </c>
      <c r="D32" s="9" t="s">
        <v>380</v>
      </c>
      <c r="E32" s="9"/>
      <c r="F32" s="261"/>
      <c r="G32" s="648">
        <v>0</v>
      </c>
      <c r="H32" s="648">
        <v>800</v>
      </c>
      <c r="I32" s="648">
        <v>400</v>
      </c>
      <c r="J32" s="648">
        <v>100</v>
      </c>
      <c r="K32" s="648">
        <v>100</v>
      </c>
      <c r="O32" s="11"/>
    </row>
    <row r="33" spans="1:19">
      <c r="C33" s="5" t="s">
        <v>77</v>
      </c>
      <c r="D33" s="9"/>
      <c r="E33" s="260" t="s">
        <v>673</v>
      </c>
      <c r="F33" s="634">
        <v>0.1</v>
      </c>
      <c r="G33" s="595"/>
      <c r="H33" s="595"/>
      <c r="I33" s="595"/>
      <c r="J33" s="595"/>
      <c r="K33" s="595"/>
      <c r="O33" s="11"/>
    </row>
    <row r="35" spans="1:19">
      <c r="C35" s="9" t="s">
        <v>503</v>
      </c>
      <c r="D35" s="9" t="s">
        <v>380</v>
      </c>
      <c r="E35" s="9"/>
      <c r="F35" s="12"/>
      <c r="G35" s="178">
        <f>+G30+G31*G32</f>
        <v>2000</v>
      </c>
      <c r="H35" s="178">
        <f>+H30+H31*H32</f>
        <v>10800</v>
      </c>
      <c r="I35" s="178">
        <f>+I30+I31*I32</f>
        <v>13100</v>
      </c>
      <c r="J35" s="178">
        <f>+J30+J31*J32</f>
        <v>2600</v>
      </c>
      <c r="K35" s="178">
        <f>+K30+K31*K32</f>
        <v>2600</v>
      </c>
      <c r="O35" s="11"/>
    </row>
    <row r="36" spans="1:19">
      <c r="C36" s="9" t="s">
        <v>504</v>
      </c>
      <c r="D36" s="9" t="s">
        <v>380</v>
      </c>
      <c r="E36" s="9"/>
      <c r="F36" s="12"/>
      <c r="G36" s="178">
        <f>G35/(1+$F$49)</f>
        <v>1818.181818181818</v>
      </c>
      <c r="H36" s="178">
        <f>H35/(1+$F$49)</f>
        <v>9818.181818181818</v>
      </c>
      <c r="I36" s="178">
        <f>I35/(1+$F$49)</f>
        <v>11909.090909090908</v>
      </c>
      <c r="J36" s="178">
        <f>J35/(1+$F$49)</f>
        <v>2363.6363636363635</v>
      </c>
      <c r="K36" s="178">
        <f>K35/(1+$F$49)</f>
        <v>2363.6363636363635</v>
      </c>
      <c r="O36" s="11"/>
    </row>
    <row r="37" spans="1:19">
      <c r="A37" s="37"/>
      <c r="B37" s="37"/>
      <c r="C37" s="10" t="s">
        <v>506</v>
      </c>
      <c r="D37" s="10" t="s">
        <v>380</v>
      </c>
      <c r="E37" s="9"/>
      <c r="F37" s="10"/>
      <c r="G37" s="179">
        <f>IFERROR(+(G35-G30)/G31,0)</f>
        <v>0</v>
      </c>
      <c r="H37" s="179">
        <f>IFERROR(+(H35-H30)/H31,0)</f>
        <v>800</v>
      </c>
      <c r="I37" s="179">
        <f>IFERROR(+(I35-I30)/I31,0)</f>
        <v>400</v>
      </c>
      <c r="J37" s="179">
        <f>IFERROR(+(J35-J30)/J31,0)</f>
        <v>100</v>
      </c>
      <c r="K37" s="179">
        <f>IFERROR(+(K35-K30)/K31,0)</f>
        <v>100</v>
      </c>
      <c r="M37" s="37"/>
      <c r="O37" s="188"/>
      <c r="P37" s="144"/>
      <c r="Q37" s="144"/>
      <c r="R37" s="144"/>
      <c r="S37" s="144"/>
    </row>
    <row r="38" spans="1:19">
      <c r="C38" s="9" t="s">
        <v>507</v>
      </c>
      <c r="D38" s="9" t="s">
        <v>380</v>
      </c>
      <c r="E38" s="9"/>
      <c r="F38" s="9"/>
      <c r="G38" s="180">
        <f>IFERROR(+G35/G31,0)</f>
        <v>2000</v>
      </c>
      <c r="H38" s="180">
        <f>IFERROR(+H35/H31,0)</f>
        <v>900</v>
      </c>
      <c r="I38" s="180">
        <f>IFERROR(+I35/I31,0)</f>
        <v>436.66666666666669</v>
      </c>
      <c r="J38" s="180">
        <f>IFERROR(+J35/J31,0)</f>
        <v>108.33333333333333</v>
      </c>
      <c r="K38" s="180">
        <f>IFERROR(+K35/K31,0)</f>
        <v>108.33333333333333</v>
      </c>
      <c r="O38" s="189"/>
    </row>
    <row r="39" spans="1:19">
      <c r="C39" s="9" t="s">
        <v>80</v>
      </c>
      <c r="D39" s="9"/>
      <c r="E39" s="9"/>
      <c r="F39" s="9"/>
      <c r="G39" s="9"/>
      <c r="H39" s="9"/>
      <c r="I39" s="9"/>
      <c r="J39" s="9"/>
      <c r="O39" s="11"/>
    </row>
    <row r="40" spans="1:19">
      <c r="B40" s="6" t="s">
        <v>455</v>
      </c>
      <c r="G40" s="216"/>
      <c r="H40" s="216"/>
      <c r="I40" s="216"/>
      <c r="J40" s="216"/>
      <c r="K40" s="216"/>
    </row>
    <row r="41" spans="1:19">
      <c r="B41" s="6"/>
      <c r="C41" s="5" t="s">
        <v>605</v>
      </c>
      <c r="D41" s="635" t="s">
        <v>32</v>
      </c>
      <c r="G41" s="227" t="str">
        <f>G29</f>
        <v>Product 1</v>
      </c>
      <c r="H41" s="228" t="str">
        <f>H29</f>
        <v>Product 2</v>
      </c>
      <c r="I41" s="229" t="str">
        <f>I29</f>
        <v>Product 3</v>
      </c>
      <c r="J41" s="230" t="str">
        <f>J29</f>
        <v>Product 4</v>
      </c>
      <c r="K41" s="231" t="str">
        <f>K29</f>
        <v>Product 5</v>
      </c>
    </row>
    <row r="42" spans="1:19">
      <c r="C42" s="9" t="s">
        <v>702</v>
      </c>
      <c r="D42" s="113" t="str">
        <f>D41</f>
        <v>USD</v>
      </c>
      <c r="E42" s="9"/>
      <c r="F42" s="35"/>
      <c r="G42" s="637">
        <v>80</v>
      </c>
      <c r="H42" s="637">
        <v>340</v>
      </c>
      <c r="I42" s="637">
        <v>330</v>
      </c>
      <c r="J42" s="637">
        <v>70</v>
      </c>
      <c r="K42" s="637">
        <v>70</v>
      </c>
    </row>
    <row r="43" spans="1:19">
      <c r="C43" s="9" t="s">
        <v>524</v>
      </c>
      <c r="D43" s="113" t="s">
        <v>380</v>
      </c>
      <c r="E43" s="9"/>
      <c r="F43" s="35"/>
      <c r="G43" s="181">
        <f>IF($D$41="USD",G42*$D$19,G42)</f>
        <v>800</v>
      </c>
      <c r="H43" s="181">
        <f>IF($D$41="USD",H42*$D$19,H42)</f>
        <v>3400</v>
      </c>
      <c r="I43" s="181">
        <f>IF($D$41="USD",I42*$D$19,I42)</f>
        <v>3300</v>
      </c>
      <c r="J43" s="181">
        <f>IF($D$41="USD",J42*$D$19,J42)</f>
        <v>700</v>
      </c>
      <c r="K43" s="181">
        <f>IF($D$41="USD",K42*$D$19,K42)</f>
        <v>700</v>
      </c>
    </row>
    <row r="44" spans="1:19">
      <c r="C44" s="9" t="s">
        <v>572</v>
      </c>
      <c r="D44" s="113" t="s">
        <v>380</v>
      </c>
      <c r="E44" s="260" t="s">
        <v>573</v>
      </c>
      <c r="F44" s="636">
        <v>0.05</v>
      </c>
      <c r="G44" s="181">
        <f>+$F$44*G$43</f>
        <v>40</v>
      </c>
      <c r="H44" s="181">
        <f>+$F$44*H$43</f>
        <v>170</v>
      </c>
      <c r="I44" s="181">
        <f>+$F$44*I$43</f>
        <v>165</v>
      </c>
      <c r="J44" s="181">
        <f>+$F$44*J$43</f>
        <v>35</v>
      </c>
      <c r="K44" s="181">
        <f>+$F$44*K$43</f>
        <v>35</v>
      </c>
    </row>
    <row r="45" spans="1:19">
      <c r="C45" s="9" t="s">
        <v>574</v>
      </c>
      <c r="D45" s="113" t="s">
        <v>380</v>
      </c>
      <c r="E45" s="260" t="s">
        <v>575</v>
      </c>
      <c r="F45" s="636">
        <v>0.05</v>
      </c>
      <c r="G45" s="181">
        <f>+$F$45*(G44+G43)</f>
        <v>42</v>
      </c>
      <c r="H45" s="181">
        <f>+$F$45*(H44+H43)</f>
        <v>178.5</v>
      </c>
      <c r="I45" s="181">
        <f>+$F$45*(I44+I43)</f>
        <v>173.25</v>
      </c>
      <c r="J45" s="181">
        <f>+$F$45*(J44+J43)</f>
        <v>36.75</v>
      </c>
      <c r="K45" s="181">
        <f>+$F$45*(K44+K43)</f>
        <v>36.75</v>
      </c>
    </row>
    <row r="46" spans="1:19">
      <c r="C46" s="9" t="s">
        <v>576</v>
      </c>
      <c r="D46" s="113" t="s">
        <v>380</v>
      </c>
      <c r="E46" s="260"/>
      <c r="F46" s="29"/>
      <c r="G46" s="637">
        <v>0.5</v>
      </c>
      <c r="H46" s="637">
        <v>8</v>
      </c>
      <c r="I46" s="637">
        <v>5</v>
      </c>
      <c r="J46" s="637">
        <v>2</v>
      </c>
      <c r="K46" s="637">
        <v>2</v>
      </c>
    </row>
    <row r="47" spans="1:19">
      <c r="C47" s="9" t="s">
        <v>577</v>
      </c>
      <c r="D47" s="113" t="s">
        <v>380</v>
      </c>
      <c r="E47" s="260" t="s">
        <v>573</v>
      </c>
      <c r="F47" s="636">
        <v>0.05</v>
      </c>
      <c r="G47" s="181">
        <f>$F$47*G43</f>
        <v>40</v>
      </c>
      <c r="H47" s="181">
        <f>$F$47*H43</f>
        <v>170</v>
      </c>
      <c r="I47" s="181">
        <f>$F$47*I43</f>
        <v>165</v>
      </c>
      <c r="J47" s="181">
        <f>$F$47*J43</f>
        <v>35</v>
      </c>
      <c r="K47" s="181">
        <f>$F$47*K43</f>
        <v>35</v>
      </c>
    </row>
    <row r="48" spans="1:19">
      <c r="C48" s="10" t="s">
        <v>578</v>
      </c>
      <c r="D48" s="113" t="s">
        <v>380</v>
      </c>
      <c r="E48" s="10"/>
      <c r="F48" s="10"/>
      <c r="G48" s="185">
        <f>SUM(G43:G47)</f>
        <v>922.5</v>
      </c>
      <c r="H48" s="185">
        <f>SUM(H43:H47)</f>
        <v>3926.5</v>
      </c>
      <c r="I48" s="185">
        <f>SUM(I43:I47)</f>
        <v>3808.25</v>
      </c>
      <c r="J48" s="185">
        <f>SUM(J43:J47)</f>
        <v>808.75</v>
      </c>
      <c r="K48" s="185">
        <f>SUM(K43:K47)</f>
        <v>808.75</v>
      </c>
    </row>
    <row r="49" spans="2:16">
      <c r="C49" s="9" t="s">
        <v>579</v>
      </c>
      <c r="D49" s="113" t="s">
        <v>380</v>
      </c>
      <c r="E49" s="260" t="s">
        <v>580</v>
      </c>
      <c r="F49" s="633">
        <v>0.1</v>
      </c>
      <c r="G49" s="511">
        <f>G48*_VATonCOGS</f>
        <v>92.25</v>
      </c>
      <c r="H49" s="511">
        <f>H48*_VATonCOGS</f>
        <v>392.65000000000003</v>
      </c>
      <c r="I49" s="511">
        <f>I48*_VATonCOGS</f>
        <v>380.82500000000005</v>
      </c>
      <c r="J49" s="511">
        <f>J48*_VATonCOGS</f>
        <v>80.875</v>
      </c>
      <c r="K49" s="511">
        <f>K48*_VATonCOGS</f>
        <v>80.875</v>
      </c>
      <c r="O49" s="11"/>
    </row>
    <row r="50" spans="2:16">
      <c r="C50" s="9" t="s">
        <v>502</v>
      </c>
      <c r="D50" s="113" t="s">
        <v>380</v>
      </c>
      <c r="E50" s="9"/>
      <c r="G50" s="182">
        <f>G48*(1+$F$49)</f>
        <v>1014.7500000000001</v>
      </c>
      <c r="H50" s="182">
        <f>H48*(1+$F$49)</f>
        <v>4319.1500000000005</v>
      </c>
      <c r="I50" s="182">
        <f>I48*(1+$F$49)</f>
        <v>4189.0750000000007</v>
      </c>
      <c r="J50" s="182">
        <f>J48*(1+$F$49)</f>
        <v>889.62500000000011</v>
      </c>
      <c r="K50" s="182">
        <f>K48*(1+$F$49)</f>
        <v>889.62500000000011</v>
      </c>
      <c r="O50" s="11"/>
    </row>
    <row r="51" spans="2:16">
      <c r="C51" s="9"/>
      <c r="D51" s="9"/>
      <c r="E51" s="9"/>
      <c r="O51" s="11"/>
    </row>
    <row r="52" spans="2:16">
      <c r="C52" s="9" t="s">
        <v>581</v>
      </c>
      <c r="D52" s="9" t="s">
        <v>568</v>
      </c>
      <c r="E52" s="9"/>
      <c r="F52" s="9"/>
      <c r="G52" s="178">
        <f>+_NrInstallmentsP1</f>
        <v>1</v>
      </c>
      <c r="H52" s="178">
        <f>_NrInstallmentsP2</f>
        <v>12</v>
      </c>
      <c r="I52" s="178">
        <f>+_NrInstallmentsP3</f>
        <v>30</v>
      </c>
      <c r="J52" s="178">
        <f>+_NrInstallmentsP4</f>
        <v>24</v>
      </c>
      <c r="K52" s="178">
        <f>_NrInstallmentsP5</f>
        <v>24</v>
      </c>
      <c r="O52" s="11"/>
    </row>
    <row r="53" spans="2:16">
      <c r="C53" s="9" t="s">
        <v>505</v>
      </c>
      <c r="D53" s="9" t="s">
        <v>380</v>
      </c>
      <c r="E53" s="9"/>
      <c r="F53" s="9"/>
      <c r="G53" s="178">
        <f>IFERROR(+_CapCostP1/_systdep.perP1,0)</f>
        <v>922.5</v>
      </c>
      <c r="H53" s="178">
        <f>IFERROR(+_CapCostP2/_systdep.perP2,0)</f>
        <v>327.20833333333331</v>
      </c>
      <c r="I53" s="178">
        <f>IFERROR(+_CapCostP3/_systdep.perP3,0)</f>
        <v>126.94166666666666</v>
      </c>
      <c r="J53" s="178">
        <f>IFERROR(+_CapCostP4/_systdep.perP4,0)</f>
        <v>33.697916666666664</v>
      </c>
      <c r="K53" s="178">
        <f>IFERROR(_CapCostP5/_systdep.perP5,0)</f>
        <v>33.697916666666664</v>
      </c>
      <c r="M53" s="92"/>
      <c r="O53" s="92"/>
      <c r="P53" s="152"/>
    </row>
    <row r="54" spans="2:16">
      <c r="C54" s="9"/>
      <c r="D54" s="9"/>
      <c r="E54" s="9"/>
      <c r="O54" s="11"/>
    </row>
    <row r="55" spans="2:16">
      <c r="C55" s="9"/>
      <c r="D55" s="9"/>
      <c r="E55" s="9"/>
      <c r="F55" s="9"/>
      <c r="O55" s="11"/>
    </row>
    <row r="56" spans="2:16">
      <c r="B56" s="6" t="s">
        <v>692</v>
      </c>
      <c r="C56" s="10"/>
      <c r="D56" s="10"/>
      <c r="E56" s="9"/>
      <c r="F56" s="9"/>
      <c r="G56" s="227" t="str">
        <f>G41</f>
        <v>Product 1</v>
      </c>
      <c r="H56" s="228" t="str">
        <f>H41</f>
        <v>Product 2</v>
      </c>
      <c r="I56" s="229" t="str">
        <f>I41</f>
        <v>Product 3</v>
      </c>
      <c r="J56" s="230" t="str">
        <f>J41</f>
        <v>Product 4</v>
      </c>
      <c r="K56" s="231" t="str">
        <f>K41</f>
        <v>Product 5</v>
      </c>
      <c r="O56" s="11"/>
    </row>
    <row r="57" spans="2:16">
      <c r="C57" s="9" t="s">
        <v>582</v>
      </c>
      <c r="D57" s="9" t="s">
        <v>380</v>
      </c>
      <c r="G57" s="637">
        <v>50</v>
      </c>
      <c r="H57" s="637">
        <v>300</v>
      </c>
      <c r="I57" s="637">
        <v>200</v>
      </c>
      <c r="J57" s="637">
        <v>100</v>
      </c>
      <c r="K57" s="637">
        <v>100</v>
      </c>
      <c r="O57" s="11"/>
    </row>
    <row r="58" spans="2:16">
      <c r="C58" s="9" t="s">
        <v>583</v>
      </c>
      <c r="D58" s="9" t="s">
        <v>380</v>
      </c>
      <c r="G58" s="637">
        <v>1.5</v>
      </c>
      <c r="H58" s="637">
        <v>100</v>
      </c>
      <c r="I58" s="637">
        <v>100</v>
      </c>
      <c r="J58" s="637">
        <v>100</v>
      </c>
      <c r="K58" s="637">
        <v>100</v>
      </c>
      <c r="O58" s="11"/>
    </row>
    <row r="59" spans="2:16">
      <c r="C59" s="9" t="s">
        <v>700</v>
      </c>
      <c r="D59" s="9" t="s">
        <v>380</v>
      </c>
      <c r="G59" s="637">
        <v>0</v>
      </c>
      <c r="H59" s="637">
        <v>0</v>
      </c>
      <c r="I59" s="637">
        <v>0</v>
      </c>
      <c r="J59" s="637">
        <v>0</v>
      </c>
      <c r="K59" s="637">
        <v>0</v>
      </c>
      <c r="O59" s="11"/>
    </row>
    <row r="60" spans="2:16">
      <c r="C60" s="10" t="s">
        <v>682</v>
      </c>
      <c r="D60" s="10" t="s">
        <v>380</v>
      </c>
      <c r="G60" s="184">
        <f>SUM(G57:G59)</f>
        <v>51.5</v>
      </c>
      <c r="H60" s="184">
        <f>SUM(H57:H59)</f>
        <v>400</v>
      </c>
      <c r="I60" s="184">
        <f>SUM(I57:I59)</f>
        <v>300</v>
      </c>
      <c r="J60" s="184">
        <f>SUM(J57:J59)</f>
        <v>200</v>
      </c>
      <c r="K60" s="184">
        <f>SUM(K57:K59)</f>
        <v>200</v>
      </c>
      <c r="O60" s="11"/>
    </row>
    <row r="61" spans="2:16">
      <c r="C61" s="9" t="s">
        <v>584</v>
      </c>
      <c r="D61" s="9" t="s">
        <v>380</v>
      </c>
      <c r="G61" s="649">
        <v>10</v>
      </c>
      <c r="H61" s="649">
        <v>10</v>
      </c>
      <c r="I61" s="649">
        <v>10</v>
      </c>
      <c r="J61" s="649">
        <v>10</v>
      </c>
      <c r="K61" s="649">
        <v>10</v>
      </c>
      <c r="O61" s="11"/>
    </row>
    <row r="62" spans="2:16">
      <c r="C62" s="9" t="s">
        <v>701</v>
      </c>
      <c r="D62" s="9" t="s">
        <v>380</v>
      </c>
      <c r="G62" s="649">
        <v>0</v>
      </c>
      <c r="H62" s="649">
        <v>0</v>
      </c>
      <c r="I62" s="649">
        <v>0</v>
      </c>
      <c r="J62" s="649">
        <v>0</v>
      </c>
      <c r="K62" s="649">
        <v>0</v>
      </c>
      <c r="O62" s="11"/>
    </row>
    <row r="63" spans="2:16">
      <c r="C63" s="10"/>
      <c r="D63" s="10"/>
      <c r="O63" s="11"/>
    </row>
    <row r="64" spans="2:16">
      <c r="B64" s="6"/>
      <c r="C64" s="9" t="s">
        <v>681</v>
      </c>
      <c r="D64" s="9" t="s">
        <v>380</v>
      </c>
      <c r="E64" s="62" t="s">
        <v>500</v>
      </c>
      <c r="F64" s="637">
        <v>0</v>
      </c>
      <c r="G64" s="62" t="s">
        <v>417</v>
      </c>
      <c r="O64" s="11"/>
    </row>
    <row r="65" spans="1:19">
      <c r="B65" s="6"/>
      <c r="C65" s="9"/>
      <c r="D65" s="9" t="s">
        <v>380</v>
      </c>
      <c r="E65" s="62" t="s">
        <v>499</v>
      </c>
      <c r="F65" s="637">
        <v>0</v>
      </c>
      <c r="G65" s="62" t="s">
        <v>417</v>
      </c>
      <c r="O65" s="11"/>
    </row>
    <row r="66" spans="1:19">
      <c r="C66" s="9" t="s">
        <v>585</v>
      </c>
      <c r="D66" s="260" t="s">
        <v>567</v>
      </c>
      <c r="E66" s="62" t="s">
        <v>586</v>
      </c>
      <c r="F66" s="638">
        <v>5.0000000000000001E-3</v>
      </c>
      <c r="G66" s="62" t="s">
        <v>417</v>
      </c>
      <c r="O66" s="11"/>
    </row>
    <row r="67" spans="1:19">
      <c r="C67" s="9" t="s">
        <v>587</v>
      </c>
      <c r="D67" s="260" t="s">
        <v>567</v>
      </c>
      <c r="E67" s="62" t="s">
        <v>586</v>
      </c>
      <c r="F67" s="638">
        <v>5.0000000000000001E-3</v>
      </c>
      <c r="G67" s="62" t="s">
        <v>417</v>
      </c>
      <c r="O67" s="11"/>
    </row>
    <row r="68" spans="1:19">
      <c r="C68" s="9" t="s">
        <v>588</v>
      </c>
      <c r="D68" s="260" t="s">
        <v>567</v>
      </c>
      <c r="E68" s="62" t="s">
        <v>586</v>
      </c>
      <c r="F68" s="638">
        <v>1.4999999999999999E-2</v>
      </c>
      <c r="G68" s="62" t="s">
        <v>417</v>
      </c>
      <c r="O68" s="11"/>
    </row>
    <row r="69" spans="1:19">
      <c r="A69" s="213"/>
      <c r="B69" s="213"/>
      <c r="C69" s="213"/>
      <c r="D69" s="213"/>
      <c r="E69" s="213"/>
      <c r="F69" s="232"/>
      <c r="G69" s="233"/>
      <c r="H69" s="213"/>
      <c r="I69" s="213"/>
      <c r="J69" s="213"/>
      <c r="K69" s="213"/>
      <c r="L69" s="213"/>
      <c r="M69" s="213"/>
      <c r="N69" s="213"/>
      <c r="O69" s="213"/>
      <c r="P69" s="213"/>
      <c r="Q69" s="213"/>
      <c r="R69" s="213"/>
      <c r="S69" s="213"/>
    </row>
    <row r="70" spans="1:19">
      <c r="B70" s="394" t="s">
        <v>687</v>
      </c>
      <c r="C70" s="173"/>
      <c r="D70" s="173"/>
      <c r="E70" s="174"/>
      <c r="F70" s="174"/>
      <c r="G70" s="174"/>
      <c r="H70" s="174"/>
      <c r="I70" s="174"/>
      <c r="J70" s="174"/>
      <c r="K70" s="175"/>
      <c r="L70" s="175"/>
      <c r="M70" s="175"/>
      <c r="N70" s="175"/>
      <c r="O70" s="175"/>
      <c r="P70" s="120"/>
      <c r="Q70" s="120"/>
      <c r="R70" s="120"/>
      <c r="S70" s="120"/>
    </row>
    <row r="71" spans="1:19">
      <c r="B71" s="49"/>
      <c r="C71" s="50"/>
      <c r="D71" s="50"/>
      <c r="E71" s="51"/>
      <c r="F71" s="51"/>
      <c r="G71" s="51"/>
      <c r="H71" s="52"/>
      <c r="I71" s="52"/>
      <c r="J71" s="51"/>
      <c r="K71" s="52"/>
      <c r="L71" s="51"/>
      <c r="M71" s="51"/>
      <c r="N71" s="51"/>
      <c r="O71" s="51"/>
    </row>
    <row r="72" spans="1:19">
      <c r="B72" s="6" t="s">
        <v>320</v>
      </c>
      <c r="E72" s="37" t="s">
        <v>309</v>
      </c>
      <c r="F72" s="637" t="s">
        <v>298</v>
      </c>
      <c r="G72" s="10">
        <f>YEAR('Model Assumptions'!$D$12)</f>
        <v>2023</v>
      </c>
      <c r="H72" s="10">
        <f t="shared" ref="H72:P72" si="0">G72+1</f>
        <v>2024</v>
      </c>
      <c r="I72" s="10">
        <f t="shared" si="0"/>
        <v>2025</v>
      </c>
      <c r="J72" s="10">
        <f t="shared" si="0"/>
        <v>2026</v>
      </c>
      <c r="K72" s="10">
        <f t="shared" si="0"/>
        <v>2027</v>
      </c>
      <c r="L72" s="10">
        <f t="shared" si="0"/>
        <v>2028</v>
      </c>
      <c r="M72" s="10">
        <f t="shared" si="0"/>
        <v>2029</v>
      </c>
      <c r="N72" s="10">
        <f t="shared" si="0"/>
        <v>2030</v>
      </c>
      <c r="O72" s="10">
        <f t="shared" si="0"/>
        <v>2031</v>
      </c>
      <c r="P72" s="10">
        <f t="shared" si="0"/>
        <v>2032</v>
      </c>
    </row>
    <row r="73" spans="1:19">
      <c r="C73" s="9" t="str">
        <f>$G$24</f>
        <v>Product 1</v>
      </c>
      <c r="D73" s="9" t="s">
        <v>567</v>
      </c>
      <c r="E73" s="62"/>
      <c r="G73" s="222">
        <f>IF($F$72="growth - worst case",'Model Assumptions - Scenarios'!F21,IF($F$72="growth - base",'Model Assumptions - Scenarios'!Q21,'Model Assumptions - Scenarios'!AB21))</f>
        <v>0.02</v>
      </c>
      <c r="H73" s="222">
        <f>IF($F$72="growth - worst case",'Model Assumptions - Scenarios'!G21,IF($F$72="growth - base",'Model Assumptions - Scenarios'!R21,'Model Assumptions - Scenarios'!AC21))</f>
        <v>0.02</v>
      </c>
      <c r="I73" s="222">
        <f>IF($F$72="growth - worst case",'Model Assumptions - Scenarios'!H21,IF($F$72="growth - base",'Model Assumptions - Scenarios'!S21,'Model Assumptions - Scenarios'!AD21))</f>
        <v>0.02</v>
      </c>
      <c r="J73" s="222">
        <f>IF($F$72="growth - worst case",'Model Assumptions - Scenarios'!I21,IF($F$72="growth - base",'Model Assumptions - Scenarios'!T21,'Model Assumptions - Scenarios'!AE21))</f>
        <v>0.02</v>
      </c>
      <c r="K73" s="222">
        <f>IF($F$72="growth - worst case",'Model Assumptions - Scenarios'!J21,IF($F$72="growth - base",'Model Assumptions - Scenarios'!U21,'Model Assumptions - Scenarios'!AF21))</f>
        <v>0.02</v>
      </c>
      <c r="L73" s="222">
        <f>IF($F$72="growth - worst case",'Model Assumptions - Scenarios'!K21,IF($F$72="growth - base",'Model Assumptions - Scenarios'!V21,'Model Assumptions - Scenarios'!AG21))</f>
        <v>0</v>
      </c>
      <c r="M73" s="222">
        <f>IF($F$72="growth - worst case",'Model Assumptions - Scenarios'!L21,IF($F$72="growth - base",'Model Assumptions - Scenarios'!W21,'Model Assumptions - Scenarios'!AH21))</f>
        <v>0</v>
      </c>
      <c r="N73" s="222">
        <f>IF($F$72="growth - worst case",'Model Assumptions - Scenarios'!M21,IF($F$72="growth - base",'Model Assumptions - Scenarios'!X21,'Model Assumptions - Scenarios'!AI21))</f>
        <v>0</v>
      </c>
      <c r="O73" s="222">
        <f>IF($F$72="growth - worst case",'Model Assumptions - Scenarios'!N21,IF($F$72="growth - base",'Model Assumptions - Scenarios'!Y21,'Model Assumptions - Scenarios'!AJ21))</f>
        <v>0</v>
      </c>
      <c r="P73" s="222">
        <f>IF($F$72="growth - worst case",'Model Assumptions - Scenarios'!O21,IF($F$72="growth - base",'Model Assumptions - Scenarios'!Z21,'Model Assumptions - Scenarios'!AK21))</f>
        <v>0</v>
      </c>
    </row>
    <row r="74" spans="1:19">
      <c r="C74" s="9" t="str">
        <f>$H$24</f>
        <v>Product 2</v>
      </c>
      <c r="D74" s="9" t="s">
        <v>567</v>
      </c>
      <c r="E74" s="9"/>
      <c r="G74" s="222">
        <f>IF($F$72="growth - worst case",'Model Assumptions - Scenarios'!F22,IF($F$72="growth - base",'Model Assumptions - Scenarios'!Q22,'Model Assumptions - Scenarios'!AB22))</f>
        <v>0.02</v>
      </c>
      <c r="H74" s="222">
        <f>IF($F$72="growth - worst case",'Model Assumptions - Scenarios'!G22,IF($F$72="growth - base",'Model Assumptions - Scenarios'!R22,'Model Assumptions - Scenarios'!AC22))</f>
        <v>0.02</v>
      </c>
      <c r="I74" s="222">
        <f>IF($F$72="growth - worst case",'Model Assumptions - Scenarios'!H22,IF($F$72="growth - base",'Model Assumptions - Scenarios'!S22,'Model Assumptions - Scenarios'!AD22))</f>
        <v>0.02</v>
      </c>
      <c r="J74" s="222">
        <f>IF($F$72="growth - worst case",'Model Assumptions - Scenarios'!I22,IF($F$72="growth - base",'Model Assumptions - Scenarios'!T22,'Model Assumptions - Scenarios'!AE22))</f>
        <v>0.02</v>
      </c>
      <c r="K74" s="222">
        <f>IF($F$72="growth - worst case",'Model Assumptions - Scenarios'!J22,IF($F$72="growth - base",'Model Assumptions - Scenarios'!U22,'Model Assumptions - Scenarios'!AF22))</f>
        <v>0.02</v>
      </c>
      <c r="L74" s="222">
        <f>IF($F$72="growth - worst case",'Model Assumptions - Scenarios'!K22,IF($F$72="growth - base",'Model Assumptions - Scenarios'!V22,'Model Assumptions - Scenarios'!AG22))</f>
        <v>0</v>
      </c>
      <c r="M74" s="222">
        <f>IF($F$72="growth - worst case",'Model Assumptions - Scenarios'!L22,IF($F$72="growth - base",'Model Assumptions - Scenarios'!W22,'Model Assumptions - Scenarios'!AH22))</f>
        <v>0</v>
      </c>
      <c r="N74" s="222">
        <f>IF($F$72="growth - worst case",'Model Assumptions - Scenarios'!M22,IF($F$72="growth - base",'Model Assumptions - Scenarios'!X22,'Model Assumptions - Scenarios'!AI22))</f>
        <v>0</v>
      </c>
      <c r="O74" s="222">
        <f>IF($F$72="growth - worst case",'Model Assumptions - Scenarios'!N22,IF($F$72="growth - base",'Model Assumptions - Scenarios'!Y22,'Model Assumptions - Scenarios'!AJ22))</f>
        <v>0</v>
      </c>
      <c r="P74" s="222">
        <f>IF($F$72="growth - worst case",'Model Assumptions - Scenarios'!O22,IF($F$72="growth - base",'Model Assumptions - Scenarios'!Z22,'Model Assumptions - Scenarios'!AK22))</f>
        <v>0</v>
      </c>
    </row>
    <row r="75" spans="1:19">
      <c r="C75" s="9" t="str">
        <f>$I$24</f>
        <v>Product 3</v>
      </c>
      <c r="D75" s="9" t="s">
        <v>567</v>
      </c>
      <c r="E75" s="9"/>
      <c r="G75" s="222">
        <f>IF($F$72="growth - worst case",'Model Assumptions - Scenarios'!F23,IF($F$72="growth - base",'Model Assumptions - Scenarios'!Q23,'Model Assumptions - Scenarios'!AB23))</f>
        <v>0.02</v>
      </c>
      <c r="H75" s="222">
        <f>IF($F$72="growth - worst case",'Model Assumptions - Scenarios'!G23,IF($F$72="growth - base",'Model Assumptions - Scenarios'!R23,'Model Assumptions - Scenarios'!AC23))</f>
        <v>0.02</v>
      </c>
      <c r="I75" s="222">
        <f>IF($F$72="growth - worst case",'Model Assumptions - Scenarios'!H23,IF($F$72="growth - base",'Model Assumptions - Scenarios'!S23,'Model Assumptions - Scenarios'!AD23))</f>
        <v>0.02</v>
      </c>
      <c r="J75" s="222">
        <f>IF($F$72="growth - worst case",'Model Assumptions - Scenarios'!I23,IF($F$72="growth - base",'Model Assumptions - Scenarios'!T23,'Model Assumptions - Scenarios'!AE23))</f>
        <v>0.02</v>
      </c>
      <c r="K75" s="222">
        <f>IF($F$72="growth - worst case",'Model Assumptions - Scenarios'!J23,IF($F$72="growth - base",'Model Assumptions - Scenarios'!U23,'Model Assumptions - Scenarios'!AF23))</f>
        <v>0.02</v>
      </c>
      <c r="L75" s="222">
        <f>IF($F$72="growth - worst case",'Model Assumptions - Scenarios'!K23,IF($F$72="growth - base",'Model Assumptions - Scenarios'!V23,'Model Assumptions - Scenarios'!AG23))</f>
        <v>0</v>
      </c>
      <c r="M75" s="222">
        <f>IF($F$72="growth - worst case",'Model Assumptions - Scenarios'!L23,IF($F$72="growth - base",'Model Assumptions - Scenarios'!W23,'Model Assumptions - Scenarios'!AH23))</f>
        <v>0</v>
      </c>
      <c r="N75" s="222">
        <f>IF($F$72="growth - worst case",'Model Assumptions - Scenarios'!M23,IF($F$72="growth - base",'Model Assumptions - Scenarios'!X23,'Model Assumptions - Scenarios'!AI23))</f>
        <v>0</v>
      </c>
      <c r="O75" s="222">
        <f>IF($F$72="growth - worst case",'Model Assumptions - Scenarios'!N23,IF($F$72="growth - base",'Model Assumptions - Scenarios'!Y23,'Model Assumptions - Scenarios'!AJ23))</f>
        <v>0</v>
      </c>
      <c r="P75" s="222">
        <f>IF($F$72="growth - worst case",'Model Assumptions - Scenarios'!O23,IF($F$72="growth - base",'Model Assumptions - Scenarios'!Z23,'Model Assumptions - Scenarios'!AK23))</f>
        <v>0</v>
      </c>
    </row>
    <row r="76" spans="1:19">
      <c r="C76" s="9" t="str">
        <f>$J$24</f>
        <v>Product 4</v>
      </c>
      <c r="D76" s="9" t="s">
        <v>567</v>
      </c>
      <c r="E76" s="9"/>
      <c r="G76" s="222">
        <f>IF($F$72="growth - worst case",'Model Assumptions - Scenarios'!F24,IF($F$72="growth - base",'Model Assumptions - Scenarios'!Q24,'Model Assumptions - Scenarios'!AB24))</f>
        <v>0.02</v>
      </c>
      <c r="H76" s="222">
        <f>IF($F$72="growth - worst case",'Model Assumptions - Scenarios'!G24,IF($F$72="growth - base",'Model Assumptions - Scenarios'!R24,'Model Assumptions - Scenarios'!AC24))</f>
        <v>0.02</v>
      </c>
      <c r="I76" s="222">
        <f>IF($F$72="growth - worst case",'Model Assumptions - Scenarios'!H24,IF($F$72="growth - base",'Model Assumptions - Scenarios'!S24,'Model Assumptions - Scenarios'!AD24))</f>
        <v>0.02</v>
      </c>
      <c r="J76" s="222">
        <f>IF($F$72="growth - worst case",'Model Assumptions - Scenarios'!I24,IF($F$72="growth - base",'Model Assumptions - Scenarios'!T24,'Model Assumptions - Scenarios'!AE24))</f>
        <v>0.02</v>
      </c>
      <c r="K76" s="222">
        <f>IF($F$72="growth - worst case",'Model Assumptions - Scenarios'!J24,IF($F$72="growth - base",'Model Assumptions - Scenarios'!U24,'Model Assumptions - Scenarios'!AF24))</f>
        <v>0.02</v>
      </c>
      <c r="L76" s="222">
        <f>IF($F$72="growth - worst case",'Model Assumptions - Scenarios'!K24,IF($F$72="growth - base",'Model Assumptions - Scenarios'!V24,'Model Assumptions - Scenarios'!AG24))</f>
        <v>0</v>
      </c>
      <c r="M76" s="222">
        <f>IF($F$72="growth - worst case",'Model Assumptions - Scenarios'!L24,IF($F$72="growth - base",'Model Assumptions - Scenarios'!W24,'Model Assumptions - Scenarios'!AH24))</f>
        <v>0</v>
      </c>
      <c r="N76" s="222">
        <f>IF($F$72="growth - worst case",'Model Assumptions - Scenarios'!M24,IF($F$72="growth - base",'Model Assumptions - Scenarios'!X24,'Model Assumptions - Scenarios'!AI24))</f>
        <v>0</v>
      </c>
      <c r="O76" s="222">
        <f>IF($F$72="growth - worst case",'Model Assumptions - Scenarios'!N24,IF($F$72="growth - base",'Model Assumptions - Scenarios'!Y24,'Model Assumptions - Scenarios'!AJ24))</f>
        <v>0</v>
      </c>
      <c r="P76" s="222">
        <f>IF($F$72="growth - worst case",'Model Assumptions - Scenarios'!O24,IF($F$72="growth - base",'Model Assumptions - Scenarios'!Z24,'Model Assumptions - Scenarios'!AK24))</f>
        <v>0</v>
      </c>
    </row>
    <row r="77" spans="1:19">
      <c r="C77" s="9" t="str">
        <f>$K$24</f>
        <v>Product 5</v>
      </c>
      <c r="D77" s="9" t="s">
        <v>567</v>
      </c>
      <c r="E77" s="9"/>
      <c r="G77" s="222">
        <f>IF($F$72="growth - worst case",'Model Assumptions - Scenarios'!F25,IF($F$72="growth - base",'Model Assumptions - Scenarios'!Q25,'Model Assumptions - Scenarios'!AB25))</f>
        <v>0.02</v>
      </c>
      <c r="H77" s="222">
        <f>IF($F$72="growth - worst case",'Model Assumptions - Scenarios'!G25,IF($F$72="growth - base",'Model Assumptions - Scenarios'!R25,'Model Assumptions - Scenarios'!AC25))</f>
        <v>0.02</v>
      </c>
      <c r="I77" s="222">
        <f>IF($F$72="growth - worst case",'Model Assumptions - Scenarios'!H25,IF($F$72="growth - base",'Model Assumptions - Scenarios'!S25,'Model Assumptions - Scenarios'!AD25))</f>
        <v>0.02</v>
      </c>
      <c r="J77" s="222">
        <f>IF($F$72="growth - worst case",'Model Assumptions - Scenarios'!I25,IF($F$72="growth - base",'Model Assumptions - Scenarios'!T25,'Model Assumptions - Scenarios'!AE25))</f>
        <v>0.02</v>
      </c>
      <c r="K77" s="222">
        <f>IF($F$72="growth - worst case",'Model Assumptions - Scenarios'!J25,IF($F$72="growth - base",'Model Assumptions - Scenarios'!U25,'Model Assumptions - Scenarios'!AF25))</f>
        <v>0.02</v>
      </c>
      <c r="L77" s="222">
        <f>IF($F$72="growth - worst case",'Model Assumptions - Scenarios'!K25,IF($F$72="growth - base",'Model Assumptions - Scenarios'!V25,'Model Assumptions - Scenarios'!AG25))</f>
        <v>0</v>
      </c>
      <c r="M77" s="222">
        <f>IF($F$72="growth - worst case",'Model Assumptions - Scenarios'!L25,IF($F$72="growth - base",'Model Assumptions - Scenarios'!W25,'Model Assumptions - Scenarios'!AH25))</f>
        <v>0</v>
      </c>
      <c r="N77" s="222">
        <f>IF($F$72="growth - worst case",'Model Assumptions - Scenarios'!M25,IF($F$72="growth - base",'Model Assumptions - Scenarios'!X25,'Model Assumptions - Scenarios'!AI25))</f>
        <v>0</v>
      </c>
      <c r="O77" s="222">
        <f>IF($F$72="growth - worst case",'Model Assumptions - Scenarios'!N25,IF($F$72="growth - base",'Model Assumptions - Scenarios'!Y25,'Model Assumptions - Scenarios'!AJ25))</f>
        <v>0</v>
      </c>
      <c r="P77" s="222">
        <f>IF($F$72="growth - worst case",'Model Assumptions - Scenarios'!O25,IF($F$72="growth - base",'Model Assumptions - Scenarios'!Z25,'Model Assumptions - Scenarios'!AK25))</f>
        <v>0</v>
      </c>
    </row>
    <row r="79" spans="1:19">
      <c r="B79" s="6" t="s">
        <v>88</v>
      </c>
      <c r="E79" s="37" t="s">
        <v>309</v>
      </c>
      <c r="F79" s="637" t="s">
        <v>301</v>
      </c>
      <c r="G79" s="10">
        <f>YEAR('Model Assumptions'!$D$12)</f>
        <v>2023</v>
      </c>
      <c r="H79" s="10">
        <f t="shared" ref="H79:P79" si="1">G79+1</f>
        <v>2024</v>
      </c>
      <c r="I79" s="10">
        <f t="shared" si="1"/>
        <v>2025</v>
      </c>
      <c r="J79" s="10">
        <f t="shared" si="1"/>
        <v>2026</v>
      </c>
      <c r="K79" s="10">
        <f t="shared" si="1"/>
        <v>2027</v>
      </c>
      <c r="L79" s="10">
        <f t="shared" si="1"/>
        <v>2028</v>
      </c>
      <c r="M79" s="10">
        <f t="shared" si="1"/>
        <v>2029</v>
      </c>
      <c r="N79" s="10">
        <f t="shared" si="1"/>
        <v>2030</v>
      </c>
      <c r="O79" s="10">
        <f t="shared" si="1"/>
        <v>2031</v>
      </c>
      <c r="P79" s="10">
        <f t="shared" si="1"/>
        <v>2032</v>
      </c>
    </row>
    <row r="80" spans="1:19">
      <c r="C80" s="9"/>
      <c r="D80" s="9" t="s">
        <v>567</v>
      </c>
      <c r="E80" s="62"/>
      <c r="G80" s="222">
        <f>IF($F$79="collection - worst case",'Model Assumptions - Scenarios'!F37,IF($F$79="collection - base",'Model Assumptions - Scenarios'!Q37,'Model Assumptions - Scenarios'!AB37))</f>
        <v>0.85</v>
      </c>
      <c r="H80" s="222">
        <f>IF($F$79="collection - worst case",'Model Assumptions - Scenarios'!G37,IF($F$79="collection - base",'Model Assumptions - Scenarios'!R37,'Model Assumptions - Scenarios'!AC37))</f>
        <v>0.85</v>
      </c>
      <c r="I80" s="222">
        <f>IF($F$79="collection - worst case",'Model Assumptions - Scenarios'!H37,IF($F$79="collection - base",'Model Assumptions - Scenarios'!S37,'Model Assumptions - Scenarios'!AD37))</f>
        <v>0.85</v>
      </c>
      <c r="J80" s="222">
        <f>IF($F$79="collection - worst case",'Model Assumptions - Scenarios'!I37,IF($F$79="collection - base",'Model Assumptions - Scenarios'!T37,'Model Assumptions - Scenarios'!AE37))</f>
        <v>0.85</v>
      </c>
      <c r="K80" s="222">
        <f>IF($F$79="collection - worst case",'Model Assumptions - Scenarios'!J37,IF($F$79="collection - base",'Model Assumptions - Scenarios'!U37,'Model Assumptions - Scenarios'!AF37))</f>
        <v>0.85</v>
      </c>
      <c r="L80" s="222">
        <f>IF($F$79="collection - worst case",'Model Assumptions - Scenarios'!K37,IF($F$79="collection - base",'Model Assumptions - Scenarios'!V37,'Model Assumptions - Scenarios'!AG37))</f>
        <v>0.85</v>
      </c>
      <c r="M80" s="222">
        <f>IF($F$79="collection - worst case",'Model Assumptions - Scenarios'!L37,IF($F$79="collection - base",'Model Assumptions - Scenarios'!W37,'Model Assumptions - Scenarios'!AH37))</f>
        <v>0.85</v>
      </c>
      <c r="N80" s="222">
        <f>IF($F$79="collection - worst case",'Model Assumptions - Scenarios'!M37,IF($F$79="collection - base",'Model Assumptions - Scenarios'!X37,'Model Assumptions - Scenarios'!AI37))</f>
        <v>0.85</v>
      </c>
      <c r="O80" s="222">
        <f>IF($F$79="collection - worst case",'Model Assumptions - Scenarios'!N37,IF($F$79="collection - base",'Model Assumptions - Scenarios'!Y37,'Model Assumptions - Scenarios'!AJ37))</f>
        <v>0.85</v>
      </c>
      <c r="P80" s="222">
        <f>IF($F$79="collection - worst case",'Model Assumptions - Scenarios'!O37,IF($F$79="collection - base",'Model Assumptions - Scenarios'!Z37,'Model Assumptions - Scenarios'!AK37))</f>
        <v>0.85</v>
      </c>
    </row>
    <row r="81" spans="2:19">
      <c r="B81" s="6"/>
      <c r="C81" s="9"/>
      <c r="D81" s="9"/>
      <c r="E81" s="9"/>
      <c r="G81" s="9"/>
      <c r="H81" s="9"/>
      <c r="I81" s="9"/>
      <c r="J81" s="10"/>
      <c r="K81" s="10"/>
      <c r="L81" s="10"/>
      <c r="M81" s="37"/>
      <c r="N81" s="190"/>
      <c r="O81" s="11"/>
    </row>
    <row r="82" spans="2:19">
      <c r="B82" s="6" t="s">
        <v>22</v>
      </c>
      <c r="C82" s="9"/>
      <c r="D82" s="9"/>
      <c r="E82" s="37" t="s">
        <v>309</v>
      </c>
      <c r="F82" s="637" t="s">
        <v>304</v>
      </c>
      <c r="G82" s="9"/>
      <c r="H82" s="9"/>
      <c r="I82" s="9"/>
      <c r="J82" s="10"/>
      <c r="K82" s="10"/>
      <c r="L82" s="10"/>
      <c r="M82" s="37"/>
      <c r="N82" s="190"/>
      <c r="O82" s="11"/>
    </row>
    <row r="83" spans="2:19">
      <c r="D83" s="9" t="s">
        <v>567</v>
      </c>
      <c r="F83" s="5" t="s">
        <v>23</v>
      </c>
      <c r="G83" s="222">
        <f>IF($F$82="churn - worst case",'Model Assumptions - Scenarios'!F41,IF($F$82="churn - base",'Model Assumptions - Scenarios'!Q41,'Model Assumptions - Scenarios'!AB41))</f>
        <v>0.01</v>
      </c>
      <c r="N83" s="190"/>
      <c r="O83" s="11"/>
    </row>
    <row r="84" spans="2:19">
      <c r="D84" s="9" t="s">
        <v>567</v>
      </c>
      <c r="F84" s="84" t="s">
        <v>509</v>
      </c>
      <c r="G84" s="222">
        <f>IF($F$82="churn - worst case",'Model Assumptions - Scenarios'!F42,IF($F$82="churn - base",'Model Assumptions - Scenarios'!Q42,'Model Assumptions - Scenarios'!AB42))</f>
        <v>6.0000000000000001E-3</v>
      </c>
      <c r="N84" s="190"/>
      <c r="O84" s="11"/>
    </row>
    <row r="85" spans="2:19">
      <c r="B85" s="6"/>
      <c r="C85" s="9"/>
      <c r="D85" s="9" t="s">
        <v>567</v>
      </c>
      <c r="F85" s="84" t="s">
        <v>508</v>
      </c>
      <c r="G85" s="222">
        <f>IF($F$82="churn - worst case",'Model Assumptions - Scenarios'!F43,IF($F$82="churn - base",'Model Assumptions - Scenarios'!Q43,'Model Assumptions - Scenarios'!AB43))</f>
        <v>4.0000000000000001E-3</v>
      </c>
      <c r="M85" s="37"/>
      <c r="N85" s="190"/>
      <c r="O85" s="11"/>
    </row>
    <row r="86" spans="2:19">
      <c r="B86" s="6"/>
      <c r="C86" s="9"/>
      <c r="D86" s="9"/>
      <c r="F86" s="84"/>
      <c r="G86" s="29"/>
      <c r="M86" s="37"/>
      <c r="N86" s="190"/>
      <c r="O86" s="11"/>
    </row>
    <row r="87" spans="2:19">
      <c r="B87" s="6"/>
      <c r="C87" s="9"/>
      <c r="D87" s="9"/>
      <c r="F87" s="84"/>
      <c r="G87" s="10">
        <f>YEAR('Model Assumptions'!$D$12)</f>
        <v>2023</v>
      </c>
      <c r="H87" s="10">
        <f t="shared" ref="H87:P87" si="2">G87+1</f>
        <v>2024</v>
      </c>
      <c r="I87" s="10">
        <f t="shared" si="2"/>
        <v>2025</v>
      </c>
      <c r="J87" s="10">
        <f t="shared" si="2"/>
        <v>2026</v>
      </c>
      <c r="K87" s="10">
        <f t="shared" si="2"/>
        <v>2027</v>
      </c>
      <c r="L87" s="10">
        <f t="shared" si="2"/>
        <v>2028</v>
      </c>
      <c r="M87" s="10">
        <f t="shared" si="2"/>
        <v>2029</v>
      </c>
      <c r="N87" s="10">
        <f t="shared" si="2"/>
        <v>2030</v>
      </c>
      <c r="O87" s="10">
        <f t="shared" si="2"/>
        <v>2031</v>
      </c>
      <c r="P87" s="10">
        <f t="shared" si="2"/>
        <v>2032</v>
      </c>
    </row>
    <row r="88" spans="2:19" ht="27.6">
      <c r="C88" s="9"/>
      <c r="D88" s="9" t="s">
        <v>567</v>
      </c>
      <c r="E88" s="9"/>
      <c r="F88" s="609" t="s">
        <v>445</v>
      </c>
      <c r="G88" s="650">
        <v>0.8</v>
      </c>
      <c r="H88" s="650">
        <v>0.7</v>
      </c>
      <c r="I88" s="650">
        <v>0.6</v>
      </c>
      <c r="J88" s="650">
        <v>0.5</v>
      </c>
      <c r="K88" s="650">
        <v>0.5</v>
      </c>
      <c r="L88" s="650">
        <v>0.5</v>
      </c>
      <c r="M88" s="650">
        <v>0.5</v>
      </c>
      <c r="N88" s="650">
        <v>0.5</v>
      </c>
      <c r="O88" s="650">
        <v>0.5</v>
      </c>
      <c r="P88" s="650">
        <v>0.5</v>
      </c>
      <c r="Q88" s="247" t="s">
        <v>446</v>
      </c>
    </row>
    <row r="89" spans="2:19">
      <c r="C89" s="9"/>
      <c r="D89" s="9"/>
      <c r="E89" s="9"/>
      <c r="F89" s="609"/>
      <c r="G89" s="236"/>
      <c r="H89" s="236"/>
      <c r="I89" s="236"/>
      <c r="J89" s="236"/>
      <c r="K89" s="236"/>
      <c r="L89" s="236"/>
      <c r="M89" s="236"/>
      <c r="N89" s="236"/>
      <c r="O89" s="236"/>
      <c r="P89" s="236"/>
      <c r="Q89" s="247"/>
    </row>
    <row r="90" spans="2:19">
      <c r="B90" s="6" t="s">
        <v>180</v>
      </c>
      <c r="C90" s="5" t="s">
        <v>498</v>
      </c>
      <c r="D90" s="9" t="s">
        <v>567</v>
      </c>
      <c r="E90" s="10"/>
      <c r="F90" s="10"/>
      <c r="G90" s="650">
        <v>0.1</v>
      </c>
      <c r="H90" s="236"/>
      <c r="I90" s="236"/>
      <c r="J90" s="236"/>
      <c r="K90" s="236"/>
      <c r="L90" s="236"/>
      <c r="M90" s="236"/>
      <c r="N90" s="236"/>
      <c r="O90" s="236"/>
      <c r="P90" s="236"/>
      <c r="Q90" s="247"/>
    </row>
    <row r="91" spans="2:19" outlineLevel="1">
      <c r="C91" s="9"/>
      <c r="D91" s="9"/>
      <c r="E91" s="9"/>
      <c r="F91" s="609"/>
      <c r="G91" s="610">
        <f>IF('Sensitivity analysis (USD)'!C20="",'Model Assumptions'!G90,'Sensitivity analysis (USD)'!C20)</f>
        <v>0.1</v>
      </c>
      <c r="H91" s="236"/>
      <c r="I91" s="236"/>
      <c r="J91" s="236"/>
      <c r="K91" s="236"/>
      <c r="L91" s="236"/>
      <c r="M91" s="236"/>
      <c r="N91" s="236"/>
      <c r="O91" s="236"/>
      <c r="P91" s="236"/>
      <c r="Q91" s="247"/>
    </row>
    <row r="92" spans="2:19" outlineLevel="1">
      <c r="C92" s="9"/>
      <c r="D92" s="9"/>
      <c r="E92" s="9"/>
      <c r="F92" s="609"/>
      <c r="G92" s="610"/>
      <c r="H92" s="236"/>
      <c r="I92" s="236"/>
      <c r="J92" s="236"/>
      <c r="K92" s="236"/>
      <c r="L92" s="236"/>
      <c r="M92" s="236"/>
      <c r="N92" s="236"/>
      <c r="O92" s="236"/>
      <c r="P92" s="236"/>
      <c r="Q92" s="247"/>
    </row>
    <row r="93" spans="2:19">
      <c r="B93" s="394" t="s">
        <v>411</v>
      </c>
      <c r="C93" s="173"/>
      <c r="D93" s="173"/>
      <c r="E93" s="174"/>
      <c r="F93" s="174"/>
      <c r="G93" s="174"/>
      <c r="H93" s="174"/>
      <c r="I93" s="174"/>
      <c r="J93" s="174"/>
      <c r="K93" s="175"/>
      <c r="L93" s="175"/>
      <c r="M93" s="175"/>
      <c r="N93" s="175"/>
      <c r="O93" s="175"/>
      <c r="P93" s="120"/>
      <c r="Q93" s="120"/>
      <c r="R93" s="120"/>
      <c r="S93" s="120"/>
    </row>
    <row r="94" spans="2:19">
      <c r="C94" s="9"/>
      <c r="D94" s="9"/>
      <c r="E94" s="9"/>
      <c r="G94" s="26"/>
      <c r="H94" s="27"/>
      <c r="I94" s="27"/>
      <c r="J94" s="10"/>
      <c r="K94" s="10"/>
      <c r="L94" s="10"/>
      <c r="M94" s="37"/>
      <c r="N94" s="190"/>
      <c r="O94" s="11"/>
    </row>
    <row r="95" spans="2:19" ht="16.05" customHeight="1">
      <c r="B95" s="6" t="s">
        <v>412</v>
      </c>
      <c r="C95" s="9"/>
      <c r="D95" s="9"/>
      <c r="E95" s="37" t="s">
        <v>309</v>
      </c>
      <c r="F95" s="637" t="s">
        <v>307</v>
      </c>
      <c r="G95" s="10">
        <f>YEAR('Model Assumptions'!$D$12)</f>
        <v>2023</v>
      </c>
      <c r="H95" s="10">
        <f t="shared" ref="H95:P95" si="3">G95+1</f>
        <v>2024</v>
      </c>
      <c r="I95" s="10">
        <f t="shared" si="3"/>
        <v>2025</v>
      </c>
      <c r="J95" s="10">
        <f t="shared" si="3"/>
        <v>2026</v>
      </c>
      <c r="K95" s="10">
        <f t="shared" si="3"/>
        <v>2027</v>
      </c>
      <c r="L95" s="10">
        <f t="shared" si="3"/>
        <v>2028</v>
      </c>
      <c r="M95" s="10">
        <f t="shared" si="3"/>
        <v>2029</v>
      </c>
      <c r="N95" s="10">
        <f t="shared" si="3"/>
        <v>2030</v>
      </c>
      <c r="O95" s="10">
        <f t="shared" si="3"/>
        <v>2031</v>
      </c>
      <c r="P95" s="10">
        <f t="shared" si="3"/>
        <v>2032</v>
      </c>
    </row>
    <row r="96" spans="2:19">
      <c r="C96" s="8" t="s">
        <v>409</v>
      </c>
      <c r="D96" s="8" t="s">
        <v>590</v>
      </c>
      <c r="E96" s="247" t="s">
        <v>469</v>
      </c>
      <c r="F96" s="247"/>
      <c r="G96" s="223">
        <f>IF($F$95="opex - worst case",'Model Assumptions - Scenarios'!F50,IF($F$95="opex - base",'Model Assumptions - Scenarios'!Q50,'Model Assumptions - Scenarios'!AB50))</f>
        <v>200000</v>
      </c>
      <c r="H96" s="223">
        <f>IF($F$95="opex - worst case",'Model Assumptions - Scenarios'!G50,IF($F$95="opex - base",'Model Assumptions - Scenarios'!R50,'Model Assumptions - Scenarios'!AC50))</f>
        <v>200000</v>
      </c>
      <c r="I96" s="223">
        <f>IF($F$95="opex - worst case",'Model Assumptions - Scenarios'!H50,IF($F$95="opex - base",'Model Assumptions - Scenarios'!S50,'Model Assumptions - Scenarios'!AD50))</f>
        <v>200000</v>
      </c>
      <c r="J96" s="223">
        <f>IF($F$95="opex - worst case",'Model Assumptions - Scenarios'!I50,IF($F$95="opex - base",'Model Assumptions - Scenarios'!T50,'Model Assumptions - Scenarios'!AE50))</f>
        <v>200000</v>
      </c>
      <c r="K96" s="223">
        <f>IF($F$95="opex - worst case",'Model Assumptions - Scenarios'!J50,IF($F$95="opex - base",'Model Assumptions - Scenarios'!U50,'Model Assumptions - Scenarios'!AF50))</f>
        <v>200000</v>
      </c>
      <c r="L96" s="223">
        <f>IF($F$95="opex - worst case",'Model Assumptions - Scenarios'!K50,IF($F$95="opex - base",'Model Assumptions - Scenarios'!V50,'Model Assumptions - Scenarios'!AG50))</f>
        <v>200000</v>
      </c>
      <c r="M96" s="223">
        <f>IF($F$95="opex - worst case",'Model Assumptions - Scenarios'!L50,IF($F$95="opex - base",'Model Assumptions - Scenarios'!W50,'Model Assumptions - Scenarios'!AH50))</f>
        <v>200000</v>
      </c>
      <c r="N96" s="223">
        <f>IF($F$95="opex - worst case",'Model Assumptions - Scenarios'!M50,IF($F$95="opex - base",'Model Assumptions - Scenarios'!X50,'Model Assumptions - Scenarios'!AI50))</f>
        <v>200000</v>
      </c>
      <c r="O96" s="223">
        <f>IF($F$95="opex - worst case",'Model Assumptions - Scenarios'!N50,IF($F$95="opex - base",'Model Assumptions - Scenarios'!Y50,'Model Assumptions - Scenarios'!AJ50))</f>
        <v>200000</v>
      </c>
      <c r="P96" s="223">
        <f>IF($F$95="opex - worst case",'Model Assumptions - Scenarios'!O50,IF($F$95="opex - base",'Model Assumptions - Scenarios'!Z50,'Model Assumptions - Scenarios'!AK50))</f>
        <v>200000</v>
      </c>
    </row>
    <row r="97" spans="2:19">
      <c r="C97" s="8" t="s">
        <v>332</v>
      </c>
      <c r="D97" s="8" t="s">
        <v>569</v>
      </c>
      <c r="E97" s="247" t="s">
        <v>662</v>
      </c>
      <c r="F97" s="247"/>
      <c r="G97" s="224">
        <f>IF($F$95="opex - worst case",'Model Assumptions - Scenarios'!F51,IF($F$95="opex - base",'Model Assumptions - Scenarios'!Q51,'Model Assumptions - Scenarios'!AB51))</f>
        <v>0.03</v>
      </c>
      <c r="H97" s="224">
        <f>IF($F$95="opex - worst case",'Model Assumptions - Scenarios'!G51,IF($F$95="opex - base",'Model Assumptions - Scenarios'!R51,'Model Assumptions - Scenarios'!AC51))</f>
        <v>0.03</v>
      </c>
      <c r="I97" s="224">
        <f>IF($F$95="opex - worst case",'Model Assumptions - Scenarios'!H51,IF($F$95="opex - base",'Model Assumptions - Scenarios'!S51,'Model Assumptions - Scenarios'!AD51))</f>
        <v>0.03</v>
      </c>
      <c r="J97" s="224">
        <f>IF($F$95="opex - worst case",'Model Assumptions - Scenarios'!I51,IF($F$95="opex - base",'Model Assumptions - Scenarios'!T51,'Model Assumptions - Scenarios'!AE51))</f>
        <v>0.02</v>
      </c>
      <c r="K97" s="224">
        <f>IF($F$95="opex - worst case",'Model Assumptions - Scenarios'!J51,IF($F$95="opex - base",'Model Assumptions - Scenarios'!U51,'Model Assumptions - Scenarios'!AF51))</f>
        <v>0.02</v>
      </c>
      <c r="L97" s="224">
        <f>IF($F$95="opex - worst case",'Model Assumptions - Scenarios'!K51,IF($F$95="opex - base",'Model Assumptions - Scenarios'!V51,'Model Assumptions - Scenarios'!AG51))</f>
        <v>0.03</v>
      </c>
      <c r="M97" s="224">
        <f>IF($F$95="opex - worst case",'Model Assumptions - Scenarios'!L51,IF($F$95="opex - base",'Model Assumptions - Scenarios'!W51,'Model Assumptions - Scenarios'!AH51))</f>
        <v>0.03</v>
      </c>
      <c r="N97" s="224">
        <f>IF($F$95="opex - worst case",'Model Assumptions - Scenarios'!M51,IF($F$95="opex - base",'Model Assumptions - Scenarios'!X51,'Model Assumptions - Scenarios'!AI51))</f>
        <v>0.03</v>
      </c>
      <c r="O97" s="224">
        <f>IF($F$95="opex - worst case",'Model Assumptions - Scenarios'!N51,IF($F$95="opex - base",'Model Assumptions - Scenarios'!Y51,'Model Assumptions - Scenarios'!AJ51))</f>
        <v>0.03</v>
      </c>
      <c r="P97" s="224">
        <f>IF($F$95="opex - worst case",'Model Assumptions - Scenarios'!O51,IF($F$95="opex - base",'Model Assumptions - Scenarios'!Z51,'Model Assumptions - Scenarios'!AK51))</f>
        <v>0.03</v>
      </c>
    </row>
    <row r="98" spans="2:19">
      <c r="C98" s="8" t="s">
        <v>333</v>
      </c>
      <c r="D98" s="8" t="s">
        <v>569</v>
      </c>
      <c r="E98" s="247" t="s">
        <v>663</v>
      </c>
      <c r="F98" s="247"/>
      <c r="G98" s="224">
        <f>IF($F$95="opex - worst case",'Model Assumptions - Scenarios'!F52,IF($F$95="opex - base",'Model Assumptions - Scenarios'!Q52,'Model Assumptions - Scenarios'!AB52))</f>
        <v>0.05</v>
      </c>
      <c r="H98" s="224">
        <f>IF($F$95="opex - worst case",'Model Assumptions - Scenarios'!G52,IF($F$95="opex - base",'Model Assumptions - Scenarios'!R52,'Model Assumptions - Scenarios'!AC52))</f>
        <v>0.05</v>
      </c>
      <c r="I98" s="224">
        <f>IF($F$95="opex - worst case",'Model Assumptions - Scenarios'!H52,IF($F$95="opex - base",'Model Assumptions - Scenarios'!S52,'Model Assumptions - Scenarios'!AD52))</f>
        <v>0.05</v>
      </c>
      <c r="J98" s="224">
        <f>IF($F$95="opex - worst case",'Model Assumptions - Scenarios'!I52,IF($F$95="opex - base",'Model Assumptions - Scenarios'!T52,'Model Assumptions - Scenarios'!AE52))</f>
        <v>0.04</v>
      </c>
      <c r="K98" s="224">
        <f>IF($F$95="opex - worst case",'Model Assumptions - Scenarios'!J52,IF($F$95="opex - base",'Model Assumptions - Scenarios'!U52,'Model Assumptions - Scenarios'!AF52))</f>
        <v>0.04</v>
      </c>
      <c r="L98" s="224">
        <f>IF($F$95="opex - worst case",'Model Assumptions - Scenarios'!K52,IF($F$95="opex - base",'Model Assumptions - Scenarios'!V52,'Model Assumptions - Scenarios'!AG52))</f>
        <v>0.04</v>
      </c>
      <c r="M98" s="224">
        <f>IF($F$95="opex - worst case",'Model Assumptions - Scenarios'!L52,IF($F$95="opex - base",'Model Assumptions - Scenarios'!W52,'Model Assumptions - Scenarios'!AH52))</f>
        <v>0.04</v>
      </c>
      <c r="N98" s="224">
        <f>IF($F$95="opex - worst case",'Model Assumptions - Scenarios'!M52,IF($F$95="opex - base",'Model Assumptions - Scenarios'!X52,'Model Assumptions - Scenarios'!AI52))</f>
        <v>0.04</v>
      </c>
      <c r="O98" s="224">
        <f>IF($F$95="opex - worst case",'Model Assumptions - Scenarios'!N52,IF($F$95="opex - base",'Model Assumptions - Scenarios'!Y52,'Model Assumptions - Scenarios'!AJ52))</f>
        <v>0.04</v>
      </c>
      <c r="P98" s="224">
        <f>IF($F$95="opex - worst case",'Model Assumptions - Scenarios'!O52,IF($F$95="opex - base",'Model Assumptions - Scenarios'!Z52,'Model Assumptions - Scenarios'!AK52))</f>
        <v>0.04</v>
      </c>
    </row>
    <row r="99" spans="2:19">
      <c r="C99" s="8" t="s">
        <v>410</v>
      </c>
      <c r="D99" s="8" t="s">
        <v>569</v>
      </c>
      <c r="E99" s="247" t="s">
        <v>664</v>
      </c>
      <c r="F99" s="247"/>
      <c r="G99" s="224">
        <f>IF($F$95="opex - worst case",'Model Assumptions - Scenarios'!F53,IF($F$95="opex - base",'Model Assumptions - Scenarios'!Q53,'Model Assumptions - Scenarios'!AB53))</f>
        <v>0.15</v>
      </c>
      <c r="H99" s="224">
        <f>IF($F$95="opex - worst case",'Model Assumptions - Scenarios'!G53,IF($F$95="opex - base",'Model Assumptions - Scenarios'!R53,'Model Assumptions - Scenarios'!AC53))</f>
        <v>0.15</v>
      </c>
      <c r="I99" s="224">
        <f>IF($F$95="opex - worst case",'Model Assumptions - Scenarios'!H53,IF($F$95="opex - base",'Model Assumptions - Scenarios'!S53,'Model Assumptions - Scenarios'!AD53))</f>
        <v>0.15</v>
      </c>
      <c r="J99" s="224">
        <f>IF($F$95="opex - worst case",'Model Assumptions - Scenarios'!I53,IF($F$95="opex - base",'Model Assumptions - Scenarios'!T53,'Model Assumptions - Scenarios'!AE53))</f>
        <v>0.15</v>
      </c>
      <c r="K99" s="224">
        <f>IF($F$95="opex - worst case",'Model Assumptions - Scenarios'!J53,IF($F$95="opex - base",'Model Assumptions - Scenarios'!U53,'Model Assumptions - Scenarios'!AF53))</f>
        <v>0.15</v>
      </c>
      <c r="L99" s="224">
        <f>IF($F$95="opex - worst case",'Model Assumptions - Scenarios'!K53,IF($F$95="opex - base",'Model Assumptions - Scenarios'!V53,'Model Assumptions - Scenarios'!AG53))</f>
        <v>0.15</v>
      </c>
      <c r="M99" s="224">
        <f>IF($F$95="opex - worst case",'Model Assumptions - Scenarios'!L53,IF($F$95="opex - base",'Model Assumptions - Scenarios'!W53,'Model Assumptions - Scenarios'!AH53))</f>
        <v>0.15</v>
      </c>
      <c r="N99" s="224">
        <f>IF($F$95="opex - worst case",'Model Assumptions - Scenarios'!M53,IF($F$95="opex - base",'Model Assumptions - Scenarios'!X53,'Model Assumptions - Scenarios'!AI53))</f>
        <v>0.15</v>
      </c>
      <c r="O99" s="224">
        <f>IF($F$95="opex - worst case",'Model Assumptions - Scenarios'!N53,IF($F$95="opex - base",'Model Assumptions - Scenarios'!Y53,'Model Assumptions - Scenarios'!AJ53))</f>
        <v>0.15</v>
      </c>
      <c r="P99" s="224">
        <f>IF($F$95="opex - worst case",'Model Assumptions - Scenarios'!O53,IF($F$95="opex - base",'Model Assumptions - Scenarios'!Z53,'Model Assumptions - Scenarios'!AK53))</f>
        <v>0.15</v>
      </c>
    </row>
    <row r="100" spans="2:19">
      <c r="C100" s="8" t="s">
        <v>336</v>
      </c>
      <c r="D100" s="8" t="s">
        <v>569</v>
      </c>
      <c r="E100" s="247" t="s">
        <v>467</v>
      </c>
      <c r="F100" s="247"/>
      <c r="G100" s="224">
        <f>IF($F$95="opex - worst case",'Model Assumptions - Scenarios'!F54,IF($F$95="opex - base",'Model Assumptions - Scenarios'!Q54,'Model Assumptions - Scenarios'!AB54))</f>
        <v>0.04</v>
      </c>
      <c r="H100" s="224">
        <f>IF($F$95="opex - worst case",'Model Assumptions - Scenarios'!G54,IF($F$95="opex - base",'Model Assumptions - Scenarios'!R54,'Model Assumptions - Scenarios'!AC54))</f>
        <v>0.04</v>
      </c>
      <c r="I100" s="224">
        <f>IF($F$95="opex - worst case",'Model Assumptions - Scenarios'!H54,IF($F$95="opex - base",'Model Assumptions - Scenarios'!S54,'Model Assumptions - Scenarios'!AD54))</f>
        <v>0.04</v>
      </c>
      <c r="J100" s="224">
        <f>IF($F$95="opex - worst case",'Model Assumptions - Scenarios'!I54,IF($F$95="opex - base",'Model Assumptions - Scenarios'!T54,'Model Assumptions - Scenarios'!AE54))</f>
        <v>0.03</v>
      </c>
      <c r="K100" s="224">
        <f>IF($F$95="opex - worst case",'Model Assumptions - Scenarios'!J54,IF($F$95="opex - base",'Model Assumptions - Scenarios'!U54,'Model Assumptions - Scenarios'!AF54))</f>
        <v>0.03</v>
      </c>
      <c r="L100" s="224">
        <f>IF($F$95="opex - worst case",'Model Assumptions - Scenarios'!K54,IF($F$95="opex - base",'Model Assumptions - Scenarios'!V54,'Model Assumptions - Scenarios'!AG54))</f>
        <v>0.03</v>
      </c>
      <c r="M100" s="224">
        <f>IF($F$95="opex - worst case",'Model Assumptions - Scenarios'!L54,IF($F$95="opex - base",'Model Assumptions - Scenarios'!W54,'Model Assumptions - Scenarios'!AH54))</f>
        <v>0.03</v>
      </c>
      <c r="N100" s="224">
        <f>IF($F$95="opex - worst case",'Model Assumptions - Scenarios'!M54,IF($F$95="opex - base",'Model Assumptions - Scenarios'!X54,'Model Assumptions - Scenarios'!AI54))</f>
        <v>0.03</v>
      </c>
      <c r="O100" s="224">
        <f>IF($F$95="opex - worst case",'Model Assumptions - Scenarios'!N54,IF($F$95="opex - base",'Model Assumptions - Scenarios'!Y54,'Model Assumptions - Scenarios'!AJ54))</f>
        <v>0.03</v>
      </c>
      <c r="P100" s="224">
        <f>IF($F$95="opex - worst case",'Model Assumptions - Scenarios'!O54,IF($F$95="opex - base",'Model Assumptions - Scenarios'!Z54,'Model Assumptions - Scenarios'!AK54))</f>
        <v>0.03</v>
      </c>
    </row>
    <row r="101" spans="2:19">
      <c r="C101" s="8" t="s">
        <v>342</v>
      </c>
      <c r="D101" s="8" t="s">
        <v>590</v>
      </c>
      <c r="E101" s="247" t="s">
        <v>466</v>
      </c>
      <c r="F101" s="247"/>
      <c r="G101" s="223">
        <f>IF($F$95="opex - worst case",'Model Assumptions - Scenarios'!F55,IF($F$95="opex - base",'Model Assumptions - Scenarios'!Q55,'Model Assumptions - Scenarios'!AB55))</f>
        <v>200000</v>
      </c>
      <c r="H101" s="223">
        <f>IF($F$95="opex - worst case",'Model Assumptions - Scenarios'!G55,IF($F$95="opex - base",'Model Assumptions - Scenarios'!R55,'Model Assumptions - Scenarios'!AC55))</f>
        <v>200000</v>
      </c>
      <c r="I101" s="223">
        <f>IF($F$95="opex - worst case",'Model Assumptions - Scenarios'!H55,IF($F$95="opex - base",'Model Assumptions - Scenarios'!S55,'Model Assumptions - Scenarios'!AD55))</f>
        <v>200000</v>
      </c>
      <c r="J101" s="223">
        <f>IF($F$95="opex - worst case",'Model Assumptions - Scenarios'!I55,IF($F$95="opex - base",'Model Assumptions - Scenarios'!T55,'Model Assumptions - Scenarios'!AE55))</f>
        <v>200000</v>
      </c>
      <c r="K101" s="223">
        <f>IF($F$95="opex - worst case",'Model Assumptions - Scenarios'!J55,IF($F$95="opex - base",'Model Assumptions - Scenarios'!U55,'Model Assumptions - Scenarios'!AF55))</f>
        <v>200000</v>
      </c>
      <c r="L101" s="223">
        <f>IF($F$95="opex - worst case",'Model Assumptions - Scenarios'!K55,IF($F$95="opex - base",'Model Assumptions - Scenarios'!V55,'Model Assumptions - Scenarios'!AG55))</f>
        <v>200000</v>
      </c>
      <c r="M101" s="223">
        <f>IF($F$95="opex - worst case",'Model Assumptions - Scenarios'!L55,IF($F$95="opex - base",'Model Assumptions - Scenarios'!W55,'Model Assumptions - Scenarios'!AH55))</f>
        <v>200000</v>
      </c>
      <c r="N101" s="223">
        <f>IF($F$95="opex - worst case",'Model Assumptions - Scenarios'!M55,IF($F$95="opex - base",'Model Assumptions - Scenarios'!X55,'Model Assumptions - Scenarios'!AI55))</f>
        <v>200000</v>
      </c>
      <c r="O101" s="223">
        <f>IF($F$95="opex - worst case",'Model Assumptions - Scenarios'!N55,IF($F$95="opex - base",'Model Assumptions - Scenarios'!Y55,'Model Assumptions - Scenarios'!AJ55))</f>
        <v>200000</v>
      </c>
      <c r="P101" s="223">
        <f>IF($F$95="opex - worst case",'Model Assumptions - Scenarios'!O55,IF($F$95="opex - base",'Model Assumptions - Scenarios'!Z55,'Model Assumptions - Scenarios'!AK55))</f>
        <v>200000</v>
      </c>
    </row>
    <row r="102" spans="2:19">
      <c r="C102" s="8" t="s">
        <v>230</v>
      </c>
      <c r="D102" s="8" t="s">
        <v>567</v>
      </c>
      <c r="E102" s="247" t="s">
        <v>665</v>
      </c>
      <c r="F102" s="247"/>
      <c r="G102" s="224">
        <f>IF($F$95="opex - worst case",'Model Assumptions - Scenarios'!F56,IF($F$95="opex - base",'Model Assumptions - Scenarios'!Q56,'Model Assumptions - Scenarios'!AB56))</f>
        <v>0.01</v>
      </c>
      <c r="H102" s="224">
        <f>IF($F$95="opex - worst case",'Model Assumptions - Scenarios'!G56,IF($F$95="opex - base",'Model Assumptions - Scenarios'!R56,'Model Assumptions - Scenarios'!AC56))</f>
        <v>0.01</v>
      </c>
      <c r="I102" s="224">
        <f>IF($F$95="opex - worst case",'Model Assumptions - Scenarios'!H56,IF($F$95="opex - base",'Model Assumptions - Scenarios'!S56,'Model Assumptions - Scenarios'!AD56))</f>
        <v>0.01</v>
      </c>
      <c r="J102" s="224">
        <f>IF($F$95="opex - worst case",'Model Assumptions - Scenarios'!I56,IF($F$95="opex - base",'Model Assumptions - Scenarios'!T56,'Model Assumptions - Scenarios'!AE56))</f>
        <v>0.01</v>
      </c>
      <c r="K102" s="224">
        <f>IF($F$95="opex - worst case",'Model Assumptions - Scenarios'!J56,IF($F$95="opex - base",'Model Assumptions - Scenarios'!U56,'Model Assumptions - Scenarios'!AF56))</f>
        <v>0.01</v>
      </c>
      <c r="L102" s="224">
        <f>IF($F$95="opex - worst case",'Model Assumptions - Scenarios'!K56,IF($F$95="opex - base",'Model Assumptions - Scenarios'!V56,'Model Assumptions - Scenarios'!AG56))</f>
        <v>0.01</v>
      </c>
      <c r="M102" s="224">
        <f>IF($F$95="opex - worst case",'Model Assumptions - Scenarios'!L56,IF($F$95="opex - base",'Model Assumptions - Scenarios'!W56,'Model Assumptions - Scenarios'!AH56))</f>
        <v>0.01</v>
      </c>
      <c r="N102" s="224">
        <f>IF($F$95="opex - worst case",'Model Assumptions - Scenarios'!M56,IF($F$95="opex - base",'Model Assumptions - Scenarios'!X56,'Model Assumptions - Scenarios'!AI56))</f>
        <v>0.01</v>
      </c>
      <c r="O102" s="224">
        <f>IF($F$95="opex - worst case",'Model Assumptions - Scenarios'!N56,IF($F$95="opex - base",'Model Assumptions - Scenarios'!Y56,'Model Assumptions - Scenarios'!AJ56))</f>
        <v>0.01</v>
      </c>
      <c r="P102" s="224">
        <f>IF($F$95="opex - worst case",'Model Assumptions - Scenarios'!O56,IF($F$95="opex - base",'Model Assumptions - Scenarios'!Z56,'Model Assumptions - Scenarios'!AK56))</f>
        <v>0.01</v>
      </c>
    </row>
    <row r="103" spans="2:19">
      <c r="C103" s="8" t="s">
        <v>408</v>
      </c>
      <c r="D103" s="8" t="s">
        <v>590</v>
      </c>
      <c r="E103" s="247" t="s">
        <v>468</v>
      </c>
      <c r="F103" s="247"/>
      <c r="G103" s="223">
        <f>IF($F$95="opex - worst case",'Model Assumptions - Scenarios'!F57,IF($F$95="opex - base",'Model Assumptions - Scenarios'!Q57,'Model Assumptions - Scenarios'!AB57))</f>
        <v>100000</v>
      </c>
      <c r="H103" s="223">
        <f>IF($F$95="opex - worst case",'Model Assumptions - Scenarios'!G57,IF($F$95="opex - base",'Model Assumptions - Scenarios'!R57,'Model Assumptions - Scenarios'!AC57))</f>
        <v>100000</v>
      </c>
      <c r="I103" s="223">
        <f>IF($F$95="opex - worst case",'Model Assumptions - Scenarios'!H57,IF($F$95="opex - base",'Model Assumptions - Scenarios'!S57,'Model Assumptions - Scenarios'!AD57))</f>
        <v>100000</v>
      </c>
      <c r="J103" s="223">
        <f>IF($F$95="opex - worst case",'Model Assumptions - Scenarios'!I57,IF($F$95="opex - base",'Model Assumptions - Scenarios'!T57,'Model Assumptions - Scenarios'!AE57))</f>
        <v>100000</v>
      </c>
      <c r="K103" s="223">
        <f>IF($F$95="opex - worst case",'Model Assumptions - Scenarios'!J57,IF($F$95="opex - base",'Model Assumptions - Scenarios'!U57,'Model Assumptions - Scenarios'!AF57))</f>
        <v>100000</v>
      </c>
      <c r="L103" s="223">
        <f>IF($F$95="opex - worst case",'Model Assumptions - Scenarios'!K57,IF($F$95="opex - base",'Model Assumptions - Scenarios'!V57,'Model Assumptions - Scenarios'!AG57))</f>
        <v>100000</v>
      </c>
      <c r="M103" s="223">
        <f>IF($F$95="opex - worst case",'Model Assumptions - Scenarios'!L57,IF($F$95="opex - base",'Model Assumptions - Scenarios'!W57,'Model Assumptions - Scenarios'!AH57))</f>
        <v>100000</v>
      </c>
      <c r="N103" s="223">
        <f>IF($F$95="opex - worst case",'Model Assumptions - Scenarios'!M57,IF($F$95="opex - base",'Model Assumptions - Scenarios'!X57,'Model Assumptions - Scenarios'!AI57))</f>
        <v>100000</v>
      </c>
      <c r="O103" s="223">
        <f>IF($F$95="opex - worst case",'Model Assumptions - Scenarios'!N57,IF($F$95="opex - base",'Model Assumptions - Scenarios'!Y57,'Model Assumptions - Scenarios'!AJ57))</f>
        <v>100000</v>
      </c>
      <c r="P103" s="223">
        <f>IF($F$95="opex - worst case",'Model Assumptions - Scenarios'!O57,IF($F$95="opex - base",'Model Assumptions - Scenarios'!Z57,'Model Assumptions - Scenarios'!AK57))</f>
        <v>100000</v>
      </c>
    </row>
    <row r="104" spans="2:19">
      <c r="C104" s="264" t="s">
        <v>89</v>
      </c>
      <c r="D104" s="264" t="s">
        <v>613</v>
      </c>
      <c r="E104" s="247" t="s">
        <v>589</v>
      </c>
      <c r="F104" s="247"/>
      <c r="G104" s="253">
        <f>IF($F$95="opex - worst case",'Model Assumptions - Scenarios'!F58,IF($F$95="opex - base",'Model Assumptions - Scenarios'!Q58,'Model Assumptions - Scenarios'!AB58))</f>
        <v>60</v>
      </c>
    </row>
    <row r="105" spans="2:19">
      <c r="B105" s="54"/>
    </row>
    <row r="107" spans="2:19">
      <c r="B107" s="394" t="s">
        <v>75</v>
      </c>
      <c r="C107" s="173"/>
      <c r="D107" s="173"/>
      <c r="E107" s="174"/>
      <c r="F107" s="174"/>
      <c r="G107" s="174"/>
      <c r="H107" s="174"/>
      <c r="I107" s="174"/>
      <c r="J107" s="174"/>
      <c r="K107" s="175"/>
      <c r="L107" s="175"/>
      <c r="M107" s="175"/>
      <c r="N107" s="175"/>
      <c r="O107" s="175"/>
      <c r="P107" s="175"/>
      <c r="Q107" s="175"/>
      <c r="R107" s="175"/>
      <c r="S107" s="175"/>
    </row>
    <row r="108" spans="2:19">
      <c r="B108" s="49"/>
      <c r="C108" s="50"/>
      <c r="D108" s="50"/>
      <c r="E108" s="51"/>
      <c r="F108" s="51"/>
      <c r="G108" s="51"/>
      <c r="H108" s="52"/>
      <c r="I108" s="52"/>
      <c r="J108" s="51"/>
      <c r="K108" s="52"/>
      <c r="L108" s="51"/>
      <c r="M108" s="191"/>
      <c r="N108" s="191"/>
      <c r="O108" s="191"/>
      <c r="P108" s="51"/>
      <c r="Q108" s="51"/>
      <c r="R108" s="51"/>
      <c r="S108" s="51"/>
    </row>
    <row r="109" spans="2:19">
      <c r="C109" s="5" t="s">
        <v>76</v>
      </c>
      <c r="D109" s="5" t="s">
        <v>567</v>
      </c>
      <c r="F109" s="639">
        <v>0.4</v>
      </c>
    </row>
    <row r="110" spans="2:19">
      <c r="C110" s="5" t="s">
        <v>450</v>
      </c>
      <c r="D110" s="5" t="s">
        <v>567</v>
      </c>
      <c r="F110" s="639">
        <v>0.05</v>
      </c>
    </row>
    <row r="111" spans="2:19">
      <c r="C111" s="5" t="s">
        <v>481</v>
      </c>
      <c r="F111" s="639" t="s">
        <v>460</v>
      </c>
    </row>
    <row r="112" spans="2:19">
      <c r="C112" s="5" t="s">
        <v>482</v>
      </c>
      <c r="F112" s="639" t="s">
        <v>460</v>
      </c>
    </row>
    <row r="114" spans="2:19">
      <c r="B114" s="85" t="s">
        <v>497</v>
      </c>
      <c r="C114" s="85"/>
      <c r="D114" s="85"/>
      <c r="E114" s="85"/>
      <c r="F114" s="85"/>
      <c r="G114" s="85"/>
      <c r="H114" s="85"/>
      <c r="I114" s="85"/>
      <c r="J114" s="85"/>
      <c r="K114" s="85"/>
      <c r="L114" s="85"/>
      <c r="M114" s="85"/>
      <c r="N114" s="85"/>
      <c r="O114" s="85"/>
      <c r="P114" s="85"/>
      <c r="Q114" s="85"/>
      <c r="R114" s="85"/>
      <c r="S114" s="85"/>
    </row>
    <row r="116" spans="2:19">
      <c r="F116" s="85" t="s">
        <v>653</v>
      </c>
      <c r="H116" s="85" t="s">
        <v>654</v>
      </c>
    </row>
    <row r="118" spans="2:19">
      <c r="B118" s="6" t="s">
        <v>192</v>
      </c>
      <c r="C118" s="5" t="s">
        <v>703</v>
      </c>
      <c r="D118" s="5" t="s">
        <v>380</v>
      </c>
      <c r="F118" s="640">
        <v>300000</v>
      </c>
      <c r="H118" s="62" t="s">
        <v>658</v>
      </c>
    </row>
    <row r="119" spans="2:19">
      <c r="C119" s="5" t="s">
        <v>594</v>
      </c>
      <c r="D119" s="5" t="s">
        <v>380</v>
      </c>
      <c r="E119" s="35"/>
      <c r="F119" s="640">
        <v>650000</v>
      </c>
      <c r="H119" s="640">
        <v>500000</v>
      </c>
      <c r="I119" s="62" t="s">
        <v>659</v>
      </c>
    </row>
    <row r="120" spans="2:19">
      <c r="C120" s="5" t="s">
        <v>595</v>
      </c>
      <c r="D120" s="5" t="s">
        <v>380</v>
      </c>
      <c r="F120" s="253">
        <v>0</v>
      </c>
      <c r="H120" s="635">
        <v>800000</v>
      </c>
      <c r="I120" s="62" t="s">
        <v>660</v>
      </c>
    </row>
    <row r="121" spans="2:19">
      <c r="C121" s="5" t="s">
        <v>596</v>
      </c>
      <c r="D121" s="5" t="s">
        <v>380</v>
      </c>
      <c r="F121" s="640">
        <v>100000</v>
      </c>
      <c r="H121" s="62" t="s">
        <v>658</v>
      </c>
    </row>
    <row r="123" spans="2:19">
      <c r="B123" s="6" t="s">
        <v>122</v>
      </c>
      <c r="C123" s="5" t="s">
        <v>633</v>
      </c>
      <c r="D123" s="5" t="s">
        <v>380</v>
      </c>
      <c r="F123" s="640">
        <v>500000</v>
      </c>
      <c r="H123" s="62" t="s">
        <v>658</v>
      </c>
    </row>
    <row r="124" spans="2:19">
      <c r="B124" s="6" t="s">
        <v>641</v>
      </c>
      <c r="C124" s="5" t="s">
        <v>634</v>
      </c>
      <c r="D124" s="5" t="s">
        <v>380</v>
      </c>
      <c r="F124" s="640">
        <v>550000</v>
      </c>
      <c r="H124" s="62" t="s">
        <v>658</v>
      </c>
    </row>
    <row r="125" spans="2:19">
      <c r="C125" s="5" t="s">
        <v>635</v>
      </c>
      <c r="D125" s="5" t="s">
        <v>380</v>
      </c>
      <c r="F125" s="640">
        <v>0</v>
      </c>
      <c r="H125" s="640">
        <v>650000</v>
      </c>
      <c r="I125" s="62" t="s">
        <v>661</v>
      </c>
    </row>
    <row r="127" spans="2:19">
      <c r="C127" s="232" t="s">
        <v>644</v>
      </c>
      <c r="D127" s="604">
        <f>SUM(F127:H127)</f>
        <v>0</v>
      </c>
      <c r="F127" s="528">
        <f>IF(ABS(SUM(F118:F121)-SUM(F123:F125))&lt;tolerance,0,1)</f>
        <v>0</v>
      </c>
      <c r="H127" s="528">
        <f>IF(ABS(SUM(F118,H119,H120,F121)-SUM(F123,F124,H125))&lt;tolerance,0,1)</f>
        <v>0</v>
      </c>
      <c r="J127" s="35"/>
    </row>
    <row r="128" spans="2:19">
      <c r="F128" s="35"/>
      <c r="J128" s="35"/>
      <c r="K128" s="589">
        <f>J127-J128</f>
        <v>0</v>
      </c>
    </row>
    <row r="129" spans="2:19">
      <c r="B129" s="394" t="s">
        <v>82</v>
      </c>
      <c r="C129" s="173"/>
      <c r="D129" s="173"/>
      <c r="E129" s="174"/>
      <c r="F129" s="563"/>
      <c r="G129" s="564"/>
      <c r="H129" s="174"/>
      <c r="I129" s="174"/>
      <c r="J129" s="174"/>
      <c r="K129" s="175"/>
      <c r="L129" s="175"/>
      <c r="M129" s="175"/>
      <c r="N129" s="175"/>
      <c r="O129" s="175"/>
      <c r="P129" s="175"/>
      <c r="Q129" s="175"/>
      <c r="R129" s="175"/>
      <c r="S129" s="175"/>
    </row>
    <row r="130" spans="2:19">
      <c r="B130" s="49"/>
      <c r="C130" s="50"/>
      <c r="D130" s="50"/>
      <c r="E130" s="51"/>
      <c r="F130" s="51"/>
      <c r="G130" s="51"/>
      <c r="H130" s="52"/>
      <c r="I130" s="52"/>
      <c r="J130" s="51"/>
      <c r="K130" s="52"/>
      <c r="L130" s="51"/>
      <c r="M130" s="51"/>
      <c r="N130" s="51"/>
      <c r="O130" s="51"/>
      <c r="P130" s="51"/>
      <c r="Q130" s="51"/>
      <c r="R130" s="51"/>
      <c r="S130" s="51"/>
    </row>
    <row r="131" spans="2:19">
      <c r="B131" s="6" t="s">
        <v>213</v>
      </c>
    </row>
    <row r="132" spans="2:19">
      <c r="F132" s="48" t="s">
        <v>83</v>
      </c>
      <c r="G132" s="48" t="s">
        <v>84</v>
      </c>
      <c r="H132" s="48" t="s">
        <v>85</v>
      </c>
      <c r="I132" s="48" t="s">
        <v>26</v>
      </c>
      <c r="J132" s="48" t="s">
        <v>27</v>
      </c>
      <c r="K132" s="48" t="s">
        <v>28</v>
      </c>
      <c r="L132" s="48" t="s">
        <v>326</v>
      </c>
      <c r="M132" s="48" t="s">
        <v>327</v>
      </c>
      <c r="N132" s="48" t="s">
        <v>328</v>
      </c>
      <c r="O132" s="48" t="s">
        <v>329</v>
      </c>
    </row>
    <row r="133" spans="2:19">
      <c r="B133" s="53"/>
      <c r="C133" s="5" t="s">
        <v>495</v>
      </c>
      <c r="D133" s="5" t="s">
        <v>602</v>
      </c>
      <c r="F133" s="641">
        <v>44927</v>
      </c>
      <c r="G133" s="641">
        <v>45658</v>
      </c>
      <c r="H133" s="641">
        <v>46388</v>
      </c>
      <c r="I133" s="641">
        <v>46753</v>
      </c>
      <c r="J133" s="641">
        <v>47119</v>
      </c>
      <c r="K133" s="641">
        <v>47484</v>
      </c>
      <c r="L133" s="641">
        <v>47849</v>
      </c>
      <c r="M133" s="641">
        <v>48214</v>
      </c>
      <c r="N133" s="641"/>
      <c r="O133" s="641"/>
    </row>
    <row r="134" spans="2:19">
      <c r="C134" s="5" t="s">
        <v>599</v>
      </c>
      <c r="D134" s="5" t="s">
        <v>32</v>
      </c>
      <c r="F134" s="640">
        <v>1000000</v>
      </c>
      <c r="G134" s="640">
        <v>2500000</v>
      </c>
      <c r="H134" s="642">
        <f>H136/H135</f>
        <v>1200000</v>
      </c>
      <c r="I134" s="640">
        <v>1000000</v>
      </c>
      <c r="J134" s="640">
        <v>1000000</v>
      </c>
      <c r="K134" s="640">
        <v>1000000</v>
      </c>
      <c r="L134" s="640">
        <v>1000000</v>
      </c>
      <c r="M134" s="651">
        <f>M136/M135</f>
        <v>1300000</v>
      </c>
      <c r="N134" s="640"/>
      <c r="O134" s="640"/>
    </row>
    <row r="135" spans="2:19">
      <c r="C135" s="5" t="s">
        <v>393</v>
      </c>
      <c r="F135" s="642">
        <f>IFERROR((INDEX(Flags!$J$27:$CC$30,4,MATCH(F133,Flags!$J$27:$CC$27))),"")</f>
        <v>10</v>
      </c>
      <c r="G135" s="642">
        <f>IFERROR((INDEX(Flags!$J$27:$CC$30,4,MATCH(G133,Flags!$J$27:$CC$27))),"")</f>
        <v>10</v>
      </c>
      <c r="H135" s="642">
        <f>IFERROR((INDEX(Flags!$J$27:$CC$30,4,MATCH(H133,Flags!$J$27:$CC$27))),"")</f>
        <v>10</v>
      </c>
      <c r="I135" s="642">
        <f>IFERROR((INDEX(Flags!$J$27:$CC$30,4,MATCH(I133,Flags!$J$27:$CC$27))),"")</f>
        <v>10</v>
      </c>
      <c r="J135" s="642">
        <f>IFERROR((INDEX(Flags!$J$27:$CC$30,4,MATCH(J133,Flags!$J$27:$CC$27))),"")</f>
        <v>10</v>
      </c>
      <c r="K135" s="642">
        <f>IFERROR((INDEX(Flags!$J$27:$CC$30,4,MATCH(K133,Flags!$J$27:$CC$27))),"")</f>
        <v>10</v>
      </c>
      <c r="L135" s="642">
        <f>IFERROR((INDEX(Flags!$J$27:$CC$30,4,MATCH(L133,Flags!$J$27:$CC$27))),"")</f>
        <v>10</v>
      </c>
      <c r="M135" s="642">
        <f>IFERROR((INDEX(Flags!$J$27:$CC$30,4,MATCH(M133,Flags!$J$27:$CC$27))),"")</f>
        <v>10</v>
      </c>
      <c r="N135" s="642" t="str">
        <f>IFERROR((INDEX(Flags!$J$27:$CC$30,4,MATCH(N133,Flags!$J$27:$CC$27))),"")</f>
        <v/>
      </c>
      <c r="O135" s="642" t="str">
        <f>IFERROR((INDEX(Flags!$J$27:$CC$30,4,MATCH(O133,Flags!$J$27:$CC$27))),"")</f>
        <v/>
      </c>
      <c r="P135" s="62"/>
    </row>
    <row r="136" spans="2:19">
      <c r="C136" s="5" t="s">
        <v>599</v>
      </c>
      <c r="D136" s="5" t="s">
        <v>380</v>
      </c>
      <c r="F136" s="642">
        <f>IFERROR(F134*F135,"")</f>
        <v>10000000</v>
      </c>
      <c r="G136" s="642">
        <f t="shared" ref="G136:O136" si="4">IFERROR(G134*G135,"")</f>
        <v>25000000</v>
      </c>
      <c r="H136" s="652">
        <v>12000000</v>
      </c>
      <c r="I136" s="642">
        <f t="shared" ref="I136:L136" si="5">IFERROR(I134*I135,"")</f>
        <v>10000000</v>
      </c>
      <c r="J136" s="642">
        <f t="shared" si="5"/>
        <v>10000000</v>
      </c>
      <c r="K136" s="642">
        <f t="shared" si="5"/>
        <v>10000000</v>
      </c>
      <c r="L136" s="642">
        <f t="shared" si="5"/>
        <v>10000000</v>
      </c>
      <c r="M136" s="652">
        <v>13000000</v>
      </c>
      <c r="N136" s="642" t="str">
        <f t="shared" si="4"/>
        <v/>
      </c>
      <c r="O136" s="642" t="str">
        <f t="shared" si="4"/>
        <v/>
      </c>
    </row>
    <row r="137" spans="2:19">
      <c r="C137" s="5" t="s">
        <v>496</v>
      </c>
      <c r="F137" s="635" t="s">
        <v>32</v>
      </c>
      <c r="G137" s="635" t="s">
        <v>32</v>
      </c>
      <c r="H137" s="635" t="s">
        <v>380</v>
      </c>
      <c r="I137" s="635" t="s">
        <v>32</v>
      </c>
      <c r="J137" s="635" t="s">
        <v>32</v>
      </c>
      <c r="K137" s="635" t="s">
        <v>32</v>
      </c>
      <c r="L137" s="635" t="s">
        <v>32</v>
      </c>
      <c r="M137" s="635" t="s">
        <v>380</v>
      </c>
      <c r="N137" s="635"/>
      <c r="O137" s="635"/>
    </row>
    <row r="138" spans="2:19">
      <c r="C138" s="5" t="s">
        <v>86</v>
      </c>
      <c r="D138" s="5" t="s">
        <v>32</v>
      </c>
      <c r="F138" s="643">
        <f>IFERROR(F134/((F140-F139)*12),"")</f>
        <v>41666.666666666664</v>
      </c>
      <c r="G138" s="643">
        <f t="shared" ref="G138:O138" si="6">IFERROR(G134/((G140-G139)*12),"")</f>
        <v>46296.296296296299</v>
      </c>
      <c r="H138" s="643">
        <f t="shared" ref="H138" si="7">IFERROR(H134/((H140-H139)*12),"")</f>
        <v>22222.222222222223</v>
      </c>
      <c r="I138" s="643">
        <f t="shared" ref="I138:L138" si="8">IFERROR(I134/((I140-I139)*12),"")</f>
        <v>18518.518518518518</v>
      </c>
      <c r="J138" s="643">
        <f t="shared" si="8"/>
        <v>18518.518518518518</v>
      </c>
      <c r="K138" s="643">
        <f t="shared" si="8"/>
        <v>18518.518518518518</v>
      </c>
      <c r="L138" s="643">
        <f t="shared" si="8"/>
        <v>18518.518518518518</v>
      </c>
      <c r="M138" s="643">
        <f t="shared" ref="M138" si="9">IFERROR(M134/((M140-M139)*12),"")</f>
        <v>24074.074074074073</v>
      </c>
      <c r="N138" s="643" t="str">
        <f t="shared" si="6"/>
        <v/>
      </c>
      <c r="O138" s="643" t="str">
        <f t="shared" si="6"/>
        <v/>
      </c>
    </row>
    <row r="139" spans="2:19">
      <c r="C139" s="5" t="s">
        <v>697</v>
      </c>
      <c r="D139" s="5" t="s">
        <v>597</v>
      </c>
      <c r="F139" s="644">
        <v>1</v>
      </c>
      <c r="G139" s="644">
        <v>0.5</v>
      </c>
      <c r="H139" s="644">
        <v>0.5</v>
      </c>
      <c r="I139" s="644">
        <v>0.5</v>
      </c>
      <c r="J139" s="644">
        <v>0.5</v>
      </c>
      <c r="K139" s="644">
        <v>0.5</v>
      </c>
      <c r="L139" s="644">
        <v>0.5</v>
      </c>
      <c r="M139" s="644">
        <v>0.5</v>
      </c>
      <c r="N139" s="644"/>
      <c r="O139" s="644"/>
    </row>
    <row r="140" spans="2:19">
      <c r="C140" s="5" t="s">
        <v>600</v>
      </c>
      <c r="D140" s="5" t="s">
        <v>598</v>
      </c>
      <c r="F140" s="644">
        <v>3</v>
      </c>
      <c r="G140" s="644">
        <v>5</v>
      </c>
      <c r="H140" s="644">
        <v>5</v>
      </c>
      <c r="I140" s="644">
        <v>5</v>
      </c>
      <c r="J140" s="644">
        <v>5</v>
      </c>
      <c r="K140" s="644">
        <v>5</v>
      </c>
      <c r="L140" s="644">
        <v>5</v>
      </c>
      <c r="M140" s="644">
        <v>5</v>
      </c>
      <c r="N140" s="644"/>
      <c r="O140" s="644"/>
    </row>
    <row r="141" spans="2:19">
      <c r="C141" s="5" t="s">
        <v>601</v>
      </c>
      <c r="D141" s="5" t="s">
        <v>567</v>
      </c>
      <c r="F141" s="645">
        <v>0.125</v>
      </c>
      <c r="G141" s="645">
        <v>0.1</v>
      </c>
      <c r="H141" s="645">
        <v>0.1</v>
      </c>
      <c r="I141" s="645">
        <v>0.1</v>
      </c>
      <c r="J141" s="645">
        <v>0.1</v>
      </c>
      <c r="K141" s="645">
        <v>0.1</v>
      </c>
      <c r="L141" s="645">
        <v>0.1</v>
      </c>
      <c r="M141" s="645">
        <v>0.1</v>
      </c>
      <c r="N141" s="645"/>
      <c r="O141" s="645"/>
    </row>
    <row r="142" spans="2:19">
      <c r="C142" s="5" t="s">
        <v>636</v>
      </c>
      <c r="D142" s="5" t="s">
        <v>567</v>
      </c>
      <c r="F142" s="645">
        <v>0.01</v>
      </c>
      <c r="G142" s="645">
        <v>0.02</v>
      </c>
      <c r="H142" s="645">
        <v>0.02</v>
      </c>
      <c r="I142" s="645">
        <v>0.02</v>
      </c>
      <c r="J142" s="645">
        <v>0.02</v>
      </c>
      <c r="K142" s="645">
        <v>0.02</v>
      </c>
      <c r="L142" s="645">
        <v>0.02</v>
      </c>
      <c r="M142" s="645">
        <v>0.02</v>
      </c>
      <c r="N142" s="645"/>
      <c r="O142" s="645"/>
    </row>
    <row r="143" spans="2:19">
      <c r="F143" s="35"/>
    </row>
    <row r="145" spans="2:19">
      <c r="B145" s="6" t="s">
        <v>179</v>
      </c>
      <c r="C145" s="5" t="s">
        <v>44</v>
      </c>
      <c r="D145" s="5" t="s">
        <v>602</v>
      </c>
      <c r="F145" s="641">
        <v>44927</v>
      </c>
      <c r="G145" s="641">
        <v>45658</v>
      </c>
      <c r="H145" s="641"/>
      <c r="I145" s="641"/>
      <c r="J145" s="641"/>
      <c r="K145" s="641"/>
    </row>
    <row r="146" spans="2:19">
      <c r="C146" s="5" t="s">
        <v>13</v>
      </c>
      <c r="D146" s="5" t="s">
        <v>380</v>
      </c>
      <c r="F146" s="640">
        <v>5000000</v>
      </c>
      <c r="G146" s="640">
        <v>10000000</v>
      </c>
      <c r="H146" s="640"/>
      <c r="I146" s="640"/>
      <c r="J146" s="640"/>
      <c r="K146" s="640"/>
    </row>
    <row r="147" spans="2:19">
      <c r="F147" s="107"/>
      <c r="G147" s="107"/>
      <c r="H147" s="107"/>
      <c r="I147" s="107"/>
      <c r="J147" s="107"/>
      <c r="K147" s="107"/>
    </row>
    <row r="149" spans="2:19">
      <c r="B149" s="6" t="s">
        <v>211</v>
      </c>
      <c r="C149" s="5" t="s">
        <v>44</v>
      </c>
      <c r="D149" s="5" t="s">
        <v>602</v>
      </c>
      <c r="E149" s="641" t="s">
        <v>212</v>
      </c>
      <c r="F149" s="641">
        <v>44927</v>
      </c>
      <c r="G149" s="641">
        <v>45474</v>
      </c>
      <c r="H149" s="641"/>
      <c r="I149" s="641"/>
      <c r="J149" s="641"/>
      <c r="K149" s="641"/>
    </row>
    <row r="150" spans="2:19">
      <c r="C150" s="5" t="s">
        <v>603</v>
      </c>
      <c r="D150" s="5" t="s">
        <v>380</v>
      </c>
      <c r="E150" s="640">
        <v>2000000</v>
      </c>
      <c r="F150" s="640">
        <v>5000000</v>
      </c>
      <c r="G150" s="640">
        <v>3000000</v>
      </c>
      <c r="H150" s="640"/>
      <c r="I150" s="640"/>
      <c r="J150" s="640"/>
      <c r="K150" s="640"/>
    </row>
    <row r="152" spans="2:19">
      <c r="B152" s="394" t="s">
        <v>311</v>
      </c>
      <c r="C152" s="173"/>
      <c r="D152" s="173"/>
      <c r="E152" s="174"/>
      <c r="F152" s="174"/>
      <c r="G152" s="174"/>
      <c r="H152" s="174"/>
      <c r="I152" s="174"/>
      <c r="J152" s="174"/>
      <c r="K152" s="175"/>
      <c r="L152" s="175"/>
      <c r="M152" s="175"/>
      <c r="N152" s="175"/>
      <c r="O152" s="175"/>
      <c r="P152" s="120"/>
      <c r="Q152" s="120"/>
      <c r="R152" s="120"/>
      <c r="S152" s="120"/>
    </row>
    <row r="153" spans="2:19">
      <c r="G153" s="107"/>
      <c r="H153" s="107"/>
      <c r="I153" s="107"/>
      <c r="J153" s="107"/>
      <c r="K153" s="107"/>
      <c r="L153" s="107"/>
      <c r="M153" s="107"/>
      <c r="N153" s="11"/>
      <c r="O153" s="11"/>
    </row>
    <row r="154" spans="2:19">
      <c r="B154" s="6" t="s">
        <v>201</v>
      </c>
      <c r="C154" s="9"/>
      <c r="D154" s="9"/>
      <c r="E154" s="9"/>
      <c r="G154" s="10">
        <f>YEAR('Model Assumptions'!$D$12)</f>
        <v>2023</v>
      </c>
      <c r="H154" s="10">
        <f t="shared" ref="H154:P154" si="10">G154+1</f>
        <v>2024</v>
      </c>
      <c r="I154" s="10">
        <f t="shared" si="10"/>
        <v>2025</v>
      </c>
      <c r="J154" s="10">
        <f t="shared" si="10"/>
        <v>2026</v>
      </c>
      <c r="K154" s="10">
        <f t="shared" si="10"/>
        <v>2027</v>
      </c>
      <c r="L154" s="10">
        <f t="shared" si="10"/>
        <v>2028</v>
      </c>
      <c r="M154" s="10">
        <f t="shared" si="10"/>
        <v>2029</v>
      </c>
      <c r="N154" s="10">
        <f t="shared" si="10"/>
        <v>2030</v>
      </c>
      <c r="O154" s="10">
        <f t="shared" si="10"/>
        <v>2031</v>
      </c>
      <c r="P154" s="10">
        <f t="shared" si="10"/>
        <v>2032</v>
      </c>
    </row>
    <row r="155" spans="2:19">
      <c r="C155" s="9" t="s">
        <v>604</v>
      </c>
      <c r="D155" s="260" t="s">
        <v>567</v>
      </c>
      <c r="E155" s="9"/>
      <c r="G155" s="650">
        <v>0.35</v>
      </c>
      <c r="H155" s="650">
        <v>0.4</v>
      </c>
      <c r="I155" s="650">
        <v>0.45</v>
      </c>
      <c r="J155" s="650">
        <v>0.5</v>
      </c>
      <c r="K155" s="650">
        <v>0.5</v>
      </c>
      <c r="L155" s="650">
        <v>0.5</v>
      </c>
      <c r="M155" s="650">
        <v>0.5</v>
      </c>
      <c r="N155" s="650">
        <v>0.5</v>
      </c>
      <c r="O155" s="650">
        <v>0.5</v>
      </c>
      <c r="P155" s="650">
        <v>0.5</v>
      </c>
    </row>
    <row r="156" spans="2:19">
      <c r="C156" s="9" t="s">
        <v>732</v>
      </c>
      <c r="D156" s="260" t="s">
        <v>570</v>
      </c>
      <c r="E156" s="9"/>
      <c r="G156" s="653">
        <v>0.13</v>
      </c>
      <c r="H156" s="9"/>
      <c r="I156" s="9"/>
      <c r="J156" s="9"/>
      <c r="K156" s="9"/>
      <c r="L156" s="9"/>
      <c r="M156" s="9"/>
      <c r="N156" s="9"/>
      <c r="O156" s="9"/>
      <c r="P156" s="9"/>
    </row>
    <row r="157" spans="2:19">
      <c r="B157" s="49"/>
      <c r="C157" s="565" t="s">
        <v>364</v>
      </c>
      <c r="D157" s="566"/>
      <c r="E157" s="51"/>
      <c r="F157" s="51"/>
      <c r="G157" s="654">
        <v>5</v>
      </c>
      <c r="H157" s="52"/>
      <c r="I157" s="52"/>
      <c r="J157" s="51"/>
      <c r="K157" s="52"/>
      <c r="L157" s="51"/>
      <c r="M157" s="51"/>
      <c r="N157" s="51"/>
      <c r="O157" s="51"/>
      <c r="P157" s="51"/>
      <c r="Q157" s="51"/>
      <c r="R157" s="51"/>
      <c r="S157" s="51"/>
    </row>
    <row r="158" spans="2:19">
      <c r="B158" s="49"/>
      <c r="C158" s="565" t="s">
        <v>470</v>
      </c>
      <c r="D158" s="565"/>
      <c r="E158" s="51"/>
      <c r="F158" s="51"/>
      <c r="G158" s="635">
        <v>50</v>
      </c>
      <c r="H158" s="635">
        <v>70</v>
      </c>
      <c r="I158" s="635">
        <v>100</v>
      </c>
      <c r="J158" s="635">
        <v>130</v>
      </c>
      <c r="K158" s="635">
        <v>160</v>
      </c>
      <c r="L158" s="635">
        <v>200</v>
      </c>
      <c r="M158" s="635">
        <v>200</v>
      </c>
      <c r="N158" s="635">
        <v>200</v>
      </c>
      <c r="O158" s="635">
        <v>200</v>
      </c>
      <c r="P158" s="635">
        <v>200</v>
      </c>
      <c r="Q158" s="51"/>
      <c r="R158" s="51"/>
      <c r="S158" s="51"/>
    </row>
    <row r="159" spans="2:19">
      <c r="B159" s="49"/>
      <c r="C159" s="50"/>
      <c r="D159" s="50"/>
      <c r="E159" s="51"/>
      <c r="F159" s="51"/>
      <c r="G159" s="51"/>
      <c r="H159" s="52"/>
      <c r="I159" s="52"/>
      <c r="J159" s="51"/>
      <c r="K159" s="52"/>
      <c r="L159" s="51"/>
      <c r="M159" s="51"/>
      <c r="N159" s="51"/>
      <c r="O159" s="51"/>
      <c r="P159" s="51"/>
      <c r="Q159" s="51"/>
      <c r="R159" s="51"/>
      <c r="S159" s="51"/>
    </row>
    <row r="160" spans="2:19">
      <c r="B160" s="145" t="s">
        <v>510</v>
      </c>
      <c r="C160" s="50"/>
      <c r="D160" s="50"/>
      <c r="E160" s="51"/>
      <c r="F160" s="51"/>
      <c r="G160" s="146"/>
      <c r="H160" s="52"/>
      <c r="I160" s="52"/>
      <c r="J160" s="52"/>
      <c r="K160" s="52"/>
      <c r="L160" s="51"/>
      <c r="M160" s="51"/>
      <c r="N160" s="51"/>
      <c r="O160" s="51"/>
      <c r="P160" s="51"/>
      <c r="Q160" s="51"/>
      <c r="R160" s="51"/>
      <c r="S160" s="51"/>
    </row>
    <row r="161" spans="2:15">
      <c r="C161" s="568" t="s">
        <v>57</v>
      </c>
      <c r="D161" s="567" t="s">
        <v>567</v>
      </c>
      <c r="F161" s="646">
        <v>1</v>
      </c>
      <c r="G161" s="26"/>
      <c r="H161" s="27"/>
      <c r="I161" s="27"/>
      <c r="J161" s="27"/>
      <c r="K161" s="27"/>
      <c r="L161" s="27"/>
      <c r="M161" s="27"/>
      <c r="N161" s="190"/>
      <c r="O161" s="11"/>
    </row>
    <row r="162" spans="2:15">
      <c r="C162" s="568" t="s">
        <v>58</v>
      </c>
      <c r="D162" s="567" t="s">
        <v>567</v>
      </c>
      <c r="F162" s="646">
        <v>1</v>
      </c>
      <c r="G162" s="26"/>
      <c r="H162" s="27"/>
      <c r="I162" s="27"/>
      <c r="J162" s="27"/>
      <c r="K162" s="27"/>
      <c r="L162" s="27"/>
      <c r="M162" s="27"/>
      <c r="N162" s="190"/>
      <c r="O162" s="11"/>
    </row>
    <row r="163" spans="2:15">
      <c r="C163" s="568" t="s">
        <v>59</v>
      </c>
      <c r="D163" s="567" t="s">
        <v>567</v>
      </c>
      <c r="F163" s="646">
        <v>1</v>
      </c>
      <c r="G163" s="26"/>
      <c r="H163" s="27"/>
      <c r="I163" s="27"/>
      <c r="J163" s="27"/>
      <c r="K163" s="27"/>
      <c r="L163" s="27"/>
      <c r="M163" s="27"/>
      <c r="N163" s="190"/>
      <c r="O163" s="11"/>
    </row>
    <row r="164" spans="2:15">
      <c r="C164" s="568" t="s">
        <v>60</v>
      </c>
      <c r="D164" s="567" t="s">
        <v>567</v>
      </c>
      <c r="F164" s="646">
        <v>1</v>
      </c>
      <c r="G164" s="26"/>
      <c r="H164" s="92"/>
      <c r="I164" s="27"/>
      <c r="J164" s="27"/>
      <c r="K164" s="27"/>
      <c r="L164" s="27"/>
      <c r="M164" s="27"/>
      <c r="N164" s="190"/>
      <c r="O164" s="11"/>
    </row>
    <row r="165" spans="2:15">
      <c r="C165" s="568" t="s">
        <v>61</v>
      </c>
      <c r="D165" s="567" t="s">
        <v>567</v>
      </c>
      <c r="F165" s="646">
        <v>1</v>
      </c>
      <c r="G165" s="26"/>
      <c r="H165" s="27"/>
      <c r="I165" s="27"/>
      <c r="J165" s="27"/>
      <c r="K165" s="27"/>
      <c r="L165" s="27"/>
      <c r="M165" s="27"/>
      <c r="N165" s="190"/>
      <c r="O165" s="11"/>
    </row>
    <row r="166" spans="2:15">
      <c r="C166" s="568" t="s">
        <v>62</v>
      </c>
      <c r="D166" s="567" t="s">
        <v>567</v>
      </c>
      <c r="F166" s="646">
        <v>1</v>
      </c>
      <c r="G166" s="26"/>
      <c r="H166" s="27"/>
      <c r="I166" s="27"/>
      <c r="J166" s="27"/>
      <c r="K166" s="27"/>
      <c r="L166" s="27"/>
      <c r="M166" s="27"/>
      <c r="N166" s="190"/>
      <c r="O166" s="11"/>
    </row>
    <row r="167" spans="2:15">
      <c r="C167" s="568" t="s">
        <v>63</v>
      </c>
      <c r="D167" s="567" t="s">
        <v>567</v>
      </c>
      <c r="F167" s="646">
        <v>1</v>
      </c>
      <c r="G167" s="26"/>
      <c r="H167" s="27"/>
      <c r="I167" s="27"/>
      <c r="J167" s="27"/>
      <c r="K167" s="27"/>
      <c r="L167" s="27"/>
      <c r="M167" s="27"/>
      <c r="N167" s="190"/>
      <c r="O167" s="11"/>
    </row>
    <row r="168" spans="2:15">
      <c r="C168" s="568" t="s">
        <v>64</v>
      </c>
      <c r="D168" s="567" t="s">
        <v>567</v>
      </c>
      <c r="F168" s="646">
        <v>1</v>
      </c>
      <c r="G168" s="26"/>
      <c r="H168" s="27"/>
      <c r="I168" s="27"/>
      <c r="J168" s="27"/>
      <c r="K168" s="27"/>
      <c r="L168" s="27"/>
      <c r="M168" s="27"/>
      <c r="N168" s="190"/>
      <c r="O168" s="11"/>
    </row>
    <row r="169" spans="2:15">
      <c r="C169" s="568" t="s">
        <v>65</v>
      </c>
      <c r="D169" s="567" t="s">
        <v>567</v>
      </c>
      <c r="F169" s="646">
        <v>1</v>
      </c>
      <c r="G169" s="26"/>
      <c r="H169" s="27"/>
      <c r="I169" s="27"/>
      <c r="J169" s="27"/>
      <c r="K169" s="27"/>
      <c r="L169" s="27"/>
      <c r="M169" s="27"/>
      <c r="N169" s="190"/>
      <c r="O169" s="11"/>
    </row>
    <row r="170" spans="2:15">
      <c r="C170" s="568" t="s">
        <v>66</v>
      </c>
      <c r="D170" s="567" t="s">
        <v>567</v>
      </c>
      <c r="F170" s="646">
        <v>1</v>
      </c>
      <c r="G170" s="26"/>
      <c r="H170" s="27"/>
      <c r="I170" s="27"/>
      <c r="J170" s="27"/>
      <c r="K170" s="27"/>
      <c r="L170" s="27"/>
      <c r="M170" s="27"/>
      <c r="N170" s="190"/>
      <c r="O170" s="11"/>
    </row>
    <row r="171" spans="2:15">
      <c r="C171" s="568" t="s">
        <v>67</v>
      </c>
      <c r="D171" s="567" t="s">
        <v>567</v>
      </c>
      <c r="F171" s="646">
        <v>1</v>
      </c>
      <c r="G171" s="26"/>
      <c r="H171" s="27"/>
      <c r="I171" s="27"/>
      <c r="J171" s="27"/>
      <c r="K171" s="27"/>
      <c r="L171" s="27"/>
      <c r="M171" s="27"/>
      <c r="N171" s="190"/>
      <c r="O171" s="11"/>
    </row>
    <row r="172" spans="2:15">
      <c r="C172" s="568" t="s">
        <v>68</v>
      </c>
      <c r="D172" s="567" t="s">
        <v>567</v>
      </c>
      <c r="F172" s="646">
        <v>1</v>
      </c>
      <c r="G172" s="26"/>
      <c r="H172" s="27"/>
      <c r="I172" s="27"/>
      <c r="J172" s="27"/>
      <c r="K172" s="27"/>
      <c r="L172" s="27"/>
      <c r="M172" s="27"/>
      <c r="N172" s="190"/>
      <c r="O172" s="11"/>
    </row>
    <row r="174" spans="2:15">
      <c r="B174" s="6" t="s">
        <v>527</v>
      </c>
      <c r="F174" s="5">
        <v>1E-4</v>
      </c>
    </row>
    <row r="177" spans="1:82" s="163" customFormat="1" ht="13.8">
      <c r="A177" s="160" t="s">
        <v>40</v>
      </c>
      <c r="B177" s="338"/>
      <c r="C177" s="161"/>
      <c r="D177" s="161"/>
      <c r="E177" s="161"/>
      <c r="F177" s="161"/>
      <c r="G177" s="161"/>
      <c r="H177" s="161"/>
      <c r="I177" s="161"/>
      <c r="J177" s="161"/>
      <c r="K177" s="339"/>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161"/>
      <c r="BB177" s="161"/>
      <c r="BC177" s="161"/>
      <c r="BD177" s="161"/>
      <c r="BE177" s="161"/>
      <c r="BF177" s="161"/>
      <c r="BG177" s="161"/>
      <c r="BH177" s="161"/>
      <c r="BI177" s="161"/>
      <c r="BJ177" s="161"/>
      <c r="BK177" s="161"/>
      <c r="BL177" s="161"/>
      <c r="BM177" s="161"/>
      <c r="BN177" s="161"/>
      <c r="BO177" s="161"/>
      <c r="BP177" s="161"/>
      <c r="BQ177" s="161"/>
      <c r="BR177" s="161"/>
      <c r="BS177" s="161"/>
      <c r="BT177" s="161"/>
      <c r="BU177" s="161"/>
      <c r="BV177" s="161"/>
      <c r="BW177" s="161"/>
      <c r="BX177" s="161"/>
      <c r="BY177" s="161"/>
      <c r="BZ177" s="161"/>
      <c r="CA177" s="161"/>
      <c r="CB177" s="161"/>
      <c r="CC177" s="161"/>
      <c r="CD177" s="161"/>
    </row>
  </sheetData>
  <sheetProtection sheet="1" objects="1" scenarios="1"/>
  <phoneticPr fontId="47" type="noConversion"/>
  <conditionalFormatting sqref="K1:K3">
    <cfRule type="colorScale" priority="5">
      <colorScale>
        <cfvo type="num" val="0"/>
        <cfvo type="num" val="1"/>
        <color rgb="FF00B050"/>
        <color rgb="FFFFC000"/>
      </colorScale>
    </cfRule>
  </conditionalFormatting>
  <conditionalFormatting sqref="K177">
    <cfRule type="colorScale" priority="3">
      <colorScale>
        <cfvo type="num" val="0"/>
        <cfvo type="num" val="1"/>
        <color rgb="FF00B050"/>
        <color rgb="FFFFC000"/>
      </colorScale>
    </cfRule>
  </conditionalFormatting>
  <conditionalFormatting sqref="J4">
    <cfRule type="colorScale" priority="1">
      <colorScale>
        <cfvo type="num" val="0"/>
        <cfvo type="num" val="1"/>
        <color rgb="FF00B050"/>
        <color rgb="FFFFC000"/>
      </colorScale>
    </cfRule>
  </conditionalFormatting>
  <hyperlinks>
    <hyperlink ref="B3" location="'Cover page'!A1" display="Cover page" xr:uid="{00000000-0004-0000-0400-000000000000}"/>
  </hyperlinks>
  <pageMargins left="0.7" right="0.7" top="0.75" bottom="0.75" header="0.3" footer="0.3"/>
  <pageSetup scale="30" orientation="portrait" r:id="rId1"/>
  <rowBreaks count="2" manualBreakCount="2">
    <brk id="68" max="16383" man="1"/>
    <brk id="126" max="16"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3DC2DC0-CDB7-4AD7-97B8-CC67C5CA364F}">
          <x14:formula1>
            <xm:f>List!$B$4:$B$6</xm:f>
          </x14:formula1>
          <xm:sqref>F72</xm:sqref>
        </x14:dataValidation>
        <x14:dataValidation type="list" allowBlank="1" showInputMessage="1" showErrorMessage="1" xr:uid="{61FE045E-2C5E-45F8-89CC-1375CD23307A}">
          <x14:formula1>
            <xm:f>List!$B$8:$B$10</xm:f>
          </x14:formula1>
          <xm:sqref>F79</xm:sqref>
        </x14:dataValidation>
        <x14:dataValidation type="list" allowBlank="1" showInputMessage="1" showErrorMessage="1" xr:uid="{F02A5756-B259-46A0-9BD7-AB9A306E4BB3}">
          <x14:formula1>
            <xm:f>List!$B$16:$B$18</xm:f>
          </x14:formula1>
          <xm:sqref>F95</xm:sqref>
        </x14:dataValidation>
        <x14:dataValidation type="list" allowBlank="1" showInputMessage="1" showErrorMessage="1" xr:uid="{845D5BE2-45C9-4375-8AF7-B5905DBE27A1}">
          <x14:formula1>
            <xm:f>List!$B$12:$B$14</xm:f>
          </x14:formula1>
          <xm:sqref>F82</xm:sqref>
        </x14:dataValidation>
        <x14:dataValidation type="list" allowBlank="1" showInputMessage="1" showErrorMessage="1" xr:uid="{71193CB8-F957-418B-95E9-B19B4120ECC1}">
          <x14:formula1>
            <xm:f>List!$B$23:$B$24</xm:f>
          </x14:formula1>
          <xm:sqref>D41 F137:O137</xm:sqref>
        </x14:dataValidation>
        <x14:dataValidation type="list" allowBlank="1" showInputMessage="1" showErrorMessage="1" xr:uid="{ADF48429-81B2-445D-96D3-E60372444A53}">
          <x14:formula1>
            <xm:f>List!$B$20:$B$21</xm:f>
          </x14:formula1>
          <xm:sqref>F111:F112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03AB-FD5B-41CC-A54C-2D6C3D01CEA3}">
  <sheetPr>
    <tabColor theme="7" tint="0.39997558519241921"/>
  </sheetPr>
  <dimension ref="A1:CK60"/>
  <sheetViews>
    <sheetView showGridLines="0" topLeftCell="A17" zoomScale="80" zoomScaleNormal="80" zoomScaleSheetLayoutView="55" workbookViewId="0">
      <selection activeCell="F49" sqref="F49"/>
    </sheetView>
  </sheetViews>
  <sheetFormatPr defaultColWidth="8.77734375" defaultRowHeight="13.8" outlineLevelRow="1" outlineLevelCol="1"/>
  <cols>
    <col min="1" max="1" width="6" style="5" customWidth="1"/>
    <col min="2" max="2" width="8.77734375" style="5"/>
    <col min="3" max="3" width="38.21875" style="5" bestFit="1" customWidth="1"/>
    <col min="4" max="4" width="8.77734375" style="5"/>
    <col min="5" max="5" width="28.44140625" style="5" bestFit="1" customWidth="1"/>
    <col min="6" max="10" width="11.77734375" style="5" bestFit="1" customWidth="1"/>
    <col min="11" max="15" width="11.77734375" style="5" hidden="1" customWidth="1" outlineLevel="1"/>
    <col min="16" max="16" width="8.77734375" style="5" collapsed="1"/>
    <col min="17" max="21" width="11.77734375" style="5" bestFit="1" customWidth="1"/>
    <col min="22" max="26" width="11.77734375" style="5" hidden="1" customWidth="1" outlineLevel="1"/>
    <col min="27" max="27" width="8.77734375" style="5" collapsed="1"/>
    <col min="28" max="32" width="11.77734375" style="5" bestFit="1" customWidth="1"/>
    <col min="33" max="33" width="11.77734375" style="5" hidden="1" customWidth="1" outlineLevel="1"/>
    <col min="34" max="37" width="8.77734375" style="5" hidden="1" customWidth="1" outlineLevel="1"/>
    <col min="38" max="38" width="8.77734375" style="5" collapsed="1"/>
    <col min="39" max="16384" width="8.77734375" style="5"/>
  </cols>
  <sheetData>
    <row r="1" spans="2:37" s="277" customFormat="1">
      <c r="B1" s="276" t="str">
        <f>+Flags!B1</f>
        <v>[Company name]</v>
      </c>
      <c r="J1" s="278"/>
    </row>
    <row r="2" spans="2:37" s="277" customFormat="1">
      <c r="B2" s="276" t="str">
        <f ca="1">RIGHT(CELL("filename",$B$1),LEN(CELL("filename",$B$1))-SEARCH("]",CELL("filename",$B$1)))</f>
        <v>Model Assumptions - Scenarios</v>
      </c>
      <c r="J2" s="278"/>
    </row>
    <row r="3" spans="2:37" s="277" customFormat="1">
      <c r="B3" s="164" t="s">
        <v>72</v>
      </c>
      <c r="J3" s="278"/>
    </row>
    <row r="4" spans="2:37" s="277" customFormat="1">
      <c r="B4" s="544" t="str">
        <f ca="1">IF(MasterCheck=0,"All checks are OK","There are "&amp;MasterCheck&amp;" errors!")</f>
        <v>All checks are OK</v>
      </c>
      <c r="I4" s="278"/>
    </row>
    <row r="5" spans="2:37" s="292" customFormat="1">
      <c r="B5" s="537"/>
      <c r="I5" s="538"/>
    </row>
    <row r="6" spans="2:37">
      <c r="B6" s="279" t="s">
        <v>71</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row>
    <row r="8" spans="2:37">
      <c r="D8" s="37" t="s">
        <v>566</v>
      </c>
      <c r="F8" s="280" t="s">
        <v>297</v>
      </c>
      <c r="G8" s="281"/>
      <c r="H8" s="281"/>
      <c r="I8" s="281"/>
      <c r="J8" s="281"/>
      <c r="K8" s="281"/>
      <c r="L8" s="281"/>
      <c r="M8" s="281"/>
      <c r="N8" s="281"/>
      <c r="O8" s="281"/>
      <c r="Q8" s="280" t="s">
        <v>298</v>
      </c>
      <c r="R8" s="281"/>
      <c r="S8" s="281"/>
      <c r="T8" s="281"/>
      <c r="U8" s="281"/>
      <c r="V8" s="281"/>
      <c r="W8" s="281"/>
      <c r="X8" s="281"/>
      <c r="Y8" s="281"/>
      <c r="Z8" s="281"/>
      <c r="AB8" s="280" t="s">
        <v>299</v>
      </c>
      <c r="AC8" s="281"/>
      <c r="AD8" s="281"/>
      <c r="AE8" s="281"/>
      <c r="AF8" s="281"/>
      <c r="AG8" s="281"/>
      <c r="AH8" s="281"/>
      <c r="AI8" s="281"/>
      <c r="AJ8" s="281"/>
      <c r="AK8" s="281"/>
    </row>
    <row r="9" spans="2:37">
      <c r="B9" s="119" t="s">
        <v>320</v>
      </c>
    </row>
    <row r="10" spans="2:37">
      <c r="B10" s="119"/>
    </row>
    <row r="11" spans="2:37">
      <c r="C11" s="5" t="s">
        <v>683</v>
      </c>
      <c r="E11" s="634">
        <v>0.02</v>
      </c>
    </row>
    <row r="12" spans="2:37" hidden="1" outlineLevel="1">
      <c r="B12" s="119"/>
      <c r="E12" s="233">
        <f>IF('Sensitivity analysis (USD)'!C21="",'Model Assumptions - Scenarios'!E11,'Sensitivity analysis (USD)'!C21)</f>
        <v>0.02</v>
      </c>
    </row>
    <row r="13" spans="2:37" collapsed="1">
      <c r="B13" s="119"/>
      <c r="E13" s="26"/>
      <c r="F13" s="37">
        <f>YEAR('Model Assumptions'!$D$12)</f>
        <v>2023</v>
      </c>
      <c r="G13" s="37">
        <f t="shared" ref="G13" si="0">F13+1</f>
        <v>2024</v>
      </c>
      <c r="H13" s="37">
        <f t="shared" ref="H13" si="1">G13+1</f>
        <v>2025</v>
      </c>
      <c r="I13" s="37">
        <f t="shared" ref="I13" si="2">H13+1</f>
        <v>2026</v>
      </c>
      <c r="J13" s="37">
        <f t="shared" ref="J13" si="3">I13+1</f>
        <v>2027</v>
      </c>
      <c r="K13" s="37">
        <f t="shared" ref="K13" si="4">J13+1</f>
        <v>2028</v>
      </c>
      <c r="L13" s="37">
        <f t="shared" ref="L13" si="5">K13+1</f>
        <v>2029</v>
      </c>
      <c r="M13" s="37">
        <f t="shared" ref="M13" si="6">L13+1</f>
        <v>2030</v>
      </c>
      <c r="N13" s="37">
        <f t="shared" ref="N13" si="7">M13+1</f>
        <v>2031</v>
      </c>
      <c r="O13" s="37">
        <f t="shared" ref="O13" si="8">N13+1</f>
        <v>2032</v>
      </c>
      <c r="Q13" s="37">
        <f>YEAR('Model Assumptions'!$D$12)</f>
        <v>2023</v>
      </c>
      <c r="R13" s="37">
        <f t="shared" ref="R13" si="9">Q13+1</f>
        <v>2024</v>
      </c>
      <c r="S13" s="37">
        <f t="shared" ref="S13" si="10">R13+1</f>
        <v>2025</v>
      </c>
      <c r="T13" s="37">
        <f t="shared" ref="T13" si="11">S13+1</f>
        <v>2026</v>
      </c>
      <c r="U13" s="37">
        <f t="shared" ref="U13" si="12">T13+1</f>
        <v>2027</v>
      </c>
      <c r="V13" s="37">
        <f t="shared" ref="V13" si="13">U13+1</f>
        <v>2028</v>
      </c>
      <c r="W13" s="37">
        <f t="shared" ref="W13" si="14">V13+1</f>
        <v>2029</v>
      </c>
      <c r="X13" s="37">
        <f t="shared" ref="X13" si="15">W13+1</f>
        <v>2030</v>
      </c>
      <c r="Y13" s="37">
        <f t="shared" ref="Y13" si="16">X13+1</f>
        <v>2031</v>
      </c>
      <c r="Z13" s="37">
        <f t="shared" ref="Z13" si="17">Y13+1</f>
        <v>2032</v>
      </c>
      <c r="AB13" s="37">
        <f>YEAR('Model Assumptions'!$D$12)</f>
        <v>2023</v>
      </c>
      <c r="AC13" s="37">
        <f t="shared" ref="AC13" si="18">AB13+1</f>
        <v>2024</v>
      </c>
      <c r="AD13" s="37">
        <f t="shared" ref="AD13" si="19">AC13+1</f>
        <v>2025</v>
      </c>
      <c r="AE13" s="37">
        <f t="shared" ref="AE13" si="20">AD13+1</f>
        <v>2026</v>
      </c>
      <c r="AF13" s="37">
        <f t="shared" ref="AF13" si="21">AE13+1</f>
        <v>2027</v>
      </c>
      <c r="AG13" s="37">
        <f t="shared" ref="AG13" si="22">AF13+1</f>
        <v>2028</v>
      </c>
      <c r="AH13" s="37">
        <f t="shared" ref="AH13" si="23">AG13+1</f>
        <v>2029</v>
      </c>
      <c r="AI13" s="37">
        <f t="shared" ref="AI13" si="24">AH13+1</f>
        <v>2030</v>
      </c>
      <c r="AJ13" s="37">
        <f t="shared" ref="AJ13" si="25">AI13+1</f>
        <v>2031</v>
      </c>
      <c r="AK13" s="37">
        <f t="shared" ref="AK13" si="26">AJ13+1</f>
        <v>2032</v>
      </c>
    </row>
    <row r="14" spans="2:37">
      <c r="B14" s="119"/>
      <c r="C14" s="26" t="s">
        <v>688</v>
      </c>
      <c r="D14" s="5" t="s">
        <v>567</v>
      </c>
      <c r="E14" s="5" t="str">
        <f>'Model Assumptions'!$C$73</f>
        <v>Product 1</v>
      </c>
      <c r="F14" s="655">
        <v>-0.3</v>
      </c>
      <c r="G14" s="655">
        <f t="shared" ref="G14:J18" si="27">$F$14</f>
        <v>-0.3</v>
      </c>
      <c r="H14" s="655">
        <f t="shared" si="27"/>
        <v>-0.3</v>
      </c>
      <c r="I14" s="655">
        <f t="shared" si="27"/>
        <v>-0.3</v>
      </c>
      <c r="J14" s="655">
        <f t="shared" si="27"/>
        <v>-0.3</v>
      </c>
      <c r="K14" s="284">
        <v>-0.5</v>
      </c>
      <c r="L14" s="284">
        <v>-0.5</v>
      </c>
      <c r="M14" s="284">
        <v>-1</v>
      </c>
      <c r="N14" s="284">
        <v>-1</v>
      </c>
      <c r="O14" s="284">
        <v>-1</v>
      </c>
      <c r="Q14" s="655">
        <v>0</v>
      </c>
      <c r="R14" s="655">
        <v>0</v>
      </c>
      <c r="S14" s="655">
        <v>0</v>
      </c>
      <c r="T14" s="655">
        <v>0</v>
      </c>
      <c r="U14" s="655">
        <v>0</v>
      </c>
      <c r="V14" s="284">
        <v>-1</v>
      </c>
      <c r="W14" s="284">
        <v>-1</v>
      </c>
      <c r="X14" s="284">
        <v>-1</v>
      </c>
      <c r="Y14" s="284">
        <v>-1</v>
      </c>
      <c r="Z14" s="284">
        <v>-1</v>
      </c>
      <c r="AB14" s="655">
        <v>0.3</v>
      </c>
      <c r="AC14" s="655">
        <f>$AB$14</f>
        <v>0.3</v>
      </c>
      <c r="AD14" s="655">
        <f t="shared" ref="AD14:AF14" si="28">$AB$14</f>
        <v>0.3</v>
      </c>
      <c r="AE14" s="655">
        <f t="shared" si="28"/>
        <v>0.3</v>
      </c>
      <c r="AF14" s="655">
        <f t="shared" si="28"/>
        <v>0.3</v>
      </c>
      <c r="AG14" s="284">
        <v>0</v>
      </c>
      <c r="AH14" s="284">
        <v>0</v>
      </c>
      <c r="AI14" s="284">
        <v>-0.5</v>
      </c>
      <c r="AJ14" s="284">
        <v>-0.5</v>
      </c>
      <c r="AK14" s="284">
        <v>-0.5</v>
      </c>
    </row>
    <row r="15" spans="2:37">
      <c r="B15" s="119"/>
      <c r="C15" s="26" t="s">
        <v>688</v>
      </c>
      <c r="D15" s="5" t="s">
        <v>567</v>
      </c>
      <c r="E15" s="5" t="str">
        <f>'Model Assumptions'!$C$74</f>
        <v>Product 2</v>
      </c>
      <c r="F15" s="655">
        <f>$F$14</f>
        <v>-0.3</v>
      </c>
      <c r="G15" s="655">
        <f t="shared" si="27"/>
        <v>-0.3</v>
      </c>
      <c r="H15" s="655">
        <f t="shared" si="27"/>
        <v>-0.3</v>
      </c>
      <c r="I15" s="655">
        <f t="shared" si="27"/>
        <v>-0.3</v>
      </c>
      <c r="J15" s="655">
        <f t="shared" si="27"/>
        <v>-0.3</v>
      </c>
      <c r="K15" s="284">
        <v>-0.5</v>
      </c>
      <c r="L15" s="284">
        <v>-0.5</v>
      </c>
      <c r="M15" s="284">
        <v>-1</v>
      </c>
      <c r="N15" s="284">
        <v>-1</v>
      </c>
      <c r="O15" s="284">
        <v>-1</v>
      </c>
      <c r="Q15" s="655">
        <v>0</v>
      </c>
      <c r="R15" s="655">
        <v>0</v>
      </c>
      <c r="S15" s="655">
        <v>0</v>
      </c>
      <c r="T15" s="655">
        <v>0</v>
      </c>
      <c r="U15" s="655">
        <v>0</v>
      </c>
      <c r="V15" s="284">
        <v>-1</v>
      </c>
      <c r="W15" s="284">
        <v>-1</v>
      </c>
      <c r="X15" s="284">
        <v>-1</v>
      </c>
      <c r="Y15" s="284">
        <v>-1</v>
      </c>
      <c r="Z15" s="284">
        <v>-1</v>
      </c>
      <c r="AB15" s="655">
        <f>$AB$14</f>
        <v>0.3</v>
      </c>
      <c r="AC15" s="655">
        <f t="shared" ref="AC15:AF18" si="29">$AB$14</f>
        <v>0.3</v>
      </c>
      <c r="AD15" s="655">
        <f t="shared" si="29"/>
        <v>0.3</v>
      </c>
      <c r="AE15" s="655">
        <f t="shared" si="29"/>
        <v>0.3</v>
      </c>
      <c r="AF15" s="655">
        <f t="shared" si="29"/>
        <v>0.3</v>
      </c>
      <c r="AG15" s="284">
        <v>0</v>
      </c>
      <c r="AH15" s="284">
        <v>0</v>
      </c>
      <c r="AI15" s="284">
        <v>-0.5</v>
      </c>
      <c r="AJ15" s="284">
        <v>-0.5</v>
      </c>
      <c r="AK15" s="284">
        <v>-0.5</v>
      </c>
    </row>
    <row r="16" spans="2:37">
      <c r="B16" s="119"/>
      <c r="C16" s="26" t="s">
        <v>688</v>
      </c>
      <c r="D16" s="5" t="s">
        <v>567</v>
      </c>
      <c r="E16" s="5" t="str">
        <f>'Model Assumptions'!$C$75</f>
        <v>Product 3</v>
      </c>
      <c r="F16" s="655">
        <f t="shared" ref="F16:F18" si="30">$F$14</f>
        <v>-0.3</v>
      </c>
      <c r="G16" s="655">
        <f t="shared" si="27"/>
        <v>-0.3</v>
      </c>
      <c r="H16" s="655">
        <f t="shared" si="27"/>
        <v>-0.3</v>
      </c>
      <c r="I16" s="655">
        <f t="shared" si="27"/>
        <v>-0.3</v>
      </c>
      <c r="J16" s="655">
        <f t="shared" si="27"/>
        <v>-0.3</v>
      </c>
      <c r="K16" s="284">
        <v>-0.5</v>
      </c>
      <c r="L16" s="284">
        <v>-0.5</v>
      </c>
      <c r="M16" s="284">
        <v>-1</v>
      </c>
      <c r="N16" s="284">
        <v>-1</v>
      </c>
      <c r="O16" s="284">
        <v>-1</v>
      </c>
      <c r="Q16" s="655">
        <v>0</v>
      </c>
      <c r="R16" s="655">
        <v>0</v>
      </c>
      <c r="S16" s="655">
        <v>0</v>
      </c>
      <c r="T16" s="655">
        <v>0</v>
      </c>
      <c r="U16" s="655">
        <v>0</v>
      </c>
      <c r="V16" s="284">
        <v>-1</v>
      </c>
      <c r="W16" s="284">
        <v>-1</v>
      </c>
      <c r="X16" s="284">
        <v>-1</v>
      </c>
      <c r="Y16" s="284">
        <v>-1</v>
      </c>
      <c r="Z16" s="284">
        <v>-1</v>
      </c>
      <c r="AB16" s="655">
        <f t="shared" ref="AB16:AB18" si="31">$AB$14</f>
        <v>0.3</v>
      </c>
      <c r="AC16" s="655">
        <f t="shared" si="29"/>
        <v>0.3</v>
      </c>
      <c r="AD16" s="655">
        <f t="shared" si="29"/>
        <v>0.3</v>
      </c>
      <c r="AE16" s="655">
        <f t="shared" si="29"/>
        <v>0.3</v>
      </c>
      <c r="AF16" s="655">
        <f t="shared" si="29"/>
        <v>0.3</v>
      </c>
      <c r="AG16" s="284">
        <v>0</v>
      </c>
      <c r="AH16" s="284">
        <v>0</v>
      </c>
      <c r="AI16" s="284">
        <v>-0.5</v>
      </c>
      <c r="AJ16" s="284">
        <v>-0.5</v>
      </c>
      <c r="AK16" s="284">
        <v>-0.5</v>
      </c>
    </row>
    <row r="17" spans="2:37">
      <c r="B17" s="119"/>
      <c r="C17" s="26" t="s">
        <v>688</v>
      </c>
      <c r="D17" s="5" t="s">
        <v>567</v>
      </c>
      <c r="E17" s="5" t="str">
        <f>'Model Assumptions'!$C$76</f>
        <v>Product 4</v>
      </c>
      <c r="F17" s="655">
        <f t="shared" si="30"/>
        <v>-0.3</v>
      </c>
      <c r="G17" s="655">
        <f t="shared" si="27"/>
        <v>-0.3</v>
      </c>
      <c r="H17" s="655">
        <f t="shared" si="27"/>
        <v>-0.3</v>
      </c>
      <c r="I17" s="655">
        <f t="shared" si="27"/>
        <v>-0.3</v>
      </c>
      <c r="J17" s="655">
        <f t="shared" si="27"/>
        <v>-0.3</v>
      </c>
      <c r="K17" s="284">
        <v>-0.5</v>
      </c>
      <c r="L17" s="284">
        <v>-0.5</v>
      </c>
      <c r="M17" s="284">
        <v>-1</v>
      </c>
      <c r="N17" s="284">
        <v>-1</v>
      </c>
      <c r="O17" s="284">
        <v>-1</v>
      </c>
      <c r="Q17" s="655">
        <v>0</v>
      </c>
      <c r="R17" s="655">
        <v>0</v>
      </c>
      <c r="S17" s="655">
        <v>0</v>
      </c>
      <c r="T17" s="655">
        <v>0</v>
      </c>
      <c r="U17" s="655">
        <v>0</v>
      </c>
      <c r="V17" s="284">
        <v>-1</v>
      </c>
      <c r="W17" s="284">
        <v>-1</v>
      </c>
      <c r="X17" s="284">
        <v>-1</v>
      </c>
      <c r="Y17" s="284">
        <v>-1</v>
      </c>
      <c r="Z17" s="284">
        <v>-1</v>
      </c>
      <c r="AB17" s="655">
        <f t="shared" si="31"/>
        <v>0.3</v>
      </c>
      <c r="AC17" s="655">
        <f t="shared" si="29"/>
        <v>0.3</v>
      </c>
      <c r="AD17" s="655">
        <f t="shared" si="29"/>
        <v>0.3</v>
      </c>
      <c r="AE17" s="655">
        <f t="shared" si="29"/>
        <v>0.3</v>
      </c>
      <c r="AF17" s="655">
        <f t="shared" si="29"/>
        <v>0.3</v>
      </c>
      <c r="AG17" s="284">
        <v>0</v>
      </c>
      <c r="AH17" s="284">
        <v>0</v>
      </c>
      <c r="AI17" s="284">
        <v>-0.5</v>
      </c>
      <c r="AJ17" s="284">
        <v>-0.5</v>
      </c>
      <c r="AK17" s="284">
        <v>-0.5</v>
      </c>
    </row>
    <row r="18" spans="2:37">
      <c r="B18" s="119"/>
      <c r="C18" s="26" t="s">
        <v>688</v>
      </c>
      <c r="D18" s="5" t="s">
        <v>567</v>
      </c>
      <c r="E18" s="5" t="str">
        <f>'Model Assumptions'!$C$77</f>
        <v>Product 5</v>
      </c>
      <c r="F18" s="655">
        <f t="shared" si="30"/>
        <v>-0.3</v>
      </c>
      <c r="G18" s="655">
        <f t="shared" si="27"/>
        <v>-0.3</v>
      </c>
      <c r="H18" s="655">
        <f t="shared" si="27"/>
        <v>-0.3</v>
      </c>
      <c r="I18" s="655">
        <f t="shared" si="27"/>
        <v>-0.3</v>
      </c>
      <c r="J18" s="655">
        <f t="shared" si="27"/>
        <v>-0.3</v>
      </c>
      <c r="K18" s="284">
        <v>-0.5</v>
      </c>
      <c r="L18" s="284">
        <v>-0.5</v>
      </c>
      <c r="M18" s="284">
        <v>-1</v>
      </c>
      <c r="N18" s="284">
        <v>-1</v>
      </c>
      <c r="O18" s="284">
        <v>-1</v>
      </c>
      <c r="Q18" s="655">
        <v>0</v>
      </c>
      <c r="R18" s="655">
        <v>0</v>
      </c>
      <c r="S18" s="655">
        <v>0</v>
      </c>
      <c r="T18" s="655">
        <v>0</v>
      </c>
      <c r="U18" s="655">
        <v>0</v>
      </c>
      <c r="V18" s="284">
        <v>-1</v>
      </c>
      <c r="W18" s="284">
        <v>-1</v>
      </c>
      <c r="X18" s="284">
        <v>-1</v>
      </c>
      <c r="Y18" s="284">
        <v>-1</v>
      </c>
      <c r="Z18" s="284">
        <v>-1</v>
      </c>
      <c r="AB18" s="655">
        <f t="shared" si="31"/>
        <v>0.3</v>
      </c>
      <c r="AC18" s="655">
        <f t="shared" si="29"/>
        <v>0.3</v>
      </c>
      <c r="AD18" s="655">
        <f t="shared" si="29"/>
        <v>0.3</v>
      </c>
      <c r="AE18" s="655">
        <f t="shared" si="29"/>
        <v>0.3</v>
      </c>
      <c r="AF18" s="655">
        <f t="shared" si="29"/>
        <v>0.3</v>
      </c>
      <c r="AG18" s="284">
        <v>0</v>
      </c>
      <c r="AH18" s="284">
        <v>0</v>
      </c>
      <c r="AI18" s="284">
        <v>-0.5</v>
      </c>
      <c r="AJ18" s="284">
        <v>-0.5</v>
      </c>
      <c r="AK18" s="284">
        <v>-0.5</v>
      </c>
    </row>
    <row r="19" spans="2:37">
      <c r="B19" s="119"/>
      <c r="E19" s="26"/>
      <c r="F19" s="607"/>
      <c r="G19" s="607"/>
      <c r="H19" s="607"/>
      <c r="I19" s="607"/>
      <c r="J19" s="607"/>
      <c r="K19" s="607"/>
      <c r="L19" s="607"/>
      <c r="M19" s="607"/>
      <c r="N19" s="607"/>
      <c r="O19" s="607"/>
      <c r="Q19" s="607"/>
      <c r="R19" s="607"/>
      <c r="S19" s="607"/>
      <c r="T19" s="607"/>
      <c r="U19" s="607"/>
      <c r="V19" s="607"/>
      <c r="W19" s="607"/>
      <c r="X19" s="607"/>
      <c r="Y19" s="607"/>
      <c r="Z19" s="607"/>
      <c r="AB19" s="607"/>
      <c r="AC19" s="607"/>
      <c r="AD19" s="607"/>
      <c r="AE19" s="607"/>
      <c r="AF19" s="607"/>
      <c r="AG19" s="607"/>
      <c r="AH19" s="607"/>
      <c r="AI19" s="607"/>
      <c r="AJ19" s="607"/>
      <c r="AK19" s="607"/>
    </row>
    <row r="20" spans="2:37">
      <c r="F20" s="37">
        <f>YEAR('Model Assumptions'!$D$12)</f>
        <v>2023</v>
      </c>
      <c r="G20" s="37">
        <f t="shared" ref="G20:O20" si="32">F20+1</f>
        <v>2024</v>
      </c>
      <c r="H20" s="37">
        <f t="shared" si="32"/>
        <v>2025</v>
      </c>
      <c r="I20" s="37">
        <f t="shared" si="32"/>
        <v>2026</v>
      </c>
      <c r="J20" s="37">
        <f t="shared" si="32"/>
        <v>2027</v>
      </c>
      <c r="K20" s="37">
        <f t="shared" si="32"/>
        <v>2028</v>
      </c>
      <c r="L20" s="37">
        <f t="shared" si="32"/>
        <v>2029</v>
      </c>
      <c r="M20" s="37">
        <f t="shared" si="32"/>
        <v>2030</v>
      </c>
      <c r="N20" s="37">
        <f t="shared" si="32"/>
        <v>2031</v>
      </c>
      <c r="O20" s="37">
        <f t="shared" si="32"/>
        <v>2032</v>
      </c>
      <c r="Q20" s="37">
        <f>YEAR('Model Assumptions'!$D$12)</f>
        <v>2023</v>
      </c>
      <c r="R20" s="37">
        <f t="shared" ref="R20:Z20" si="33">Q20+1</f>
        <v>2024</v>
      </c>
      <c r="S20" s="37">
        <f t="shared" si="33"/>
        <v>2025</v>
      </c>
      <c r="T20" s="37">
        <f t="shared" si="33"/>
        <v>2026</v>
      </c>
      <c r="U20" s="37">
        <f t="shared" si="33"/>
        <v>2027</v>
      </c>
      <c r="V20" s="37">
        <f t="shared" si="33"/>
        <v>2028</v>
      </c>
      <c r="W20" s="37">
        <f t="shared" si="33"/>
        <v>2029</v>
      </c>
      <c r="X20" s="37">
        <f t="shared" si="33"/>
        <v>2030</v>
      </c>
      <c r="Y20" s="37">
        <f t="shared" si="33"/>
        <v>2031</v>
      </c>
      <c r="Z20" s="37">
        <f t="shared" si="33"/>
        <v>2032</v>
      </c>
      <c r="AB20" s="37">
        <f>YEAR('Model Assumptions'!$D$12)</f>
        <v>2023</v>
      </c>
      <c r="AC20" s="37">
        <f t="shared" ref="AC20:AK20" si="34">AB20+1</f>
        <v>2024</v>
      </c>
      <c r="AD20" s="37">
        <f t="shared" si="34"/>
        <v>2025</v>
      </c>
      <c r="AE20" s="37">
        <f t="shared" si="34"/>
        <v>2026</v>
      </c>
      <c r="AF20" s="37">
        <f t="shared" si="34"/>
        <v>2027</v>
      </c>
      <c r="AG20" s="37">
        <f t="shared" si="34"/>
        <v>2028</v>
      </c>
      <c r="AH20" s="37">
        <f t="shared" si="34"/>
        <v>2029</v>
      </c>
      <c r="AI20" s="37">
        <f t="shared" si="34"/>
        <v>2030</v>
      </c>
      <c r="AJ20" s="37">
        <f t="shared" si="34"/>
        <v>2031</v>
      </c>
      <c r="AK20" s="37">
        <f t="shared" si="34"/>
        <v>2032</v>
      </c>
    </row>
    <row r="21" spans="2:37">
      <c r="C21" s="5" t="s">
        <v>685</v>
      </c>
      <c r="D21" s="5" t="s">
        <v>567</v>
      </c>
      <c r="E21" s="5" t="str">
        <f>'Model Assumptions'!$C$73</f>
        <v>Product 1</v>
      </c>
      <c r="F21" s="608">
        <f>$E$12*(1+F14)</f>
        <v>1.3999999999999999E-2</v>
      </c>
      <c r="G21" s="608">
        <f t="shared" ref="G21:O21" si="35">$E$12*(1+G14)</f>
        <v>1.3999999999999999E-2</v>
      </c>
      <c r="H21" s="608">
        <f t="shared" si="35"/>
        <v>1.3999999999999999E-2</v>
      </c>
      <c r="I21" s="608">
        <f t="shared" si="35"/>
        <v>1.3999999999999999E-2</v>
      </c>
      <c r="J21" s="608">
        <f t="shared" si="35"/>
        <v>1.3999999999999999E-2</v>
      </c>
      <c r="K21" s="608">
        <f t="shared" si="35"/>
        <v>0.01</v>
      </c>
      <c r="L21" s="608">
        <f t="shared" si="35"/>
        <v>0.01</v>
      </c>
      <c r="M21" s="608">
        <f t="shared" si="35"/>
        <v>0</v>
      </c>
      <c r="N21" s="608">
        <f t="shared" si="35"/>
        <v>0</v>
      </c>
      <c r="O21" s="608">
        <f t="shared" si="35"/>
        <v>0</v>
      </c>
      <c r="Q21" s="608">
        <f>$E$12*(1+Q14)</f>
        <v>0.02</v>
      </c>
      <c r="R21" s="608">
        <f t="shared" ref="R21:Z21" si="36">$E$12*(1+R14)</f>
        <v>0.02</v>
      </c>
      <c r="S21" s="608">
        <f t="shared" si="36"/>
        <v>0.02</v>
      </c>
      <c r="T21" s="608">
        <f t="shared" si="36"/>
        <v>0.02</v>
      </c>
      <c r="U21" s="608">
        <f t="shared" si="36"/>
        <v>0.02</v>
      </c>
      <c r="V21" s="608">
        <f t="shared" si="36"/>
        <v>0</v>
      </c>
      <c r="W21" s="608">
        <f t="shared" si="36"/>
        <v>0</v>
      </c>
      <c r="X21" s="608">
        <f t="shared" si="36"/>
        <v>0</v>
      </c>
      <c r="Y21" s="608">
        <f t="shared" si="36"/>
        <v>0</v>
      </c>
      <c r="Z21" s="608">
        <f t="shared" si="36"/>
        <v>0</v>
      </c>
      <c r="AB21" s="608">
        <f>$E$12*(1+AB14)</f>
        <v>2.6000000000000002E-2</v>
      </c>
      <c r="AC21" s="608">
        <f t="shared" ref="AC21:AK21" si="37">$E$12*(1+AC14)</f>
        <v>2.6000000000000002E-2</v>
      </c>
      <c r="AD21" s="608">
        <f t="shared" si="37"/>
        <v>2.6000000000000002E-2</v>
      </c>
      <c r="AE21" s="608">
        <f t="shared" si="37"/>
        <v>2.6000000000000002E-2</v>
      </c>
      <c r="AF21" s="608">
        <f t="shared" si="37"/>
        <v>2.6000000000000002E-2</v>
      </c>
      <c r="AG21" s="608">
        <f t="shared" si="37"/>
        <v>0.02</v>
      </c>
      <c r="AH21" s="608">
        <f t="shared" si="37"/>
        <v>0.02</v>
      </c>
      <c r="AI21" s="608">
        <f t="shared" si="37"/>
        <v>0.01</v>
      </c>
      <c r="AJ21" s="608">
        <f t="shared" si="37"/>
        <v>0.01</v>
      </c>
      <c r="AK21" s="608">
        <f t="shared" si="37"/>
        <v>0.01</v>
      </c>
    </row>
    <row r="22" spans="2:37">
      <c r="C22" s="5" t="s">
        <v>685</v>
      </c>
      <c r="D22" s="5" t="s">
        <v>567</v>
      </c>
      <c r="E22" s="5" t="str">
        <f>'Model Assumptions'!$C$74</f>
        <v>Product 2</v>
      </c>
      <c r="F22" s="608">
        <f t="shared" ref="F22:O22" si="38">$E$12*(1+F15)</f>
        <v>1.3999999999999999E-2</v>
      </c>
      <c r="G22" s="608">
        <f t="shared" si="38"/>
        <v>1.3999999999999999E-2</v>
      </c>
      <c r="H22" s="608">
        <f t="shared" si="38"/>
        <v>1.3999999999999999E-2</v>
      </c>
      <c r="I22" s="608">
        <f t="shared" si="38"/>
        <v>1.3999999999999999E-2</v>
      </c>
      <c r="J22" s="608">
        <f t="shared" si="38"/>
        <v>1.3999999999999999E-2</v>
      </c>
      <c r="K22" s="608">
        <f t="shared" si="38"/>
        <v>0.01</v>
      </c>
      <c r="L22" s="608">
        <f t="shared" si="38"/>
        <v>0.01</v>
      </c>
      <c r="M22" s="608">
        <f t="shared" si="38"/>
        <v>0</v>
      </c>
      <c r="N22" s="608">
        <f t="shared" si="38"/>
        <v>0</v>
      </c>
      <c r="O22" s="608">
        <f t="shared" si="38"/>
        <v>0</v>
      </c>
      <c r="Q22" s="608">
        <f t="shared" ref="Q22:Z22" si="39">$E$12*(1+Q15)</f>
        <v>0.02</v>
      </c>
      <c r="R22" s="608">
        <f t="shared" si="39"/>
        <v>0.02</v>
      </c>
      <c r="S22" s="608">
        <f t="shared" si="39"/>
        <v>0.02</v>
      </c>
      <c r="T22" s="608">
        <f t="shared" si="39"/>
        <v>0.02</v>
      </c>
      <c r="U22" s="608">
        <f t="shared" si="39"/>
        <v>0.02</v>
      </c>
      <c r="V22" s="608">
        <f t="shared" si="39"/>
        <v>0</v>
      </c>
      <c r="W22" s="608">
        <f t="shared" si="39"/>
        <v>0</v>
      </c>
      <c r="X22" s="608">
        <f t="shared" si="39"/>
        <v>0</v>
      </c>
      <c r="Y22" s="608">
        <f t="shared" si="39"/>
        <v>0</v>
      </c>
      <c r="Z22" s="608">
        <f t="shared" si="39"/>
        <v>0</v>
      </c>
      <c r="AB22" s="608">
        <f t="shared" ref="AB22:AK22" si="40">$E$12*(1+AB15)</f>
        <v>2.6000000000000002E-2</v>
      </c>
      <c r="AC22" s="608">
        <f t="shared" si="40"/>
        <v>2.6000000000000002E-2</v>
      </c>
      <c r="AD22" s="608">
        <f t="shared" si="40"/>
        <v>2.6000000000000002E-2</v>
      </c>
      <c r="AE22" s="608">
        <f t="shared" si="40"/>
        <v>2.6000000000000002E-2</v>
      </c>
      <c r="AF22" s="608">
        <f t="shared" si="40"/>
        <v>2.6000000000000002E-2</v>
      </c>
      <c r="AG22" s="608">
        <f t="shared" si="40"/>
        <v>0.02</v>
      </c>
      <c r="AH22" s="608">
        <f t="shared" si="40"/>
        <v>0.02</v>
      </c>
      <c r="AI22" s="608">
        <f t="shared" si="40"/>
        <v>0.01</v>
      </c>
      <c r="AJ22" s="608">
        <f t="shared" si="40"/>
        <v>0.01</v>
      </c>
      <c r="AK22" s="608">
        <f t="shared" si="40"/>
        <v>0.01</v>
      </c>
    </row>
    <row r="23" spans="2:37">
      <c r="C23" s="5" t="s">
        <v>685</v>
      </c>
      <c r="D23" s="5" t="s">
        <v>567</v>
      </c>
      <c r="E23" s="5" t="str">
        <f>'Model Assumptions'!$C$75</f>
        <v>Product 3</v>
      </c>
      <c r="F23" s="608">
        <f t="shared" ref="F23:O23" si="41">$E$12*(1+F16)</f>
        <v>1.3999999999999999E-2</v>
      </c>
      <c r="G23" s="608">
        <f t="shared" si="41"/>
        <v>1.3999999999999999E-2</v>
      </c>
      <c r="H23" s="608">
        <f t="shared" si="41"/>
        <v>1.3999999999999999E-2</v>
      </c>
      <c r="I23" s="608">
        <f t="shared" si="41"/>
        <v>1.3999999999999999E-2</v>
      </c>
      <c r="J23" s="608">
        <f t="shared" si="41"/>
        <v>1.3999999999999999E-2</v>
      </c>
      <c r="K23" s="608">
        <f t="shared" si="41"/>
        <v>0.01</v>
      </c>
      <c r="L23" s="608">
        <f t="shared" si="41"/>
        <v>0.01</v>
      </c>
      <c r="M23" s="608">
        <f t="shared" si="41"/>
        <v>0</v>
      </c>
      <c r="N23" s="608">
        <f t="shared" si="41"/>
        <v>0</v>
      </c>
      <c r="O23" s="608">
        <f t="shared" si="41"/>
        <v>0</v>
      </c>
      <c r="Q23" s="608">
        <f t="shared" ref="Q23:Z23" si="42">$E$12*(1+Q16)</f>
        <v>0.02</v>
      </c>
      <c r="R23" s="608">
        <f t="shared" si="42"/>
        <v>0.02</v>
      </c>
      <c r="S23" s="608">
        <f t="shared" si="42"/>
        <v>0.02</v>
      </c>
      <c r="T23" s="608">
        <f t="shared" si="42"/>
        <v>0.02</v>
      </c>
      <c r="U23" s="608">
        <f t="shared" si="42"/>
        <v>0.02</v>
      </c>
      <c r="V23" s="608">
        <f t="shared" si="42"/>
        <v>0</v>
      </c>
      <c r="W23" s="608">
        <f t="shared" si="42"/>
        <v>0</v>
      </c>
      <c r="X23" s="608">
        <f t="shared" si="42"/>
        <v>0</v>
      </c>
      <c r="Y23" s="608">
        <f t="shared" si="42"/>
        <v>0</v>
      </c>
      <c r="Z23" s="608">
        <f t="shared" si="42"/>
        <v>0</v>
      </c>
      <c r="AB23" s="608">
        <f t="shared" ref="AB23:AK23" si="43">$E$12*(1+AB16)</f>
        <v>2.6000000000000002E-2</v>
      </c>
      <c r="AC23" s="608">
        <f t="shared" si="43"/>
        <v>2.6000000000000002E-2</v>
      </c>
      <c r="AD23" s="608">
        <f t="shared" si="43"/>
        <v>2.6000000000000002E-2</v>
      </c>
      <c r="AE23" s="608">
        <f t="shared" si="43"/>
        <v>2.6000000000000002E-2</v>
      </c>
      <c r="AF23" s="608">
        <f t="shared" si="43"/>
        <v>2.6000000000000002E-2</v>
      </c>
      <c r="AG23" s="608">
        <f t="shared" si="43"/>
        <v>0.02</v>
      </c>
      <c r="AH23" s="608">
        <f t="shared" si="43"/>
        <v>0.02</v>
      </c>
      <c r="AI23" s="608">
        <f t="shared" si="43"/>
        <v>0.01</v>
      </c>
      <c r="AJ23" s="608">
        <f t="shared" si="43"/>
        <v>0.01</v>
      </c>
      <c r="AK23" s="608">
        <f t="shared" si="43"/>
        <v>0.01</v>
      </c>
    </row>
    <row r="24" spans="2:37">
      <c r="C24" s="5" t="s">
        <v>685</v>
      </c>
      <c r="D24" s="5" t="s">
        <v>567</v>
      </c>
      <c r="E24" s="5" t="str">
        <f>'Model Assumptions'!$C$76</f>
        <v>Product 4</v>
      </c>
      <c r="F24" s="608">
        <f t="shared" ref="F24:O24" si="44">$E$12*(1+F17)</f>
        <v>1.3999999999999999E-2</v>
      </c>
      <c r="G24" s="608">
        <f t="shared" si="44"/>
        <v>1.3999999999999999E-2</v>
      </c>
      <c r="H24" s="608">
        <f t="shared" si="44"/>
        <v>1.3999999999999999E-2</v>
      </c>
      <c r="I24" s="608">
        <f t="shared" si="44"/>
        <v>1.3999999999999999E-2</v>
      </c>
      <c r="J24" s="608">
        <f t="shared" si="44"/>
        <v>1.3999999999999999E-2</v>
      </c>
      <c r="K24" s="608">
        <f t="shared" si="44"/>
        <v>0.01</v>
      </c>
      <c r="L24" s="608">
        <f t="shared" si="44"/>
        <v>0.01</v>
      </c>
      <c r="M24" s="608">
        <f t="shared" si="44"/>
        <v>0</v>
      </c>
      <c r="N24" s="608">
        <f t="shared" si="44"/>
        <v>0</v>
      </c>
      <c r="O24" s="608">
        <f t="shared" si="44"/>
        <v>0</v>
      </c>
      <c r="Q24" s="608">
        <f t="shared" ref="Q24:Z24" si="45">$E$12*(1+Q17)</f>
        <v>0.02</v>
      </c>
      <c r="R24" s="608">
        <f t="shared" si="45"/>
        <v>0.02</v>
      </c>
      <c r="S24" s="608">
        <f t="shared" si="45"/>
        <v>0.02</v>
      </c>
      <c r="T24" s="608">
        <f t="shared" si="45"/>
        <v>0.02</v>
      </c>
      <c r="U24" s="608">
        <f t="shared" si="45"/>
        <v>0.02</v>
      </c>
      <c r="V24" s="608">
        <f t="shared" si="45"/>
        <v>0</v>
      </c>
      <c r="W24" s="608">
        <f t="shared" si="45"/>
        <v>0</v>
      </c>
      <c r="X24" s="608">
        <f t="shared" si="45"/>
        <v>0</v>
      </c>
      <c r="Y24" s="608">
        <f t="shared" si="45"/>
        <v>0</v>
      </c>
      <c r="Z24" s="608">
        <f t="shared" si="45"/>
        <v>0</v>
      </c>
      <c r="AB24" s="608">
        <f t="shared" ref="AB24:AK24" si="46">$E$12*(1+AB17)</f>
        <v>2.6000000000000002E-2</v>
      </c>
      <c r="AC24" s="608">
        <f t="shared" si="46"/>
        <v>2.6000000000000002E-2</v>
      </c>
      <c r="AD24" s="608">
        <f t="shared" si="46"/>
        <v>2.6000000000000002E-2</v>
      </c>
      <c r="AE24" s="608">
        <f t="shared" si="46"/>
        <v>2.6000000000000002E-2</v>
      </c>
      <c r="AF24" s="608">
        <f t="shared" si="46"/>
        <v>2.6000000000000002E-2</v>
      </c>
      <c r="AG24" s="608">
        <f t="shared" si="46"/>
        <v>0.02</v>
      </c>
      <c r="AH24" s="608">
        <f t="shared" si="46"/>
        <v>0.02</v>
      </c>
      <c r="AI24" s="608">
        <f t="shared" si="46"/>
        <v>0.01</v>
      </c>
      <c r="AJ24" s="608">
        <f t="shared" si="46"/>
        <v>0.01</v>
      </c>
      <c r="AK24" s="608">
        <f t="shared" si="46"/>
        <v>0.01</v>
      </c>
    </row>
    <row r="25" spans="2:37">
      <c r="C25" s="5" t="s">
        <v>685</v>
      </c>
      <c r="D25" s="5" t="s">
        <v>567</v>
      </c>
      <c r="E25" s="5" t="str">
        <f>'Model Assumptions'!$C$77</f>
        <v>Product 5</v>
      </c>
      <c r="F25" s="608">
        <f t="shared" ref="F25:O25" si="47">$E$12*(1+F18)</f>
        <v>1.3999999999999999E-2</v>
      </c>
      <c r="G25" s="608">
        <f t="shared" si="47"/>
        <v>1.3999999999999999E-2</v>
      </c>
      <c r="H25" s="608">
        <f t="shared" si="47"/>
        <v>1.3999999999999999E-2</v>
      </c>
      <c r="I25" s="608">
        <f t="shared" si="47"/>
        <v>1.3999999999999999E-2</v>
      </c>
      <c r="J25" s="608">
        <f t="shared" si="47"/>
        <v>1.3999999999999999E-2</v>
      </c>
      <c r="K25" s="608">
        <f t="shared" si="47"/>
        <v>0.01</v>
      </c>
      <c r="L25" s="608">
        <f t="shared" si="47"/>
        <v>0.01</v>
      </c>
      <c r="M25" s="608">
        <f t="shared" si="47"/>
        <v>0</v>
      </c>
      <c r="N25" s="608">
        <f t="shared" si="47"/>
        <v>0</v>
      </c>
      <c r="O25" s="608">
        <f t="shared" si="47"/>
        <v>0</v>
      </c>
      <c r="Q25" s="608">
        <f t="shared" ref="Q25:Z25" si="48">$E$12*(1+Q18)</f>
        <v>0.02</v>
      </c>
      <c r="R25" s="608">
        <f t="shared" si="48"/>
        <v>0.02</v>
      </c>
      <c r="S25" s="608">
        <f t="shared" si="48"/>
        <v>0.02</v>
      </c>
      <c r="T25" s="608">
        <f t="shared" si="48"/>
        <v>0.02</v>
      </c>
      <c r="U25" s="608">
        <f t="shared" si="48"/>
        <v>0.02</v>
      </c>
      <c r="V25" s="608">
        <f t="shared" si="48"/>
        <v>0</v>
      </c>
      <c r="W25" s="608">
        <f t="shared" si="48"/>
        <v>0</v>
      </c>
      <c r="X25" s="608">
        <f t="shared" si="48"/>
        <v>0</v>
      </c>
      <c r="Y25" s="608">
        <f t="shared" si="48"/>
        <v>0</v>
      </c>
      <c r="Z25" s="608">
        <f t="shared" si="48"/>
        <v>0</v>
      </c>
      <c r="AB25" s="608">
        <f t="shared" ref="AB25:AK25" si="49">$E$12*(1+AB18)</f>
        <v>2.6000000000000002E-2</v>
      </c>
      <c r="AC25" s="608">
        <f t="shared" si="49"/>
        <v>2.6000000000000002E-2</v>
      </c>
      <c r="AD25" s="608">
        <f t="shared" si="49"/>
        <v>2.6000000000000002E-2</v>
      </c>
      <c r="AE25" s="608">
        <f t="shared" si="49"/>
        <v>2.6000000000000002E-2</v>
      </c>
      <c r="AF25" s="608">
        <f t="shared" si="49"/>
        <v>2.6000000000000002E-2</v>
      </c>
      <c r="AG25" s="608">
        <f t="shared" si="49"/>
        <v>0.02</v>
      </c>
      <c r="AH25" s="608">
        <f t="shared" si="49"/>
        <v>0.02</v>
      </c>
      <c r="AI25" s="608">
        <f t="shared" si="49"/>
        <v>0.01</v>
      </c>
      <c r="AJ25" s="608">
        <f t="shared" si="49"/>
        <v>0.01</v>
      </c>
      <c r="AK25" s="608">
        <f t="shared" si="49"/>
        <v>0.01</v>
      </c>
    </row>
    <row r="26" spans="2:37">
      <c r="R26" s="282"/>
      <c r="S26" s="282"/>
      <c r="T26" s="282"/>
      <c r="U26" s="282"/>
      <c r="V26" s="282"/>
      <c r="W26" s="282"/>
      <c r="X26" s="282"/>
      <c r="Y26" s="282"/>
      <c r="Z26" s="282"/>
    </row>
    <row r="28" spans="2:37">
      <c r="F28" s="280" t="s">
        <v>300</v>
      </c>
      <c r="G28" s="281"/>
      <c r="H28" s="281"/>
      <c r="I28" s="281"/>
      <c r="J28" s="281"/>
      <c r="K28" s="281"/>
      <c r="L28" s="281"/>
      <c r="M28" s="281"/>
      <c r="N28" s="281"/>
      <c r="O28" s="281"/>
      <c r="Q28" s="280" t="s">
        <v>301</v>
      </c>
      <c r="R28" s="281"/>
      <c r="S28" s="281"/>
      <c r="T28" s="281"/>
      <c r="U28" s="281"/>
      <c r="V28" s="281"/>
      <c r="W28" s="281"/>
      <c r="X28" s="281"/>
      <c r="Y28" s="281"/>
      <c r="Z28" s="281"/>
      <c r="AB28" s="280" t="s">
        <v>302</v>
      </c>
      <c r="AC28" s="281"/>
      <c r="AD28" s="281"/>
      <c r="AE28" s="281"/>
      <c r="AF28" s="281"/>
      <c r="AG28" s="281"/>
      <c r="AH28" s="281"/>
      <c r="AI28" s="281"/>
      <c r="AJ28" s="281"/>
      <c r="AK28" s="281"/>
    </row>
    <row r="30" spans="2:37">
      <c r="B30" s="119" t="s">
        <v>88</v>
      </c>
    </row>
    <row r="31" spans="2:37">
      <c r="B31" s="119"/>
    </row>
    <row r="32" spans="2:37">
      <c r="B32" s="119"/>
      <c r="C32" s="5" t="s">
        <v>684</v>
      </c>
      <c r="E32" s="634">
        <v>0.85</v>
      </c>
    </row>
    <row r="33" spans="2:37" hidden="1" outlineLevel="1">
      <c r="B33" s="119"/>
      <c r="E33" s="233">
        <f>IF('Sensitivity analysis (USD)'!C19="",'Model Assumptions - Scenarios'!E32,'Sensitivity analysis (USD)'!C19)</f>
        <v>0.85</v>
      </c>
    </row>
    <row r="34" spans="2:37" collapsed="1">
      <c r="F34" s="37">
        <f>YEAR('Model Assumptions'!$D$12)</f>
        <v>2023</v>
      </c>
      <c r="G34" s="37">
        <f t="shared" ref="G34:O34" si="50">F34+1</f>
        <v>2024</v>
      </c>
      <c r="H34" s="37">
        <f t="shared" si="50"/>
        <v>2025</v>
      </c>
      <c r="I34" s="37">
        <f t="shared" si="50"/>
        <v>2026</v>
      </c>
      <c r="J34" s="37">
        <f t="shared" si="50"/>
        <v>2027</v>
      </c>
      <c r="K34" s="37">
        <f t="shared" si="50"/>
        <v>2028</v>
      </c>
      <c r="L34" s="37">
        <f t="shared" si="50"/>
        <v>2029</v>
      </c>
      <c r="M34" s="37">
        <f t="shared" si="50"/>
        <v>2030</v>
      </c>
      <c r="N34" s="37">
        <f t="shared" si="50"/>
        <v>2031</v>
      </c>
      <c r="O34" s="37">
        <f t="shared" si="50"/>
        <v>2032</v>
      </c>
      <c r="P34" s="37"/>
      <c r="Q34" s="37">
        <f>YEAR('Model Assumptions'!$D$12)</f>
        <v>2023</v>
      </c>
      <c r="R34" s="37">
        <f t="shared" ref="R34:Z34" si="51">Q34+1</f>
        <v>2024</v>
      </c>
      <c r="S34" s="37">
        <f t="shared" si="51"/>
        <v>2025</v>
      </c>
      <c r="T34" s="37">
        <f t="shared" si="51"/>
        <v>2026</v>
      </c>
      <c r="U34" s="37">
        <f t="shared" si="51"/>
        <v>2027</v>
      </c>
      <c r="V34" s="37">
        <f t="shared" si="51"/>
        <v>2028</v>
      </c>
      <c r="W34" s="37">
        <f t="shared" si="51"/>
        <v>2029</v>
      </c>
      <c r="X34" s="37">
        <f t="shared" si="51"/>
        <v>2030</v>
      </c>
      <c r="Y34" s="37">
        <f t="shared" si="51"/>
        <v>2031</v>
      </c>
      <c r="Z34" s="37">
        <f t="shared" si="51"/>
        <v>2032</v>
      </c>
      <c r="AA34" s="37"/>
      <c r="AB34" s="37">
        <f>YEAR('Model Assumptions'!$D$12)</f>
        <v>2023</v>
      </c>
      <c r="AC34" s="37">
        <f t="shared" ref="AC34:AK34" si="52">AB34+1</f>
        <v>2024</v>
      </c>
      <c r="AD34" s="37">
        <f t="shared" si="52"/>
        <v>2025</v>
      </c>
      <c r="AE34" s="37">
        <f t="shared" si="52"/>
        <v>2026</v>
      </c>
      <c r="AF34" s="37">
        <f t="shared" si="52"/>
        <v>2027</v>
      </c>
      <c r="AG34" s="37">
        <f t="shared" si="52"/>
        <v>2028</v>
      </c>
      <c r="AH34" s="37">
        <f t="shared" si="52"/>
        <v>2029</v>
      </c>
      <c r="AI34" s="37">
        <f t="shared" si="52"/>
        <v>2030</v>
      </c>
      <c r="AJ34" s="37">
        <f t="shared" si="52"/>
        <v>2031</v>
      </c>
      <c r="AK34" s="37">
        <f t="shared" si="52"/>
        <v>2032</v>
      </c>
    </row>
    <row r="35" spans="2:37">
      <c r="C35" s="5" t="s">
        <v>689</v>
      </c>
      <c r="D35" s="5" t="s">
        <v>567</v>
      </c>
      <c r="F35" s="639">
        <v>-0.2</v>
      </c>
      <c r="G35" s="639">
        <f>$F$35</f>
        <v>-0.2</v>
      </c>
      <c r="H35" s="639">
        <f t="shared" ref="H35:O35" si="53">$F$35</f>
        <v>-0.2</v>
      </c>
      <c r="I35" s="639">
        <f t="shared" si="53"/>
        <v>-0.2</v>
      </c>
      <c r="J35" s="639">
        <f t="shared" si="53"/>
        <v>-0.2</v>
      </c>
      <c r="K35" s="273">
        <f t="shared" si="53"/>
        <v>-0.2</v>
      </c>
      <c r="L35" s="273">
        <f t="shared" si="53"/>
        <v>-0.2</v>
      </c>
      <c r="M35" s="273">
        <f t="shared" si="53"/>
        <v>-0.2</v>
      </c>
      <c r="N35" s="273">
        <f t="shared" si="53"/>
        <v>-0.2</v>
      </c>
      <c r="O35" s="273">
        <f t="shared" si="53"/>
        <v>-0.2</v>
      </c>
      <c r="P35" s="26"/>
      <c r="Q35" s="639">
        <v>0</v>
      </c>
      <c r="R35" s="639">
        <f>$Q$35</f>
        <v>0</v>
      </c>
      <c r="S35" s="639">
        <f t="shared" ref="S35:Z35" si="54">$Q$35</f>
        <v>0</v>
      </c>
      <c r="T35" s="639">
        <f t="shared" si="54"/>
        <v>0</v>
      </c>
      <c r="U35" s="639">
        <f t="shared" si="54"/>
        <v>0</v>
      </c>
      <c r="V35" s="273">
        <f t="shared" si="54"/>
        <v>0</v>
      </c>
      <c r="W35" s="273">
        <f t="shared" si="54"/>
        <v>0</v>
      </c>
      <c r="X35" s="273">
        <f t="shared" si="54"/>
        <v>0</v>
      </c>
      <c r="Y35" s="273">
        <f t="shared" si="54"/>
        <v>0</v>
      </c>
      <c r="Z35" s="273">
        <f t="shared" si="54"/>
        <v>0</v>
      </c>
      <c r="AA35" s="26"/>
      <c r="AB35" s="639">
        <v>0.05</v>
      </c>
      <c r="AC35" s="639">
        <f>$AB$35</f>
        <v>0.05</v>
      </c>
      <c r="AD35" s="639">
        <f t="shared" ref="AD35:AK35" si="55">$AB$35</f>
        <v>0.05</v>
      </c>
      <c r="AE35" s="639">
        <f t="shared" si="55"/>
        <v>0.05</v>
      </c>
      <c r="AF35" s="639">
        <f t="shared" si="55"/>
        <v>0.05</v>
      </c>
      <c r="AG35" s="273">
        <f t="shared" si="55"/>
        <v>0.05</v>
      </c>
      <c r="AH35" s="273">
        <f t="shared" si="55"/>
        <v>0.05</v>
      </c>
      <c r="AI35" s="273">
        <f t="shared" si="55"/>
        <v>0.05</v>
      </c>
      <c r="AJ35" s="273">
        <f t="shared" si="55"/>
        <v>0.05</v>
      </c>
      <c r="AK35" s="273">
        <f t="shared" si="55"/>
        <v>0.05</v>
      </c>
    </row>
    <row r="37" spans="2:37">
      <c r="C37" s="5" t="s">
        <v>686</v>
      </c>
      <c r="D37" s="5" t="s">
        <v>567</v>
      </c>
      <c r="F37" s="606">
        <f t="shared" ref="F37:O37" si="56">$E$33*(1+F35)</f>
        <v>0.68</v>
      </c>
      <c r="G37" s="606">
        <f t="shared" si="56"/>
        <v>0.68</v>
      </c>
      <c r="H37" s="606">
        <f t="shared" si="56"/>
        <v>0.68</v>
      </c>
      <c r="I37" s="606">
        <f t="shared" si="56"/>
        <v>0.68</v>
      </c>
      <c r="J37" s="606">
        <f t="shared" si="56"/>
        <v>0.68</v>
      </c>
      <c r="K37" s="606">
        <f t="shared" si="56"/>
        <v>0.68</v>
      </c>
      <c r="L37" s="606">
        <f t="shared" si="56"/>
        <v>0.68</v>
      </c>
      <c r="M37" s="606">
        <f t="shared" si="56"/>
        <v>0.68</v>
      </c>
      <c r="N37" s="606">
        <f t="shared" si="56"/>
        <v>0.68</v>
      </c>
      <c r="O37" s="606">
        <f t="shared" si="56"/>
        <v>0.68</v>
      </c>
      <c r="Q37" s="606">
        <f>$E$33*(1+Q35)</f>
        <v>0.85</v>
      </c>
      <c r="R37" s="606">
        <f>$E$33*(1+R35)</f>
        <v>0.85</v>
      </c>
      <c r="S37" s="606">
        <f>$E$33*(1+S35)</f>
        <v>0.85</v>
      </c>
      <c r="T37" s="606">
        <f>$E$33*(1+T35)</f>
        <v>0.85</v>
      </c>
      <c r="U37" s="606">
        <f>$E$33*(1+U35)</f>
        <v>0.85</v>
      </c>
      <c r="V37" s="606">
        <f t="shared" ref="V37:Z37" si="57">$E$33*(1+V35)</f>
        <v>0.85</v>
      </c>
      <c r="W37" s="606">
        <f t="shared" si="57"/>
        <v>0.85</v>
      </c>
      <c r="X37" s="606">
        <f t="shared" si="57"/>
        <v>0.85</v>
      </c>
      <c r="Y37" s="606">
        <f t="shared" si="57"/>
        <v>0.85</v>
      </c>
      <c r="Z37" s="606">
        <f t="shared" si="57"/>
        <v>0.85</v>
      </c>
      <c r="AB37" s="606">
        <f>$E$33*(1+AB35)</f>
        <v>0.89249999999999996</v>
      </c>
      <c r="AC37" s="606">
        <f t="shared" ref="AC37:AK37" si="58">$E$33*(1+AC35)</f>
        <v>0.89249999999999996</v>
      </c>
      <c r="AD37" s="606">
        <f t="shared" si="58"/>
        <v>0.89249999999999996</v>
      </c>
      <c r="AE37" s="606">
        <f t="shared" si="58"/>
        <v>0.89249999999999996</v>
      </c>
      <c r="AF37" s="606">
        <f t="shared" si="58"/>
        <v>0.89249999999999996</v>
      </c>
      <c r="AG37" s="606">
        <f t="shared" si="58"/>
        <v>0.89249999999999996</v>
      </c>
      <c r="AH37" s="606">
        <f t="shared" si="58"/>
        <v>0.89249999999999996</v>
      </c>
      <c r="AI37" s="606">
        <f t="shared" si="58"/>
        <v>0.89249999999999996</v>
      </c>
      <c r="AJ37" s="606">
        <f t="shared" si="58"/>
        <v>0.89249999999999996</v>
      </c>
      <c r="AK37" s="606">
        <f t="shared" si="58"/>
        <v>0.89249999999999996</v>
      </c>
    </row>
    <row r="39" spans="2:37">
      <c r="F39" s="280" t="s">
        <v>303</v>
      </c>
      <c r="G39" s="281"/>
      <c r="H39" s="281"/>
      <c r="I39" s="281"/>
      <c r="J39" s="281"/>
      <c r="K39" s="281"/>
      <c r="L39" s="281"/>
      <c r="M39" s="281"/>
      <c r="N39" s="281"/>
      <c r="O39" s="281"/>
      <c r="Q39" s="280" t="s">
        <v>304</v>
      </c>
      <c r="R39" s="281"/>
      <c r="S39" s="281"/>
      <c r="T39" s="281"/>
      <c r="U39" s="281"/>
      <c r="V39" s="281"/>
      <c r="W39" s="281"/>
      <c r="X39" s="281"/>
      <c r="Y39" s="281"/>
      <c r="Z39" s="281"/>
      <c r="AB39" s="280" t="s">
        <v>305</v>
      </c>
      <c r="AC39" s="281"/>
      <c r="AD39" s="281"/>
      <c r="AE39" s="281"/>
      <c r="AF39" s="281"/>
      <c r="AG39" s="281"/>
      <c r="AH39" s="281"/>
      <c r="AI39" s="281"/>
      <c r="AJ39" s="281"/>
      <c r="AK39" s="281"/>
    </row>
    <row r="41" spans="2:37">
      <c r="B41" s="119" t="s">
        <v>22</v>
      </c>
      <c r="D41" s="5" t="s">
        <v>567</v>
      </c>
      <c r="E41" s="5" t="s">
        <v>23</v>
      </c>
      <c r="F41" s="140">
        <f>SUM(F42:F43)</f>
        <v>0.01</v>
      </c>
      <c r="G41" s="140"/>
      <c r="H41" s="140"/>
      <c r="I41" s="140"/>
      <c r="J41" s="140"/>
      <c r="K41" s="140"/>
      <c r="L41" s="140"/>
      <c r="M41" s="140"/>
      <c r="N41" s="140"/>
      <c r="O41" s="140"/>
      <c r="P41" s="140"/>
      <c r="Q41" s="140">
        <f>SUM(Q42:Q43)</f>
        <v>0.01</v>
      </c>
      <c r="R41" s="140"/>
      <c r="S41" s="140"/>
      <c r="T41" s="140"/>
      <c r="U41" s="140"/>
      <c r="V41" s="140"/>
      <c r="W41" s="140"/>
      <c r="X41" s="140"/>
      <c r="Y41" s="140"/>
      <c r="Z41" s="140"/>
      <c r="AA41" s="140"/>
      <c r="AB41" s="140">
        <f>SUM(AB42:AB43)</f>
        <v>0.01</v>
      </c>
    </row>
    <row r="42" spans="2:37">
      <c r="D42" s="5" t="s">
        <v>567</v>
      </c>
      <c r="E42" s="5" t="s">
        <v>509</v>
      </c>
      <c r="F42" s="655">
        <v>6.0000000000000001E-3</v>
      </c>
      <c r="Q42" s="655">
        <v>6.0000000000000001E-3</v>
      </c>
      <c r="AB42" s="655">
        <v>6.0000000000000001E-3</v>
      </c>
    </row>
    <row r="43" spans="2:37">
      <c r="D43" s="5" t="s">
        <v>567</v>
      </c>
      <c r="E43" s="5" t="s">
        <v>508</v>
      </c>
      <c r="F43" s="655">
        <v>4.0000000000000001E-3</v>
      </c>
      <c r="Q43" s="655">
        <v>4.0000000000000001E-3</v>
      </c>
      <c r="AB43" s="655">
        <v>4.0000000000000001E-3</v>
      </c>
    </row>
    <row r="45" spans="2:37">
      <c r="B45" s="279" t="s">
        <v>411</v>
      </c>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row>
    <row r="47" spans="2:37">
      <c r="F47" s="280" t="s">
        <v>377</v>
      </c>
      <c r="G47" s="281"/>
      <c r="H47" s="281"/>
      <c r="I47" s="281"/>
      <c r="J47" s="281"/>
      <c r="K47" s="281"/>
      <c r="L47" s="281"/>
      <c r="M47" s="281"/>
      <c r="N47" s="281"/>
      <c r="O47" s="281"/>
      <c r="Q47" s="280" t="s">
        <v>378</v>
      </c>
      <c r="R47" s="281"/>
      <c r="S47" s="281"/>
      <c r="T47" s="281"/>
      <c r="U47" s="281"/>
      <c r="V47" s="281"/>
      <c r="W47" s="281"/>
      <c r="X47" s="281"/>
      <c r="Y47" s="281"/>
      <c r="Z47" s="281"/>
      <c r="AB47" s="280" t="s">
        <v>379</v>
      </c>
      <c r="AC47" s="281"/>
      <c r="AD47" s="281"/>
      <c r="AE47" s="281"/>
      <c r="AF47" s="281"/>
      <c r="AG47" s="281"/>
      <c r="AH47" s="281"/>
      <c r="AI47" s="281"/>
      <c r="AJ47" s="281"/>
      <c r="AK47" s="281"/>
    </row>
    <row r="49" spans="1:89">
      <c r="B49" s="119" t="s">
        <v>412</v>
      </c>
      <c r="F49" s="37">
        <f>YEAR('Model Assumptions'!$D$12)</f>
        <v>2023</v>
      </c>
      <c r="G49" s="37">
        <f t="shared" ref="G49:O49" si="59">F49+1</f>
        <v>2024</v>
      </c>
      <c r="H49" s="37">
        <f t="shared" si="59"/>
        <v>2025</v>
      </c>
      <c r="I49" s="37">
        <f t="shared" si="59"/>
        <v>2026</v>
      </c>
      <c r="J49" s="37">
        <f t="shared" si="59"/>
        <v>2027</v>
      </c>
      <c r="K49" s="37">
        <f t="shared" si="59"/>
        <v>2028</v>
      </c>
      <c r="L49" s="37">
        <f t="shared" si="59"/>
        <v>2029</v>
      </c>
      <c r="M49" s="37">
        <f t="shared" si="59"/>
        <v>2030</v>
      </c>
      <c r="N49" s="37">
        <f t="shared" si="59"/>
        <v>2031</v>
      </c>
      <c r="O49" s="37">
        <f t="shared" si="59"/>
        <v>2032</v>
      </c>
      <c r="Q49" s="37">
        <f>YEAR('Model Assumptions'!$D$12)</f>
        <v>2023</v>
      </c>
      <c r="R49" s="37">
        <f t="shared" ref="R49:Z49" si="60">Q49+1</f>
        <v>2024</v>
      </c>
      <c r="S49" s="37">
        <f t="shared" si="60"/>
        <v>2025</v>
      </c>
      <c r="T49" s="37">
        <f t="shared" si="60"/>
        <v>2026</v>
      </c>
      <c r="U49" s="37">
        <f t="shared" si="60"/>
        <v>2027</v>
      </c>
      <c r="V49" s="37">
        <f t="shared" si="60"/>
        <v>2028</v>
      </c>
      <c r="W49" s="37">
        <f t="shared" si="60"/>
        <v>2029</v>
      </c>
      <c r="X49" s="37">
        <f t="shared" si="60"/>
        <v>2030</v>
      </c>
      <c r="Y49" s="37">
        <f t="shared" si="60"/>
        <v>2031</v>
      </c>
      <c r="Z49" s="37">
        <f t="shared" si="60"/>
        <v>2032</v>
      </c>
      <c r="AB49" s="37">
        <f>YEAR('Model Assumptions'!$D$12)</f>
        <v>2023</v>
      </c>
      <c r="AC49" s="37">
        <f t="shared" ref="AC49:AK49" si="61">AB49+1</f>
        <v>2024</v>
      </c>
      <c r="AD49" s="37">
        <f t="shared" si="61"/>
        <v>2025</v>
      </c>
      <c r="AE49" s="37">
        <f t="shared" si="61"/>
        <v>2026</v>
      </c>
      <c r="AF49" s="37">
        <f t="shared" si="61"/>
        <v>2027</v>
      </c>
      <c r="AG49" s="37">
        <f t="shared" si="61"/>
        <v>2028</v>
      </c>
      <c r="AH49" s="37">
        <f t="shared" si="61"/>
        <v>2029</v>
      </c>
      <c r="AI49" s="37">
        <f t="shared" si="61"/>
        <v>2030</v>
      </c>
      <c r="AJ49" s="37">
        <f t="shared" si="61"/>
        <v>2031</v>
      </c>
      <c r="AK49" s="37">
        <f t="shared" si="61"/>
        <v>2032</v>
      </c>
    </row>
    <row r="50" spans="1:89" s="25" customFormat="1">
      <c r="C50" s="8" t="s">
        <v>606</v>
      </c>
      <c r="D50" s="8" t="s">
        <v>590</v>
      </c>
      <c r="F50" s="656">
        <v>300000</v>
      </c>
      <c r="G50" s="656">
        <f>$F50</f>
        <v>300000</v>
      </c>
      <c r="H50" s="656">
        <f t="shared" ref="H50:O53" si="62">$F50</f>
        <v>300000</v>
      </c>
      <c r="I50" s="656">
        <f t="shared" si="62"/>
        <v>300000</v>
      </c>
      <c r="J50" s="656">
        <f t="shared" si="62"/>
        <v>300000</v>
      </c>
      <c r="K50" s="257">
        <f t="shared" si="62"/>
        <v>300000</v>
      </c>
      <c r="L50" s="257">
        <f t="shared" si="62"/>
        <v>300000</v>
      </c>
      <c r="M50" s="257">
        <f t="shared" si="62"/>
        <v>300000</v>
      </c>
      <c r="N50" s="257">
        <f t="shared" si="62"/>
        <v>300000</v>
      </c>
      <c r="O50" s="257">
        <f t="shared" si="62"/>
        <v>300000</v>
      </c>
      <c r="Q50" s="656">
        <v>200000</v>
      </c>
      <c r="R50" s="656">
        <f>$Q50</f>
        <v>200000</v>
      </c>
      <c r="S50" s="656">
        <f t="shared" ref="S50:Z52" si="63">$Q50</f>
        <v>200000</v>
      </c>
      <c r="T50" s="656">
        <f t="shared" si="63"/>
        <v>200000</v>
      </c>
      <c r="U50" s="656">
        <f t="shared" si="63"/>
        <v>200000</v>
      </c>
      <c r="V50" s="257">
        <f t="shared" si="63"/>
        <v>200000</v>
      </c>
      <c r="W50" s="257">
        <f t="shared" si="63"/>
        <v>200000</v>
      </c>
      <c r="X50" s="257">
        <f t="shared" si="63"/>
        <v>200000</v>
      </c>
      <c r="Y50" s="257">
        <f t="shared" si="63"/>
        <v>200000</v>
      </c>
      <c r="Z50" s="257">
        <f t="shared" si="63"/>
        <v>200000</v>
      </c>
      <c r="AB50" s="656">
        <v>100000</v>
      </c>
      <c r="AC50" s="656">
        <f>$AB50</f>
        <v>100000</v>
      </c>
      <c r="AD50" s="656">
        <f t="shared" ref="AD50:AK50" si="64">$AB50</f>
        <v>100000</v>
      </c>
      <c r="AE50" s="656">
        <f t="shared" si="64"/>
        <v>100000</v>
      </c>
      <c r="AF50" s="656">
        <f t="shared" si="64"/>
        <v>100000</v>
      </c>
      <c r="AG50" s="257">
        <f t="shared" si="64"/>
        <v>100000</v>
      </c>
      <c r="AH50" s="257">
        <f t="shared" si="64"/>
        <v>100000</v>
      </c>
      <c r="AI50" s="257">
        <f t="shared" si="64"/>
        <v>100000</v>
      </c>
      <c r="AJ50" s="257">
        <f t="shared" si="64"/>
        <v>100000</v>
      </c>
      <c r="AK50" s="257">
        <f t="shared" si="64"/>
        <v>100000</v>
      </c>
    </row>
    <row r="51" spans="1:89">
      <c r="C51" s="8" t="s">
        <v>607</v>
      </c>
      <c r="D51" s="8" t="s">
        <v>666</v>
      </c>
      <c r="F51" s="655">
        <v>0.04</v>
      </c>
      <c r="G51" s="655">
        <f>$F51</f>
        <v>0.04</v>
      </c>
      <c r="H51" s="655">
        <f t="shared" si="62"/>
        <v>0.04</v>
      </c>
      <c r="I51" s="655">
        <f t="shared" si="62"/>
        <v>0.04</v>
      </c>
      <c r="J51" s="655">
        <f t="shared" si="62"/>
        <v>0.04</v>
      </c>
      <c r="K51" s="284">
        <f t="shared" si="62"/>
        <v>0.04</v>
      </c>
      <c r="L51" s="284">
        <f t="shared" si="62"/>
        <v>0.04</v>
      </c>
      <c r="M51" s="284">
        <f t="shared" si="62"/>
        <v>0.04</v>
      </c>
      <c r="N51" s="284">
        <f t="shared" si="62"/>
        <v>0.04</v>
      </c>
      <c r="O51" s="284">
        <f t="shared" si="62"/>
        <v>0.04</v>
      </c>
      <c r="Q51" s="655">
        <v>0.03</v>
      </c>
      <c r="R51" s="655">
        <f>$Q51</f>
        <v>0.03</v>
      </c>
      <c r="S51" s="655">
        <f t="shared" si="63"/>
        <v>0.03</v>
      </c>
      <c r="T51" s="655">
        <v>0.02</v>
      </c>
      <c r="U51" s="655">
        <v>0.02</v>
      </c>
      <c r="V51" s="284">
        <f t="shared" si="63"/>
        <v>0.03</v>
      </c>
      <c r="W51" s="284">
        <f t="shared" si="63"/>
        <v>0.03</v>
      </c>
      <c r="X51" s="284">
        <f t="shared" si="63"/>
        <v>0.03</v>
      </c>
      <c r="Y51" s="284">
        <f t="shared" si="63"/>
        <v>0.03</v>
      </c>
      <c r="Z51" s="284">
        <f t="shared" si="63"/>
        <v>0.03</v>
      </c>
      <c r="AB51" s="655">
        <v>0.02</v>
      </c>
      <c r="AC51" s="655">
        <v>0.02</v>
      </c>
      <c r="AD51" s="655">
        <v>0.02</v>
      </c>
      <c r="AE51" s="655">
        <v>0.02</v>
      </c>
      <c r="AF51" s="655">
        <v>0.02</v>
      </c>
      <c r="AG51" s="284">
        <v>0.02</v>
      </c>
      <c r="AH51" s="284">
        <v>0.02</v>
      </c>
      <c r="AI51" s="284">
        <v>0.02</v>
      </c>
      <c r="AJ51" s="284">
        <v>0.02</v>
      </c>
      <c r="AK51" s="284">
        <v>0.02</v>
      </c>
    </row>
    <row r="52" spans="1:89">
      <c r="C52" s="8" t="s">
        <v>608</v>
      </c>
      <c r="D52" s="8" t="s">
        <v>666</v>
      </c>
      <c r="F52" s="655">
        <v>0.05</v>
      </c>
      <c r="G52" s="655">
        <f>$F52</f>
        <v>0.05</v>
      </c>
      <c r="H52" s="655">
        <f t="shared" si="62"/>
        <v>0.05</v>
      </c>
      <c r="I52" s="655">
        <f t="shared" si="62"/>
        <v>0.05</v>
      </c>
      <c r="J52" s="655">
        <f t="shared" si="62"/>
        <v>0.05</v>
      </c>
      <c r="K52" s="284">
        <f t="shared" si="62"/>
        <v>0.05</v>
      </c>
      <c r="L52" s="284">
        <f t="shared" si="62"/>
        <v>0.05</v>
      </c>
      <c r="M52" s="284">
        <f t="shared" si="62"/>
        <v>0.05</v>
      </c>
      <c r="N52" s="284">
        <f t="shared" si="62"/>
        <v>0.05</v>
      </c>
      <c r="O52" s="284">
        <f t="shared" si="62"/>
        <v>0.05</v>
      </c>
      <c r="Q52" s="655">
        <v>0.05</v>
      </c>
      <c r="R52" s="655">
        <f>$Q52</f>
        <v>0.05</v>
      </c>
      <c r="S52" s="655">
        <f t="shared" si="63"/>
        <v>0.05</v>
      </c>
      <c r="T52" s="655">
        <v>0.04</v>
      </c>
      <c r="U52" s="655">
        <v>0.04</v>
      </c>
      <c r="V52" s="284">
        <v>0.04</v>
      </c>
      <c r="W52" s="284">
        <v>0.04</v>
      </c>
      <c r="X52" s="284">
        <v>0.04</v>
      </c>
      <c r="Y52" s="284">
        <v>0.04</v>
      </c>
      <c r="Z52" s="284">
        <v>0.04</v>
      </c>
      <c r="AB52" s="655">
        <v>0.02</v>
      </c>
      <c r="AC52" s="655">
        <v>0.02</v>
      </c>
      <c r="AD52" s="655">
        <v>0.02</v>
      </c>
      <c r="AE52" s="655">
        <v>0.02</v>
      </c>
      <c r="AF52" s="655">
        <v>0.02</v>
      </c>
      <c r="AG52" s="284">
        <v>0.02</v>
      </c>
      <c r="AH52" s="284">
        <v>0.02</v>
      </c>
      <c r="AI52" s="284">
        <v>0.02</v>
      </c>
      <c r="AJ52" s="284">
        <v>0.02</v>
      </c>
      <c r="AK52" s="284">
        <v>0.02</v>
      </c>
    </row>
    <row r="53" spans="1:89">
      <c r="C53" s="8" t="s">
        <v>609</v>
      </c>
      <c r="D53" s="8" t="s">
        <v>666</v>
      </c>
      <c r="F53" s="657">
        <v>0.2</v>
      </c>
      <c r="G53" s="655">
        <f>$F53</f>
        <v>0.2</v>
      </c>
      <c r="H53" s="655">
        <f t="shared" si="62"/>
        <v>0.2</v>
      </c>
      <c r="I53" s="655">
        <f t="shared" si="62"/>
        <v>0.2</v>
      </c>
      <c r="J53" s="655">
        <f t="shared" si="62"/>
        <v>0.2</v>
      </c>
      <c r="K53" s="284">
        <f t="shared" si="62"/>
        <v>0.2</v>
      </c>
      <c r="L53" s="284">
        <f t="shared" si="62"/>
        <v>0.2</v>
      </c>
      <c r="M53" s="284">
        <f t="shared" si="62"/>
        <v>0.2</v>
      </c>
      <c r="N53" s="284">
        <f t="shared" si="62"/>
        <v>0.2</v>
      </c>
      <c r="O53" s="284">
        <f t="shared" si="62"/>
        <v>0.2</v>
      </c>
      <c r="P53" s="25"/>
      <c r="Q53" s="657">
        <v>0.15</v>
      </c>
      <c r="R53" s="657">
        <v>0.15</v>
      </c>
      <c r="S53" s="657">
        <v>0.15</v>
      </c>
      <c r="T53" s="657">
        <v>0.15</v>
      </c>
      <c r="U53" s="657">
        <v>0.15</v>
      </c>
      <c r="V53" s="258">
        <v>0.15</v>
      </c>
      <c r="W53" s="258">
        <v>0.15</v>
      </c>
      <c r="X53" s="258">
        <v>0.15</v>
      </c>
      <c r="Y53" s="258">
        <v>0.15</v>
      </c>
      <c r="Z53" s="258">
        <v>0.15</v>
      </c>
      <c r="AA53" s="25"/>
      <c r="AB53" s="657">
        <v>0.1</v>
      </c>
      <c r="AC53" s="657">
        <v>0.1</v>
      </c>
      <c r="AD53" s="657">
        <v>0.1</v>
      </c>
      <c r="AE53" s="657">
        <v>0.1</v>
      </c>
      <c r="AF53" s="657">
        <v>0.1</v>
      </c>
      <c r="AG53" s="258">
        <v>0.1</v>
      </c>
      <c r="AH53" s="258">
        <v>0.1</v>
      </c>
      <c r="AI53" s="258">
        <v>0.1</v>
      </c>
      <c r="AJ53" s="258">
        <v>0.1</v>
      </c>
      <c r="AK53" s="258">
        <v>0.1</v>
      </c>
    </row>
    <row r="54" spans="1:89">
      <c r="C54" s="8" t="s">
        <v>610</v>
      </c>
      <c r="D54" s="8" t="s">
        <v>611</v>
      </c>
      <c r="F54" s="655">
        <v>0.05</v>
      </c>
      <c r="G54" s="655">
        <f t="shared" ref="G54:O57" si="65">$F54</f>
        <v>0.05</v>
      </c>
      <c r="H54" s="655">
        <f t="shared" si="65"/>
        <v>0.05</v>
      </c>
      <c r="I54" s="655">
        <f t="shared" si="65"/>
        <v>0.05</v>
      </c>
      <c r="J54" s="655">
        <f t="shared" si="65"/>
        <v>0.05</v>
      </c>
      <c r="K54" s="284">
        <f t="shared" si="65"/>
        <v>0.05</v>
      </c>
      <c r="L54" s="284">
        <f t="shared" si="65"/>
        <v>0.05</v>
      </c>
      <c r="M54" s="284">
        <f t="shared" si="65"/>
        <v>0.05</v>
      </c>
      <c r="N54" s="284">
        <f t="shared" si="65"/>
        <v>0.05</v>
      </c>
      <c r="O54" s="284">
        <f t="shared" si="65"/>
        <v>0.05</v>
      </c>
      <c r="Q54" s="655">
        <v>0.04</v>
      </c>
      <c r="R54" s="655">
        <f t="shared" ref="R54:Z57" si="66">$Q54</f>
        <v>0.04</v>
      </c>
      <c r="S54" s="655">
        <f t="shared" si="66"/>
        <v>0.04</v>
      </c>
      <c r="T54" s="655">
        <v>0.03</v>
      </c>
      <c r="U54" s="655">
        <v>0.03</v>
      </c>
      <c r="V54" s="284">
        <v>0.03</v>
      </c>
      <c r="W54" s="284">
        <v>0.03</v>
      </c>
      <c r="X54" s="284">
        <v>0.03</v>
      </c>
      <c r="Y54" s="284">
        <v>0.03</v>
      </c>
      <c r="Z54" s="284">
        <v>0.03</v>
      </c>
      <c r="AB54" s="655">
        <v>0.02</v>
      </c>
      <c r="AC54" s="655">
        <v>0.02</v>
      </c>
      <c r="AD54" s="655">
        <v>0.02</v>
      </c>
      <c r="AE54" s="655">
        <v>0.02</v>
      </c>
      <c r="AF54" s="655">
        <v>0.02</v>
      </c>
      <c r="AG54" s="284">
        <v>0.02</v>
      </c>
      <c r="AH54" s="284">
        <v>0.02</v>
      </c>
      <c r="AI54" s="284">
        <v>0.02</v>
      </c>
      <c r="AJ54" s="284">
        <v>0.02</v>
      </c>
      <c r="AK54" s="284">
        <v>0.02</v>
      </c>
    </row>
    <row r="55" spans="1:89">
      <c r="C55" s="8" t="s">
        <v>592</v>
      </c>
      <c r="D55" s="8" t="s">
        <v>590</v>
      </c>
      <c r="F55" s="656">
        <v>200000</v>
      </c>
      <c r="G55" s="656">
        <f>$F55</f>
        <v>200000</v>
      </c>
      <c r="H55" s="656">
        <f t="shared" si="65"/>
        <v>200000</v>
      </c>
      <c r="I55" s="656">
        <f t="shared" si="65"/>
        <v>200000</v>
      </c>
      <c r="J55" s="656">
        <f t="shared" si="65"/>
        <v>200000</v>
      </c>
      <c r="K55" s="257">
        <f t="shared" si="65"/>
        <v>200000</v>
      </c>
      <c r="L55" s="257">
        <f t="shared" si="65"/>
        <v>200000</v>
      </c>
      <c r="M55" s="257">
        <f t="shared" si="65"/>
        <v>200000</v>
      </c>
      <c r="N55" s="257">
        <f t="shared" si="65"/>
        <v>200000</v>
      </c>
      <c r="O55" s="257">
        <f t="shared" si="65"/>
        <v>200000</v>
      </c>
      <c r="P55" s="25"/>
      <c r="Q55" s="656">
        <v>200000</v>
      </c>
      <c r="R55" s="656">
        <f t="shared" si="66"/>
        <v>200000</v>
      </c>
      <c r="S55" s="656">
        <f t="shared" si="66"/>
        <v>200000</v>
      </c>
      <c r="T55" s="656">
        <f t="shared" si="66"/>
        <v>200000</v>
      </c>
      <c r="U55" s="656">
        <f t="shared" si="66"/>
        <v>200000</v>
      </c>
      <c r="V55" s="257">
        <f t="shared" si="66"/>
        <v>200000</v>
      </c>
      <c r="W55" s="257">
        <f t="shared" si="66"/>
        <v>200000</v>
      </c>
      <c r="X55" s="257">
        <f t="shared" si="66"/>
        <v>200000</v>
      </c>
      <c r="Y55" s="257">
        <f t="shared" si="66"/>
        <v>200000</v>
      </c>
      <c r="Z55" s="257">
        <f t="shared" si="66"/>
        <v>200000</v>
      </c>
      <c r="AA55" s="25"/>
      <c r="AB55" s="656">
        <v>200000</v>
      </c>
      <c r="AC55" s="656">
        <f>$AB55</f>
        <v>200000</v>
      </c>
      <c r="AD55" s="656">
        <f t="shared" ref="AD55:AK57" si="67">$AB55</f>
        <v>200000</v>
      </c>
      <c r="AE55" s="656">
        <f t="shared" si="67"/>
        <v>200000</v>
      </c>
      <c r="AF55" s="656">
        <f t="shared" si="67"/>
        <v>200000</v>
      </c>
      <c r="AG55" s="257">
        <f t="shared" si="67"/>
        <v>200000</v>
      </c>
      <c r="AH55" s="257">
        <f t="shared" si="67"/>
        <v>200000</v>
      </c>
      <c r="AI55" s="257">
        <f t="shared" si="67"/>
        <v>200000</v>
      </c>
      <c r="AJ55" s="257">
        <f t="shared" si="67"/>
        <v>200000</v>
      </c>
      <c r="AK55" s="257">
        <f t="shared" si="67"/>
        <v>200000</v>
      </c>
    </row>
    <row r="56" spans="1:89">
      <c r="C56" s="8" t="s">
        <v>612</v>
      </c>
      <c r="D56" s="8" t="s">
        <v>666</v>
      </c>
      <c r="F56" s="655">
        <v>0.02</v>
      </c>
      <c r="G56" s="655">
        <f>$F56</f>
        <v>0.02</v>
      </c>
      <c r="H56" s="655">
        <f t="shared" si="65"/>
        <v>0.02</v>
      </c>
      <c r="I56" s="655">
        <f t="shared" si="65"/>
        <v>0.02</v>
      </c>
      <c r="J56" s="655">
        <f t="shared" si="65"/>
        <v>0.02</v>
      </c>
      <c r="K56" s="284">
        <f t="shared" si="65"/>
        <v>0.02</v>
      </c>
      <c r="L56" s="284">
        <f t="shared" si="65"/>
        <v>0.02</v>
      </c>
      <c r="M56" s="284">
        <f t="shared" si="65"/>
        <v>0.02</v>
      </c>
      <c r="N56" s="284">
        <f t="shared" si="65"/>
        <v>0.02</v>
      </c>
      <c r="O56" s="284">
        <f t="shared" si="65"/>
        <v>0.02</v>
      </c>
      <c r="Q56" s="655">
        <v>0.01</v>
      </c>
      <c r="R56" s="655">
        <f t="shared" si="66"/>
        <v>0.01</v>
      </c>
      <c r="S56" s="655">
        <f t="shared" si="66"/>
        <v>0.01</v>
      </c>
      <c r="T56" s="655">
        <f t="shared" si="66"/>
        <v>0.01</v>
      </c>
      <c r="U56" s="655">
        <f t="shared" si="66"/>
        <v>0.01</v>
      </c>
      <c r="V56" s="284">
        <f t="shared" si="66"/>
        <v>0.01</v>
      </c>
      <c r="W56" s="284">
        <f t="shared" si="66"/>
        <v>0.01</v>
      </c>
      <c r="X56" s="284">
        <f t="shared" si="66"/>
        <v>0.01</v>
      </c>
      <c r="Y56" s="284">
        <f t="shared" si="66"/>
        <v>0.01</v>
      </c>
      <c r="Z56" s="284">
        <f t="shared" si="66"/>
        <v>0.01</v>
      </c>
      <c r="AB56" s="659">
        <v>5.0000000000000001E-3</v>
      </c>
      <c r="AC56" s="659">
        <v>5.0000000000000001E-3</v>
      </c>
      <c r="AD56" s="659">
        <v>5.0000000000000001E-3</v>
      </c>
      <c r="AE56" s="659">
        <v>5.0000000000000001E-3</v>
      </c>
      <c r="AF56" s="659">
        <v>5.0000000000000001E-3</v>
      </c>
      <c r="AG56" s="612">
        <v>5.0000000000000001E-3</v>
      </c>
      <c r="AH56" s="612">
        <v>5.0000000000000001E-3</v>
      </c>
      <c r="AI56" s="612">
        <v>5.0000000000000001E-3</v>
      </c>
      <c r="AJ56" s="612">
        <v>5.0000000000000001E-3</v>
      </c>
      <c r="AK56" s="612">
        <v>5.0000000000000001E-3</v>
      </c>
    </row>
    <row r="57" spans="1:89">
      <c r="C57" s="8" t="s">
        <v>591</v>
      </c>
      <c r="D57" s="8" t="s">
        <v>590</v>
      </c>
      <c r="F57" s="656">
        <v>100000</v>
      </c>
      <c r="G57" s="656">
        <f t="shared" si="65"/>
        <v>100000</v>
      </c>
      <c r="H57" s="656">
        <f t="shared" si="65"/>
        <v>100000</v>
      </c>
      <c r="I57" s="656">
        <f t="shared" si="65"/>
        <v>100000</v>
      </c>
      <c r="J57" s="656">
        <f t="shared" si="65"/>
        <v>100000</v>
      </c>
      <c r="K57" s="257">
        <f t="shared" si="65"/>
        <v>100000</v>
      </c>
      <c r="L57" s="257">
        <f t="shared" si="65"/>
        <v>100000</v>
      </c>
      <c r="M57" s="257">
        <f t="shared" si="65"/>
        <v>100000</v>
      </c>
      <c r="N57" s="257">
        <f t="shared" si="65"/>
        <v>100000</v>
      </c>
      <c r="O57" s="257">
        <f t="shared" si="65"/>
        <v>100000</v>
      </c>
      <c r="P57" s="25"/>
      <c r="Q57" s="656">
        <v>100000</v>
      </c>
      <c r="R57" s="656">
        <f t="shared" si="66"/>
        <v>100000</v>
      </c>
      <c r="S57" s="656">
        <f t="shared" si="66"/>
        <v>100000</v>
      </c>
      <c r="T57" s="656">
        <f t="shared" si="66"/>
        <v>100000</v>
      </c>
      <c r="U57" s="656">
        <f t="shared" si="66"/>
        <v>100000</v>
      </c>
      <c r="V57" s="257">
        <f t="shared" si="66"/>
        <v>100000</v>
      </c>
      <c r="W57" s="257">
        <f t="shared" si="66"/>
        <v>100000</v>
      </c>
      <c r="X57" s="257">
        <f t="shared" si="66"/>
        <v>100000</v>
      </c>
      <c r="Y57" s="257">
        <f t="shared" si="66"/>
        <v>100000</v>
      </c>
      <c r="Z57" s="257">
        <f t="shared" si="66"/>
        <v>100000</v>
      </c>
      <c r="AA57" s="25"/>
      <c r="AB57" s="656">
        <v>50000</v>
      </c>
      <c r="AC57" s="656">
        <f>$AB57</f>
        <v>50000</v>
      </c>
      <c r="AD57" s="656">
        <f t="shared" si="67"/>
        <v>50000</v>
      </c>
      <c r="AE57" s="656">
        <f t="shared" si="67"/>
        <v>50000</v>
      </c>
      <c r="AF57" s="656">
        <f t="shared" si="67"/>
        <v>50000</v>
      </c>
      <c r="AG57" s="257">
        <f t="shared" si="67"/>
        <v>50000</v>
      </c>
      <c r="AH57" s="257">
        <f t="shared" si="67"/>
        <v>50000</v>
      </c>
      <c r="AI57" s="257">
        <f t="shared" si="67"/>
        <v>50000</v>
      </c>
      <c r="AJ57" s="257">
        <f t="shared" si="67"/>
        <v>50000</v>
      </c>
      <c r="AK57" s="257">
        <f t="shared" si="67"/>
        <v>50000</v>
      </c>
    </row>
    <row r="58" spans="1:89">
      <c r="C58" s="8" t="s">
        <v>340</v>
      </c>
      <c r="D58" s="264" t="s">
        <v>613</v>
      </c>
      <c r="F58" s="658">
        <v>60</v>
      </c>
      <c r="Q58" s="658">
        <v>60</v>
      </c>
      <c r="AB58" s="658">
        <v>60</v>
      </c>
    </row>
    <row r="60" spans="1:89" s="163" customFormat="1">
      <c r="A60" s="160" t="s">
        <v>40</v>
      </c>
      <c r="B60" s="338"/>
      <c r="C60" s="161"/>
      <c r="D60" s="161"/>
      <c r="E60" s="161"/>
      <c r="F60" s="161"/>
      <c r="G60" s="161"/>
      <c r="H60" s="161"/>
      <c r="I60" s="161"/>
      <c r="J60" s="339"/>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row>
  </sheetData>
  <sheetProtection sheet="1" objects="1" scenarios="1"/>
  <conditionalFormatting sqref="J1:J3">
    <cfRule type="colorScale" priority="3">
      <colorScale>
        <cfvo type="num" val="0"/>
        <cfvo type="num" val="1"/>
        <color rgb="FF00B050"/>
        <color rgb="FFFFC000"/>
      </colorScale>
    </cfRule>
  </conditionalFormatting>
  <conditionalFormatting sqref="J60">
    <cfRule type="colorScale" priority="2">
      <colorScale>
        <cfvo type="num" val="0"/>
        <cfvo type="num" val="1"/>
        <color rgb="FF00B050"/>
        <color rgb="FFFFC000"/>
      </colorScale>
    </cfRule>
  </conditionalFormatting>
  <conditionalFormatting sqref="I4:I5">
    <cfRule type="colorScale" priority="1">
      <colorScale>
        <cfvo type="num" val="0"/>
        <cfvo type="num" val="1"/>
        <color rgb="FF00B050"/>
        <color rgb="FFFFC000"/>
      </colorScale>
    </cfRule>
  </conditionalFormatting>
  <hyperlinks>
    <hyperlink ref="B3" location="'Cover page'!A1" display="Cover page" xr:uid="{AA913C80-DDD4-4E16-8498-273D270B3D79}"/>
  </hyperlinks>
  <pageMargins left="0.7" right="0.7" top="0.75" bottom="0.75" header="0.3" footer="0.3"/>
  <pageSetup paperSize="9" scale="28"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84FAA-B248-4A23-98C8-271F6D1951A5}">
  <sheetPr>
    <tabColor theme="7" tint="0.39997558519241921"/>
  </sheetPr>
  <dimension ref="B4:B27"/>
  <sheetViews>
    <sheetView workbookViewId="0">
      <selection activeCell="B28" sqref="B28"/>
    </sheetView>
  </sheetViews>
  <sheetFormatPr defaultColWidth="8.77734375" defaultRowHeight="14.4"/>
  <sheetData>
    <row r="4" spans="2:2">
      <c r="B4" t="s">
        <v>297</v>
      </c>
    </row>
    <row r="5" spans="2:2">
      <c r="B5" t="s">
        <v>298</v>
      </c>
    </row>
    <row r="6" spans="2:2">
      <c r="B6" t="s">
        <v>299</v>
      </c>
    </row>
    <row r="8" spans="2:2">
      <c r="B8" t="s">
        <v>300</v>
      </c>
    </row>
    <row r="9" spans="2:2">
      <c r="B9" t="s">
        <v>301</v>
      </c>
    </row>
    <row r="10" spans="2:2">
      <c r="B10" t="s">
        <v>302</v>
      </c>
    </row>
    <row r="12" spans="2:2">
      <c r="B12" t="s">
        <v>303</v>
      </c>
    </row>
    <row r="13" spans="2:2">
      <c r="B13" t="s">
        <v>304</v>
      </c>
    </row>
    <row r="14" spans="2:2">
      <c r="B14" t="s">
        <v>305</v>
      </c>
    </row>
    <row r="16" spans="2:2">
      <c r="B16" t="s">
        <v>306</v>
      </c>
    </row>
    <row r="17" spans="2:2">
      <c r="B17" t="s">
        <v>307</v>
      </c>
    </row>
    <row r="18" spans="2:2">
      <c r="B18" t="s">
        <v>308</v>
      </c>
    </row>
    <row r="20" spans="2:2">
      <c r="B20" t="s">
        <v>460</v>
      </c>
    </row>
    <row r="21" spans="2:2">
      <c r="B21" t="s">
        <v>461</v>
      </c>
    </row>
    <row r="23" spans="2:2">
      <c r="B23" t="s">
        <v>380</v>
      </c>
    </row>
    <row r="24" spans="2:2">
      <c r="B24" t="s">
        <v>32</v>
      </c>
    </row>
    <row r="26" spans="2:2">
      <c r="B26" t="s">
        <v>690</v>
      </c>
    </row>
    <row r="27" spans="2:2">
      <c r="B27" t="s">
        <v>691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sheetPr>
  <dimension ref="A1:EA51"/>
  <sheetViews>
    <sheetView showGridLines="0" zoomScale="80" zoomScaleNormal="80" zoomScaleSheetLayoutView="25" workbookViewId="0">
      <selection activeCell="K21" sqref="K21"/>
    </sheetView>
  </sheetViews>
  <sheetFormatPr defaultColWidth="9.21875" defaultRowHeight="13.8" outlineLevelCol="1"/>
  <cols>
    <col min="1" max="1" width="6" style="293" customWidth="1"/>
    <col min="2" max="2" width="5.77734375" style="293" customWidth="1"/>
    <col min="3" max="3" width="68.44140625" style="293" bestFit="1" customWidth="1"/>
    <col min="4" max="4" width="16.21875" style="293" bestFit="1" customWidth="1"/>
    <col min="5" max="5" width="12.77734375" style="293" bestFit="1" customWidth="1"/>
    <col min="6" max="6" width="12.77734375" style="293" customWidth="1"/>
    <col min="7" max="7" width="12.77734375" style="293" hidden="1" customWidth="1" outlineLevel="1"/>
    <col min="8" max="8" width="22.44140625" style="293" hidden="1" customWidth="1" outlineLevel="1"/>
    <col min="9" max="9" width="14.21875" style="293" bestFit="1" customWidth="1" collapsed="1"/>
    <col min="10" max="14" width="11" style="293" bestFit="1" customWidth="1"/>
    <col min="15" max="15" width="11.44140625" style="293" bestFit="1" customWidth="1"/>
    <col min="16" max="81" width="11" style="293" bestFit="1" customWidth="1"/>
    <col min="82" max="110" width="9.21875" style="293"/>
    <col min="111" max="111" width="9" style="293" bestFit="1" customWidth="1"/>
    <col min="112" max="16384" width="9.21875" style="293"/>
  </cols>
  <sheetData>
    <row r="1" spans="1:129" s="291" customFormat="1">
      <c r="A1" s="277"/>
      <c r="B1" s="276" t="str">
        <f>'Model Assumptions'!$D$9</f>
        <v>[Company name]</v>
      </c>
      <c r="C1" s="277"/>
      <c r="D1" s="277"/>
      <c r="E1" s="277"/>
      <c r="F1" s="277"/>
      <c r="G1" s="277"/>
      <c r="H1" s="277"/>
      <c r="I1" s="277"/>
      <c r="J1" s="290"/>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row>
    <row r="2" spans="1:129" s="291" customFormat="1">
      <c r="A2" s="277"/>
      <c r="B2" s="276" t="str">
        <f ca="1">RIGHT(CELL("filename",$B$1),LEN(CELL("filename",$B$1))-SEARCH("]",CELL("filename",$B$1)))</f>
        <v>Flags</v>
      </c>
      <c r="C2" s="277"/>
      <c r="D2" s="277"/>
      <c r="E2" s="277"/>
      <c r="F2" s="277"/>
      <c r="G2" s="277"/>
      <c r="H2" s="277"/>
      <c r="I2" s="277"/>
      <c r="J2" s="290"/>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row>
    <row r="3" spans="1:129" s="291" customFormat="1">
      <c r="A3" s="277"/>
      <c r="B3" s="164" t="s">
        <v>72</v>
      </c>
      <c r="C3" s="277"/>
      <c r="D3" s="277"/>
      <c r="E3" s="277"/>
      <c r="F3" s="277"/>
      <c r="G3" s="277"/>
      <c r="H3" s="277"/>
      <c r="I3" s="277"/>
      <c r="J3" s="290"/>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row>
    <row r="4" spans="1:129" s="543" customFormat="1" ht="14.4" thickBot="1">
      <c r="A4" s="541"/>
      <c r="B4" s="544" t="str">
        <f ca="1">IF(MasterCheck=0,"All checks are OK","There are "&amp;MasterCheck&amp;" errors!")</f>
        <v>All checks are OK</v>
      </c>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row>
    <row r="6" spans="1:129">
      <c r="B6" s="294" t="s">
        <v>43</v>
      </c>
      <c r="C6" s="295"/>
      <c r="D6" s="295"/>
      <c r="E6" s="296" t="s">
        <v>42</v>
      </c>
      <c r="F6" s="296"/>
      <c r="G6" s="296"/>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c r="CM6" s="295"/>
      <c r="CN6" s="295"/>
      <c r="CO6" s="295"/>
      <c r="CP6" s="295"/>
      <c r="CQ6" s="295"/>
      <c r="CR6" s="295"/>
      <c r="CS6" s="295"/>
      <c r="CT6" s="295"/>
      <c r="CU6" s="295"/>
      <c r="CV6" s="295"/>
      <c r="CW6" s="295"/>
      <c r="CX6" s="295"/>
      <c r="CY6" s="295"/>
      <c r="CZ6" s="295"/>
      <c r="DA6" s="295"/>
      <c r="DB6" s="295"/>
      <c r="DC6" s="295"/>
      <c r="DD6" s="295"/>
      <c r="DE6" s="295"/>
      <c r="DF6" s="295"/>
      <c r="DG6" s="295"/>
      <c r="DH6" s="295"/>
      <c r="DI6" s="295"/>
      <c r="DJ6" s="295"/>
      <c r="DK6" s="295"/>
      <c r="DL6" s="295"/>
      <c r="DM6" s="295"/>
      <c r="DN6" s="295"/>
      <c r="DO6" s="295"/>
      <c r="DP6" s="295"/>
      <c r="DQ6" s="295"/>
      <c r="DR6" s="295"/>
      <c r="DS6" s="295"/>
      <c r="DT6" s="295"/>
      <c r="DU6" s="295"/>
      <c r="DV6" s="295"/>
      <c r="DW6" s="295"/>
      <c r="DX6" s="295"/>
      <c r="DY6" s="295"/>
    </row>
    <row r="7" spans="1:129" s="297" customFormat="1"/>
    <row r="8" spans="1:129">
      <c r="B8" s="298"/>
      <c r="C8" s="299" t="s">
        <v>33</v>
      </c>
      <c r="E8" s="298"/>
      <c r="F8" s="298"/>
      <c r="G8" s="298"/>
      <c r="H8" s="300"/>
      <c r="I8" s="298"/>
    </row>
    <row r="9" spans="1:129">
      <c r="B9" s="298"/>
      <c r="C9" s="293" t="s">
        <v>34</v>
      </c>
      <c r="D9" s="5">
        <v>365</v>
      </c>
      <c r="E9" s="298"/>
      <c r="F9" s="298"/>
      <c r="G9" s="298"/>
      <c r="H9" s="298"/>
      <c r="I9" s="298"/>
      <c r="K9" s="186"/>
    </row>
    <row r="10" spans="1:129">
      <c r="B10" s="298"/>
      <c r="D10" s="5"/>
      <c r="E10" s="298"/>
      <c r="F10" s="298"/>
      <c r="G10" s="298"/>
      <c r="H10" s="298"/>
      <c r="I10" s="298"/>
    </row>
    <row r="11" spans="1:129" s="295" customFormat="1" ht="15.6">
      <c r="A11" s="293"/>
      <c r="B11" s="301" t="s">
        <v>73</v>
      </c>
      <c r="C11" s="302"/>
      <c r="D11" s="303"/>
      <c r="E11" s="303"/>
      <c r="F11" s="303"/>
      <c r="G11" s="303"/>
      <c r="H11" s="303"/>
      <c r="I11" s="303"/>
    </row>
    <row r="12" spans="1:129" s="297" customFormat="1">
      <c r="D12" s="468"/>
    </row>
    <row r="13" spans="1:129">
      <c r="A13" s="298"/>
      <c r="B13" s="298"/>
      <c r="C13" s="293" t="s">
        <v>36</v>
      </c>
      <c r="D13" s="469">
        <f>+'Model Assumptions'!D12</f>
        <v>44927</v>
      </c>
      <c r="E13" s="304" t="s">
        <v>44</v>
      </c>
      <c r="F13" s="304"/>
      <c r="G13" s="304"/>
      <c r="I13" s="304"/>
    </row>
    <row r="14" spans="1:129">
      <c r="A14" s="298"/>
      <c r="B14" s="298"/>
      <c r="C14" s="293" t="s">
        <v>39</v>
      </c>
      <c r="D14" s="469">
        <f>+'Model Assumptions'!D15</f>
        <v>48579</v>
      </c>
      <c r="E14" s="304" t="s">
        <v>44</v>
      </c>
      <c r="F14" s="304"/>
      <c r="G14" s="304"/>
      <c r="I14" s="304"/>
    </row>
    <row r="15" spans="1:129">
      <c r="A15" s="298"/>
      <c r="B15" s="298"/>
      <c r="C15" s="298"/>
      <c r="D15" s="470"/>
      <c r="E15" s="304"/>
      <c r="F15" s="304"/>
      <c r="G15" s="304"/>
      <c r="I15" s="304"/>
    </row>
    <row r="16" spans="1:129">
      <c r="A16" s="298"/>
      <c r="B16" s="298"/>
      <c r="C16" s="298"/>
      <c r="D16" s="298"/>
      <c r="E16" s="304"/>
      <c r="F16" s="304"/>
      <c r="G16" s="304"/>
      <c r="I16" s="304"/>
    </row>
    <row r="17" spans="1:131" ht="15.6">
      <c r="A17" s="304"/>
      <c r="B17" s="305"/>
      <c r="C17" s="299" t="s">
        <v>37</v>
      </c>
      <c r="D17" s="304"/>
      <c r="E17" s="304"/>
      <c r="F17" s="304"/>
      <c r="G17" s="304"/>
      <c r="I17" s="304"/>
    </row>
    <row r="18" spans="1:131" ht="15.6">
      <c r="A18" s="304"/>
      <c r="B18" s="305"/>
      <c r="C18" s="299" t="s">
        <v>45</v>
      </c>
      <c r="D18" s="304">
        <f>_monthsinyear*'Model Assumptions'!D14</f>
        <v>120</v>
      </c>
      <c r="E18" s="304"/>
      <c r="F18" s="304"/>
      <c r="G18" s="304"/>
      <c r="I18" s="304"/>
    </row>
    <row r="19" spans="1:131" ht="15.6">
      <c r="A19" s="304"/>
      <c r="B19" s="305"/>
      <c r="C19" s="293" t="s">
        <v>46</v>
      </c>
      <c r="D19" s="304"/>
      <c r="E19" s="298" t="s">
        <v>47</v>
      </c>
      <c r="F19" s="298"/>
      <c r="G19" s="298"/>
      <c r="I19" s="304"/>
      <c r="J19" s="5">
        <f>YEAR(J22)-YEAR($D$13)+1</f>
        <v>1</v>
      </c>
      <c r="K19" s="5">
        <f>YEAR(K22)-YEAR($D$13)+1</f>
        <v>1</v>
      </c>
      <c r="L19" s="5">
        <f t="shared" ref="L19:AL19" si="0">YEAR(L22)-YEAR($D$13)+1</f>
        <v>1</v>
      </c>
      <c r="M19" s="5">
        <f t="shared" si="0"/>
        <v>1</v>
      </c>
      <c r="N19" s="5">
        <f t="shared" si="0"/>
        <v>1</v>
      </c>
      <c r="O19" s="5">
        <f t="shared" si="0"/>
        <v>1</v>
      </c>
      <c r="P19" s="5">
        <f t="shared" si="0"/>
        <v>1</v>
      </c>
      <c r="Q19" s="5">
        <f t="shared" si="0"/>
        <v>1</v>
      </c>
      <c r="R19" s="5">
        <f t="shared" si="0"/>
        <v>1</v>
      </c>
      <c r="S19" s="5">
        <f t="shared" si="0"/>
        <v>1</v>
      </c>
      <c r="T19" s="5">
        <f t="shared" si="0"/>
        <v>1</v>
      </c>
      <c r="U19" s="5">
        <f t="shared" si="0"/>
        <v>1</v>
      </c>
      <c r="V19" s="5">
        <f t="shared" si="0"/>
        <v>2</v>
      </c>
      <c r="W19" s="5">
        <f t="shared" si="0"/>
        <v>2</v>
      </c>
      <c r="X19" s="5">
        <f t="shared" si="0"/>
        <v>2</v>
      </c>
      <c r="Y19" s="5">
        <f t="shared" si="0"/>
        <v>2</v>
      </c>
      <c r="Z19" s="5">
        <f t="shared" si="0"/>
        <v>2</v>
      </c>
      <c r="AA19" s="5">
        <f t="shared" si="0"/>
        <v>2</v>
      </c>
      <c r="AB19" s="5">
        <f t="shared" si="0"/>
        <v>2</v>
      </c>
      <c r="AC19" s="5">
        <f t="shared" si="0"/>
        <v>2</v>
      </c>
      <c r="AD19" s="5">
        <f t="shared" si="0"/>
        <v>2</v>
      </c>
      <c r="AE19" s="5">
        <f t="shared" si="0"/>
        <v>2</v>
      </c>
      <c r="AF19" s="5">
        <f t="shared" si="0"/>
        <v>2</v>
      </c>
      <c r="AG19" s="5">
        <f t="shared" si="0"/>
        <v>2</v>
      </c>
      <c r="AH19" s="5">
        <f t="shared" si="0"/>
        <v>3</v>
      </c>
      <c r="AI19" s="5">
        <f t="shared" si="0"/>
        <v>3</v>
      </c>
      <c r="AJ19" s="5">
        <f t="shared" si="0"/>
        <v>3</v>
      </c>
      <c r="AK19" s="5">
        <f t="shared" si="0"/>
        <v>3</v>
      </c>
      <c r="AL19" s="5">
        <f t="shared" si="0"/>
        <v>3</v>
      </c>
      <c r="AM19" s="5">
        <f t="shared" ref="AM19:AS19" si="1">YEAR(AM22)-YEAR($D$13)+1</f>
        <v>3</v>
      </c>
      <c r="AN19" s="5">
        <f t="shared" si="1"/>
        <v>3</v>
      </c>
      <c r="AO19" s="5">
        <f t="shared" si="1"/>
        <v>3</v>
      </c>
      <c r="AP19" s="5">
        <f t="shared" si="1"/>
        <v>3</v>
      </c>
      <c r="AQ19" s="5">
        <f t="shared" si="1"/>
        <v>3</v>
      </c>
      <c r="AR19" s="5">
        <f t="shared" si="1"/>
        <v>3</v>
      </c>
      <c r="AS19" s="5">
        <f t="shared" si="1"/>
        <v>3</v>
      </c>
      <c r="AT19" s="5">
        <f t="shared" ref="AT19:CC19" si="2">YEAR(AT22)-YEAR($D$13)+1</f>
        <v>4</v>
      </c>
      <c r="AU19" s="5">
        <f t="shared" si="2"/>
        <v>4</v>
      </c>
      <c r="AV19" s="5">
        <f t="shared" si="2"/>
        <v>4</v>
      </c>
      <c r="AW19" s="5">
        <f t="shared" si="2"/>
        <v>4</v>
      </c>
      <c r="AX19" s="5">
        <f t="shared" si="2"/>
        <v>4</v>
      </c>
      <c r="AY19" s="5">
        <f t="shared" si="2"/>
        <v>4</v>
      </c>
      <c r="AZ19" s="5">
        <f t="shared" si="2"/>
        <v>4</v>
      </c>
      <c r="BA19" s="5">
        <f t="shared" si="2"/>
        <v>4</v>
      </c>
      <c r="BB19" s="5">
        <f t="shared" si="2"/>
        <v>4</v>
      </c>
      <c r="BC19" s="5">
        <f t="shared" si="2"/>
        <v>4</v>
      </c>
      <c r="BD19" s="5">
        <f t="shared" si="2"/>
        <v>4</v>
      </c>
      <c r="BE19" s="5">
        <f t="shared" si="2"/>
        <v>4</v>
      </c>
      <c r="BF19" s="5">
        <f t="shared" si="2"/>
        <v>5</v>
      </c>
      <c r="BG19" s="5">
        <f t="shared" si="2"/>
        <v>5</v>
      </c>
      <c r="BH19" s="5">
        <f t="shared" si="2"/>
        <v>5</v>
      </c>
      <c r="BI19" s="5">
        <f t="shared" si="2"/>
        <v>5</v>
      </c>
      <c r="BJ19" s="5">
        <f t="shared" si="2"/>
        <v>5</v>
      </c>
      <c r="BK19" s="5">
        <f t="shared" si="2"/>
        <v>5</v>
      </c>
      <c r="BL19" s="5">
        <f t="shared" si="2"/>
        <v>5</v>
      </c>
      <c r="BM19" s="5">
        <f t="shared" si="2"/>
        <v>5</v>
      </c>
      <c r="BN19" s="5">
        <f t="shared" si="2"/>
        <v>5</v>
      </c>
      <c r="BO19" s="5">
        <f t="shared" si="2"/>
        <v>5</v>
      </c>
      <c r="BP19" s="5">
        <f t="shared" si="2"/>
        <v>5</v>
      </c>
      <c r="BQ19" s="5">
        <f>YEAR(BQ22)-YEAR($D$13)+1</f>
        <v>5</v>
      </c>
      <c r="BR19" s="5">
        <f>YEAR(BR22)-YEAR($D$13)+1</f>
        <v>6</v>
      </c>
      <c r="BS19" s="5">
        <f t="shared" si="2"/>
        <v>6</v>
      </c>
      <c r="BT19" s="5">
        <f t="shared" si="2"/>
        <v>6</v>
      </c>
      <c r="BU19" s="5">
        <f t="shared" si="2"/>
        <v>6</v>
      </c>
      <c r="BV19" s="5">
        <f t="shared" si="2"/>
        <v>6</v>
      </c>
      <c r="BW19" s="5">
        <f t="shared" si="2"/>
        <v>6</v>
      </c>
      <c r="BX19" s="5">
        <f t="shared" si="2"/>
        <v>6</v>
      </c>
      <c r="BY19" s="5">
        <f t="shared" si="2"/>
        <v>6</v>
      </c>
      <c r="BZ19" s="5">
        <f t="shared" si="2"/>
        <v>6</v>
      </c>
      <c r="CA19" s="5">
        <f t="shared" si="2"/>
        <v>6</v>
      </c>
      <c r="CB19" s="5">
        <f t="shared" si="2"/>
        <v>6</v>
      </c>
      <c r="CC19" s="5">
        <f t="shared" si="2"/>
        <v>6</v>
      </c>
      <c r="CD19" s="5">
        <f t="shared" ref="CD19:DG19" si="3">YEAR(CD22)-YEAR($D$13)+1</f>
        <v>7</v>
      </c>
      <c r="CE19" s="5">
        <f t="shared" si="3"/>
        <v>7</v>
      </c>
      <c r="CF19" s="5">
        <f t="shared" si="3"/>
        <v>7</v>
      </c>
      <c r="CG19" s="5">
        <f t="shared" si="3"/>
        <v>7</v>
      </c>
      <c r="CH19" s="5">
        <f t="shared" si="3"/>
        <v>7</v>
      </c>
      <c r="CI19" s="5">
        <f t="shared" si="3"/>
        <v>7</v>
      </c>
      <c r="CJ19" s="5">
        <f t="shared" si="3"/>
        <v>7</v>
      </c>
      <c r="CK19" s="5">
        <f t="shared" si="3"/>
        <v>7</v>
      </c>
      <c r="CL19" s="5">
        <f t="shared" si="3"/>
        <v>7</v>
      </c>
      <c r="CM19" s="5">
        <f t="shared" si="3"/>
        <v>7</v>
      </c>
      <c r="CN19" s="5">
        <f t="shared" si="3"/>
        <v>7</v>
      </c>
      <c r="CO19" s="5">
        <f t="shared" si="3"/>
        <v>7</v>
      </c>
      <c r="CP19" s="5">
        <f t="shared" si="3"/>
        <v>8</v>
      </c>
      <c r="CQ19" s="5">
        <f t="shared" si="3"/>
        <v>8</v>
      </c>
      <c r="CR19" s="5">
        <f t="shared" si="3"/>
        <v>8</v>
      </c>
      <c r="CS19" s="5">
        <f t="shared" si="3"/>
        <v>8</v>
      </c>
      <c r="CT19" s="5">
        <f t="shared" si="3"/>
        <v>8</v>
      </c>
      <c r="CU19" s="5">
        <f t="shared" si="3"/>
        <v>8</v>
      </c>
      <c r="CV19" s="5">
        <f t="shared" si="3"/>
        <v>8</v>
      </c>
      <c r="CW19" s="5">
        <f t="shared" si="3"/>
        <v>8</v>
      </c>
      <c r="CX19" s="5">
        <f t="shared" si="3"/>
        <v>8</v>
      </c>
      <c r="CY19" s="5">
        <f t="shared" si="3"/>
        <v>8</v>
      </c>
      <c r="CZ19" s="5">
        <f t="shared" si="3"/>
        <v>8</v>
      </c>
      <c r="DA19" s="5">
        <f t="shared" si="3"/>
        <v>8</v>
      </c>
      <c r="DB19" s="5">
        <f t="shared" si="3"/>
        <v>9</v>
      </c>
      <c r="DC19" s="5">
        <f t="shared" si="3"/>
        <v>9</v>
      </c>
      <c r="DD19" s="5">
        <f t="shared" si="3"/>
        <v>9</v>
      </c>
      <c r="DE19" s="5">
        <f t="shared" si="3"/>
        <v>9</v>
      </c>
      <c r="DF19" s="5">
        <f t="shared" si="3"/>
        <v>9</v>
      </c>
      <c r="DG19" s="5">
        <f t="shared" si="3"/>
        <v>9</v>
      </c>
      <c r="DH19" s="5">
        <f t="shared" ref="DH19:DQ19" si="4">YEAR(DH22)-YEAR($D$13)+1</f>
        <v>9</v>
      </c>
      <c r="DI19" s="5">
        <f t="shared" si="4"/>
        <v>9</v>
      </c>
      <c r="DJ19" s="5">
        <f t="shared" si="4"/>
        <v>9</v>
      </c>
      <c r="DK19" s="5">
        <f t="shared" si="4"/>
        <v>9</v>
      </c>
      <c r="DL19" s="5">
        <f t="shared" si="4"/>
        <v>9</v>
      </c>
      <c r="DM19" s="5">
        <f t="shared" si="4"/>
        <v>9</v>
      </c>
      <c r="DN19" s="5">
        <f t="shared" si="4"/>
        <v>10</v>
      </c>
      <c r="DO19" s="5">
        <f t="shared" si="4"/>
        <v>10</v>
      </c>
      <c r="DP19" s="5">
        <f t="shared" si="4"/>
        <v>10</v>
      </c>
      <c r="DQ19" s="5">
        <f t="shared" si="4"/>
        <v>10</v>
      </c>
      <c r="DR19" s="5">
        <f t="shared" ref="DR19:DY19" si="5">YEAR(DR22)-YEAR($D$13)+1</f>
        <v>10</v>
      </c>
      <c r="DS19" s="5">
        <f t="shared" si="5"/>
        <v>10</v>
      </c>
      <c r="DT19" s="5">
        <f t="shared" si="5"/>
        <v>10</v>
      </c>
      <c r="DU19" s="5">
        <f t="shared" si="5"/>
        <v>10</v>
      </c>
      <c r="DV19" s="5">
        <f t="shared" si="5"/>
        <v>10</v>
      </c>
      <c r="DW19" s="5">
        <f t="shared" si="5"/>
        <v>10</v>
      </c>
      <c r="DX19" s="5">
        <f t="shared" si="5"/>
        <v>10</v>
      </c>
      <c r="DY19" s="5">
        <f t="shared" si="5"/>
        <v>10</v>
      </c>
      <c r="DZ19" s="5"/>
      <c r="EA19" s="5"/>
    </row>
    <row r="20" spans="1:131" ht="15.6">
      <c r="A20" s="304"/>
      <c r="B20" s="305"/>
      <c r="C20" s="293" t="s">
        <v>48</v>
      </c>
      <c r="D20" s="304"/>
      <c r="E20" s="298" t="s">
        <v>47</v>
      </c>
      <c r="F20" s="298"/>
      <c r="G20" s="298"/>
      <c r="I20" s="304"/>
      <c r="J20" s="5">
        <f>IFERROR(IF((IF(MAX($I$20:I20)=0,1,I20+1))&lt;=$D$18,(IF(MAX($I$20:I20)=0,1,I20+1)),"N/A"),"N/A")</f>
        <v>1</v>
      </c>
      <c r="K20" s="5">
        <f>IFERROR(IF((IF(MAX($I$20:J20)=0,1,J20+1))&lt;=$D$18,(IF(MAX($I$20:J20)=0,1,J20+1)),"N/A"),"N/A")</f>
        <v>2</v>
      </c>
      <c r="L20" s="5">
        <f>IFERROR(IF((IF(MAX($I$20:K20)=0,1,K20+1))&lt;=$D$18,(IF(MAX($I$20:K20)=0,1,K20+1)),"N/A"),"N/A")</f>
        <v>3</v>
      </c>
      <c r="M20" s="5">
        <f>IFERROR(IF((IF(MAX($I$20:L20)=0,1,L20+1))&lt;=$D$18,(IF(MAX($I$20:L20)=0,1,L20+1)),"N/A"),"N/A")</f>
        <v>4</v>
      </c>
      <c r="N20" s="5">
        <f>IFERROR(IF((IF(MAX($I$20:M20)=0,1,M20+1))&lt;=$D$18,(IF(MAX($I$20:M20)=0,1,M20+1)),"N/A"),"N/A")</f>
        <v>5</v>
      </c>
      <c r="O20" s="5">
        <f>IFERROR(IF((IF(MAX($I$20:N20)=0,1,N20+1))&lt;=$D$18,(IF(MAX($I$20:N20)=0,1,N20+1)),"N/A"),"N/A")</f>
        <v>6</v>
      </c>
      <c r="P20" s="5">
        <f>IFERROR(IF((IF(MAX($I$20:O20)=0,1,O20+1))&lt;=$D$18,(IF(MAX($I$20:O20)=0,1,O20+1)),"N/A"),"N/A")</f>
        <v>7</v>
      </c>
      <c r="Q20" s="5">
        <f>IFERROR(IF((IF(MAX($I$20:P20)=0,1,P20+1))&lt;=$D$18,(IF(MAX($I$20:P20)=0,1,P20+1)),"N/A"),"N/A")</f>
        <v>8</v>
      </c>
      <c r="R20" s="5">
        <f>IFERROR(IF((IF(MAX($I$20:Q20)=0,1,Q20+1))&lt;=$D$18,(IF(MAX($I$20:Q20)=0,1,Q20+1)),"N/A"),"N/A")</f>
        <v>9</v>
      </c>
      <c r="S20" s="5">
        <f>IFERROR(IF((IF(MAX($I$20:R20)=0,1,R20+1))&lt;=$D$18,(IF(MAX($I$20:R20)=0,1,R20+1)),"N/A"),"N/A")</f>
        <v>10</v>
      </c>
      <c r="T20" s="5">
        <f>IFERROR(IF((IF(MAX($I$20:S20)=0,1,S20+1))&lt;=$D$18,(IF(MAX($I$20:S20)=0,1,S20+1)),"N/A"),"N/A")</f>
        <v>11</v>
      </c>
      <c r="U20" s="5">
        <f>IFERROR(IF((IF(MAX($I$20:T20)=0,1,T20+1))&lt;=$D$18,(IF(MAX($I$20:T20)=0,1,T20+1)),"N/A"),"N/A")</f>
        <v>12</v>
      </c>
      <c r="V20" s="5">
        <f>IFERROR(IF((IF(MAX($I$20:U20)=0,1,U20+1))&lt;=$D$18,(IF(MAX($I$20:U20)=0,1,U20+1)),"N/A"),"N/A")</f>
        <v>13</v>
      </c>
      <c r="W20" s="5">
        <f>IFERROR(IF((IF(MAX($I$20:V20)=0,1,V20+1))&lt;=$D$18,(IF(MAX($I$20:V20)=0,1,V20+1)),"N/A"),"N/A")</f>
        <v>14</v>
      </c>
      <c r="X20" s="5">
        <f>IFERROR(IF((IF(MAX($I$20:W20)=0,1,W20+1))&lt;=$D$18,(IF(MAX($I$20:W20)=0,1,W20+1)),"N/A"),"N/A")</f>
        <v>15</v>
      </c>
      <c r="Y20" s="5">
        <f>IFERROR(IF((IF(MAX($I$20:X20)=0,1,X20+1))&lt;=$D$18,(IF(MAX($I$20:X20)=0,1,X20+1)),"N/A"),"N/A")</f>
        <v>16</v>
      </c>
      <c r="Z20" s="5">
        <f>IFERROR(IF((IF(MAX($I$20:Y20)=0,1,Y20+1))&lt;=$D$18,(IF(MAX($I$20:Y20)=0,1,Y20+1)),"N/A"),"N/A")</f>
        <v>17</v>
      </c>
      <c r="AA20" s="5">
        <f>IFERROR(IF((IF(MAX($I$20:Z20)=0,1,Z20+1))&lt;=$D$18,(IF(MAX($I$20:Z20)=0,1,Z20+1)),"N/A"),"N/A")</f>
        <v>18</v>
      </c>
      <c r="AB20" s="5">
        <f>IFERROR(IF((IF(MAX($I$20:AA20)=0,1,AA20+1))&lt;=$D$18,(IF(MAX($I$20:AA20)=0,1,AA20+1)),"N/A"),"N/A")</f>
        <v>19</v>
      </c>
      <c r="AC20" s="5">
        <f>IFERROR(IF((IF(MAX($I$20:AB20)=0,1,AB20+1))&lt;=$D$18,(IF(MAX($I$20:AB20)=0,1,AB20+1)),"N/A"),"N/A")</f>
        <v>20</v>
      </c>
      <c r="AD20" s="5">
        <f>IFERROR(IF((IF(MAX($I$20:AC20)=0,1,AC20+1))&lt;=$D$18,(IF(MAX($I$20:AC20)=0,1,AC20+1)),"N/A"),"N/A")</f>
        <v>21</v>
      </c>
      <c r="AE20" s="5">
        <f>IFERROR(IF((IF(MAX($I$20:AD20)=0,1,AD20+1))&lt;=$D$18,(IF(MAX($I$20:AD20)=0,1,AD20+1)),"N/A"),"N/A")</f>
        <v>22</v>
      </c>
      <c r="AF20" s="5">
        <f>IFERROR(IF((IF(MAX($I$20:AE20)=0,1,AE20+1))&lt;=$D$18,(IF(MAX($I$20:AE20)=0,1,AE20+1)),"N/A"),"N/A")</f>
        <v>23</v>
      </c>
      <c r="AG20" s="5">
        <f>IFERROR(IF((IF(MAX($I$20:AF20)=0,1,AF20+1))&lt;=$D$18,(IF(MAX($I$20:AF20)=0,1,AF20+1)),"N/A"),"N/A")</f>
        <v>24</v>
      </c>
      <c r="AH20" s="5">
        <f>IFERROR(IF((IF(MAX($I$20:AG20)=0,1,AG20+1))&lt;=$D$18,(IF(MAX($I$20:AG20)=0,1,AG20+1)),"N/A"),"N/A")</f>
        <v>25</v>
      </c>
      <c r="AI20" s="5">
        <f>IFERROR(IF((IF(MAX($I$20:AH20)=0,1,AH20+1))&lt;=$D$18,(IF(MAX($I$20:AH20)=0,1,AH20+1)),"N/A"),"N/A")</f>
        <v>26</v>
      </c>
      <c r="AJ20" s="5">
        <f>IFERROR(IF((IF(MAX($I$20:AI20)=0,1,AI20+1))&lt;=$D$18,(IF(MAX($I$20:AI20)=0,1,AI20+1)),"N/A"),"N/A")</f>
        <v>27</v>
      </c>
      <c r="AK20" s="5">
        <f>IFERROR(IF((IF(MAX($I$20:AJ20)=0,1,AJ20+1))&lt;=$D$18,(IF(MAX($I$20:AJ20)=0,1,AJ20+1)),"N/A"),"N/A")</f>
        <v>28</v>
      </c>
      <c r="AL20" s="5">
        <f>IFERROR(IF((IF(MAX($I$20:AK20)=0,1,AK20+1))&lt;=$D$18,(IF(MAX($I$20:AK20)=0,1,AK20+1)),"N/A"),"N/A")</f>
        <v>29</v>
      </c>
      <c r="AM20" s="5">
        <f>IFERROR(IF((IF(MAX($I$20:AL20)=0,1,AL20+1))&lt;=$D$18,(IF(MAX($I$20:AL20)=0,1,AL20+1)),"N/A"),"N/A")</f>
        <v>30</v>
      </c>
      <c r="AN20" s="5">
        <f>IFERROR(IF((IF(MAX($I$20:AM20)=0,1,AM20+1))&lt;=$D$18,(IF(MAX($I$20:AM20)=0,1,AM20+1)),"N/A"),"N/A")</f>
        <v>31</v>
      </c>
      <c r="AO20" s="5">
        <f>IFERROR(IF((IF(MAX($I$20:AN20)=0,1,AN20+1))&lt;=$D$18,(IF(MAX($I$20:AN20)=0,1,AN20+1)),"N/A"),"N/A")</f>
        <v>32</v>
      </c>
      <c r="AP20" s="5">
        <f>IFERROR(IF((IF(MAX($I$20:AO20)=0,1,AO20+1))&lt;=$D$18,(IF(MAX($I$20:AO20)=0,1,AO20+1)),"N/A"),"N/A")</f>
        <v>33</v>
      </c>
      <c r="AQ20" s="5">
        <f>IFERROR(IF((IF(MAX($I$20:AP20)=0,1,AP20+1))&lt;=$D$18,(IF(MAX($I$20:AP20)=0,1,AP20+1)),"N/A"),"N/A")</f>
        <v>34</v>
      </c>
      <c r="AR20" s="5">
        <f>IFERROR(IF((IF(MAX($I$20:AQ20)=0,1,AQ20+1))&lt;=$D$18,(IF(MAX($I$20:AQ20)=0,1,AQ20+1)),"N/A"),"N/A")</f>
        <v>35</v>
      </c>
      <c r="AS20" s="5">
        <f>IFERROR(IF((IF(MAX($I$20:AR20)=0,1,AR20+1))&lt;=$D$18,(IF(MAX($I$20:AR20)=0,1,AR20+1)),"N/A"),"N/A")</f>
        <v>36</v>
      </c>
      <c r="AT20" s="5">
        <f>IFERROR(IF((IF(MAX($I$20:AS20)=0,1,AS20+1))&lt;=$D$18,(IF(MAX($I$20:AS20)=0,1,AS20+1)),"N/A"),"N/A")</f>
        <v>37</v>
      </c>
      <c r="AU20" s="5">
        <f>IFERROR(IF((IF(MAX($I$20:AT20)=0,1,AT20+1))&lt;=$D$18,(IF(MAX($I$20:AT20)=0,1,AT20+1)),"N/A"),"N/A")</f>
        <v>38</v>
      </c>
      <c r="AV20" s="5">
        <f>IFERROR(IF((IF(MAX($I$20:AU20)=0,1,AU20+1))&lt;=$D$18,(IF(MAX($I$20:AU20)=0,1,AU20+1)),"N/A"),"N/A")</f>
        <v>39</v>
      </c>
      <c r="AW20" s="5">
        <f>IFERROR(IF((IF(MAX($I$20:AV20)=0,1,AV20+1))&lt;=$D$18,(IF(MAX($I$20:AV20)=0,1,AV20+1)),"N/A"),"N/A")</f>
        <v>40</v>
      </c>
      <c r="AX20" s="5">
        <f>IFERROR(IF((IF(MAX($I$20:AW20)=0,1,AW20+1))&lt;=$D$18,(IF(MAX($I$20:AW20)=0,1,AW20+1)),"N/A"),"N/A")</f>
        <v>41</v>
      </c>
      <c r="AY20" s="5">
        <f>IFERROR(IF((IF(MAX($I$20:AX20)=0,1,AX20+1))&lt;=$D$18,(IF(MAX($I$20:AX20)=0,1,AX20+1)),"N/A"),"N/A")</f>
        <v>42</v>
      </c>
      <c r="AZ20" s="5">
        <f>IFERROR(IF((IF(MAX($I$20:AY20)=0,1,AY20+1))&lt;=$D$18,(IF(MAX($I$20:AY20)=0,1,AY20+1)),"N/A"),"N/A")</f>
        <v>43</v>
      </c>
      <c r="BA20" s="5">
        <f>IFERROR(IF((IF(MAX($I$20:AZ20)=0,1,AZ20+1))&lt;=$D$18,(IF(MAX($I$20:AZ20)=0,1,AZ20+1)),"N/A"),"N/A")</f>
        <v>44</v>
      </c>
      <c r="BB20" s="5">
        <f>IFERROR(IF((IF(MAX($I$20:BA20)=0,1,BA20+1))&lt;=$D$18,(IF(MAX($I$20:BA20)=0,1,BA20+1)),"N/A"),"N/A")</f>
        <v>45</v>
      </c>
      <c r="BC20" s="5">
        <f>IFERROR(IF((IF(MAX($I$20:BB20)=0,1,BB20+1))&lt;=$D$18,(IF(MAX($I$20:BB20)=0,1,BB20+1)),"N/A"),"N/A")</f>
        <v>46</v>
      </c>
      <c r="BD20" s="5">
        <f>IFERROR(IF((IF(MAX($I$20:BC20)=0,1,BC20+1))&lt;=$D$18,(IF(MAX($I$20:BC20)=0,1,BC20+1)),"N/A"),"N/A")</f>
        <v>47</v>
      </c>
      <c r="BE20" s="5">
        <f>IFERROR(IF((IF(MAX($I$20:BD20)=0,1,BD20+1))&lt;=$D$18,(IF(MAX($I$20:BD20)=0,1,BD20+1)),"N/A"),"N/A")</f>
        <v>48</v>
      </c>
      <c r="BF20" s="5">
        <f>IFERROR(IF((IF(MAX($I$20:BE20)=0,1,BE20+1))&lt;=$D$18,(IF(MAX($I$20:BE20)=0,1,BE20+1)),"N/A"),"N/A")</f>
        <v>49</v>
      </c>
      <c r="BG20" s="5">
        <f>IFERROR(IF((IF(MAX($I$20:BF20)=0,1,BF20+1))&lt;=$D$18,(IF(MAX($I$20:BF20)=0,1,BF20+1)),"N/A"),"N/A")</f>
        <v>50</v>
      </c>
      <c r="BH20" s="5">
        <f>IFERROR(IF((IF(MAX($I$20:BG20)=0,1,BG20+1))&lt;=$D$18,(IF(MAX($I$20:BG20)=0,1,BG20+1)),"N/A"),"N/A")</f>
        <v>51</v>
      </c>
      <c r="BI20" s="5">
        <f>IFERROR(IF((IF(MAX($I$20:BH20)=0,1,BH20+1))&lt;=$D$18,(IF(MAX($I$20:BH20)=0,1,BH20+1)),"N/A"),"N/A")</f>
        <v>52</v>
      </c>
      <c r="BJ20" s="5">
        <f>IFERROR(IF((IF(MAX($I$20:BI20)=0,1,BI20+1))&lt;=$D$18,(IF(MAX($I$20:BI20)=0,1,BI20+1)),"N/A"),"N/A")</f>
        <v>53</v>
      </c>
      <c r="BK20" s="5">
        <f>IFERROR(IF((IF(MAX($I$20:BJ20)=0,1,BJ20+1))&lt;=$D$18,(IF(MAX($I$20:BJ20)=0,1,BJ20+1)),"N/A"),"N/A")</f>
        <v>54</v>
      </c>
      <c r="BL20" s="5">
        <f>IFERROR(IF((IF(MAX($I$20:BK20)=0,1,BK20+1))&lt;=$D$18,(IF(MAX($I$20:BK20)=0,1,BK20+1)),"N/A"),"N/A")</f>
        <v>55</v>
      </c>
      <c r="BM20" s="5">
        <f>IFERROR(IF((IF(MAX($I$20:BL20)=0,1,BL20+1))&lt;=$D$18,(IF(MAX($I$20:BL20)=0,1,BL20+1)),"N/A"),"N/A")</f>
        <v>56</v>
      </c>
      <c r="BN20" s="5">
        <f>IFERROR(IF((IF(MAX($I$20:BM20)=0,1,BM20+1))&lt;=$D$18,(IF(MAX($I$20:BM20)=0,1,BM20+1)),"N/A"),"N/A")</f>
        <v>57</v>
      </c>
      <c r="BO20" s="5">
        <f>IFERROR(IF((IF(MAX($I$20:BN20)=0,1,BN20+1))&lt;=$D$18,(IF(MAX($I$20:BN20)=0,1,BN20+1)),"N/A"),"N/A")</f>
        <v>58</v>
      </c>
      <c r="BP20" s="5">
        <f>IFERROR(IF((IF(MAX($I$20:BO20)=0,1,BO20+1))&lt;=$D$18,(IF(MAX($I$20:BO20)=0,1,BO20+1)),"N/A"),"N/A")</f>
        <v>59</v>
      </c>
      <c r="BQ20" s="5">
        <f>IFERROR(IF((IF(MAX($I$20:BP20)=0,1,BP20+1))&lt;=$D$18,(IF(MAX($I$20:BP20)=0,1,BP20+1)),"N/A"),"N/A")</f>
        <v>60</v>
      </c>
      <c r="BR20" s="5">
        <f>IFERROR(IF((IF(MAX($I$20:BQ20)=0,1,BQ20+1))&lt;=$D$18,(IF(MAX($I$20:BQ20)=0,1,BQ20+1)),"N/A"),"N/A")</f>
        <v>61</v>
      </c>
      <c r="BS20" s="5">
        <f>IFERROR(IF((IF(MAX($I$20:BR20)=0,1,BR20+1))&lt;=$D$18,(IF(MAX($I$20:BR20)=0,1,BR20+1)),"N/A"),"N/A")</f>
        <v>62</v>
      </c>
      <c r="BT20" s="5">
        <f>IFERROR(IF((IF(MAX($I$20:BS20)=0,1,BS20+1))&lt;=$D$18,(IF(MAX($I$20:BS20)=0,1,BS20+1)),"N/A"),"N/A")</f>
        <v>63</v>
      </c>
      <c r="BU20" s="5">
        <f>IFERROR(IF((IF(MAX($I$20:BT20)=0,1,BT20+1))&lt;=$D$18,(IF(MAX($I$20:BT20)=0,1,BT20+1)),"N/A"),"N/A")</f>
        <v>64</v>
      </c>
      <c r="BV20" s="5">
        <f>IFERROR(IF((IF(MAX($I$20:BU20)=0,1,BU20+1))&lt;=$D$18,(IF(MAX($I$20:BU20)=0,1,BU20+1)),"N/A"),"N/A")</f>
        <v>65</v>
      </c>
      <c r="BW20" s="5">
        <f>IFERROR(IF((IF(MAX($I$20:BV20)=0,1,BV20+1))&lt;=$D$18,(IF(MAX($I$20:BV20)=0,1,BV20+1)),"N/A"),"N/A")</f>
        <v>66</v>
      </c>
      <c r="BX20" s="5">
        <f>IFERROR(IF((IF(MAX($I$20:BW20)=0,1,BW20+1))&lt;=$D$18,(IF(MAX($I$20:BW20)=0,1,BW20+1)),"N/A"),"N/A")</f>
        <v>67</v>
      </c>
      <c r="BY20" s="5">
        <f>IFERROR(IF((IF(MAX($I$20:BX20)=0,1,BX20+1))&lt;=$D$18,(IF(MAX($I$20:BX20)=0,1,BX20+1)),"N/A"),"N/A")</f>
        <v>68</v>
      </c>
      <c r="BZ20" s="5">
        <f>IFERROR(IF((IF(MAX($I$20:BY20)=0,1,BY20+1))&lt;=$D$18,(IF(MAX($I$20:BY20)=0,1,BY20+1)),"N/A"),"N/A")</f>
        <v>69</v>
      </c>
      <c r="CA20" s="5">
        <f>IFERROR(IF((IF(MAX($I$20:BZ20)=0,1,BZ20+1))&lt;=$D$18,(IF(MAX($I$20:BZ20)=0,1,BZ20+1)),"N/A"),"N/A")</f>
        <v>70</v>
      </c>
      <c r="CB20" s="5">
        <f>IFERROR(IF((IF(MAX($I$20:CA20)=0,1,CA20+1))&lt;=$D$18,(IF(MAX($I$20:CA20)=0,1,CA20+1)),"N/A"),"N/A")</f>
        <v>71</v>
      </c>
      <c r="CC20" s="5">
        <f>IFERROR(IF((IF(MAX($I$20:CB20)=0,1,CB20+1))&lt;=$D$18,(IF(MAX($I$20:CB20)=0,1,CB20+1)),"N/A"),"N/A")</f>
        <v>72</v>
      </c>
      <c r="CD20" s="5">
        <f>IFERROR(IF((IF(MAX($I$20:CC20)=0,1,CC20+1))&lt;=$D$18,(IF(MAX($I$20:CC20)=0,1,CC20+1)),"N/A"),"N/A")</f>
        <v>73</v>
      </c>
      <c r="CE20" s="5">
        <f>IFERROR(IF((IF(MAX($I$20:CD20)=0,1,CD20+1))&lt;=$D$18,(IF(MAX($I$20:CD20)=0,1,CD20+1)),"N/A"),"N/A")</f>
        <v>74</v>
      </c>
      <c r="CF20" s="5">
        <f>IFERROR(IF((IF(MAX($I$20:CE20)=0,1,CE20+1))&lt;=$D$18,(IF(MAX($I$20:CE20)=0,1,CE20+1)),"N/A"),"N/A")</f>
        <v>75</v>
      </c>
      <c r="CG20" s="5">
        <f>IFERROR(IF((IF(MAX($I$20:CF20)=0,1,CF20+1))&lt;=$D$18,(IF(MAX($I$20:CF20)=0,1,CF20+1)),"N/A"),"N/A")</f>
        <v>76</v>
      </c>
      <c r="CH20" s="5">
        <f>IFERROR(IF((IF(MAX($I$20:CG20)=0,1,CG20+1))&lt;=$D$18,(IF(MAX($I$20:CG20)=0,1,CG20+1)),"N/A"),"N/A")</f>
        <v>77</v>
      </c>
      <c r="CI20" s="5">
        <f>IFERROR(IF((IF(MAX($I$20:CH20)=0,1,CH20+1))&lt;=$D$18,(IF(MAX($I$20:CH20)=0,1,CH20+1)),"N/A"),"N/A")</f>
        <v>78</v>
      </c>
      <c r="CJ20" s="5">
        <f>IFERROR(IF((IF(MAX($I$20:CI20)=0,1,CI20+1))&lt;=$D$18,(IF(MAX($I$20:CI20)=0,1,CI20+1)),"N/A"),"N/A")</f>
        <v>79</v>
      </c>
      <c r="CK20" s="5">
        <f>IFERROR(IF((IF(MAX($I$20:CJ20)=0,1,CJ20+1))&lt;=$D$18,(IF(MAX($I$20:CJ20)=0,1,CJ20+1)),"N/A"),"N/A")</f>
        <v>80</v>
      </c>
      <c r="CL20" s="5">
        <f>IFERROR(IF((IF(MAX($I$20:CK20)=0,1,CK20+1))&lt;=$D$18,(IF(MAX($I$20:CK20)=0,1,CK20+1)),"N/A"),"N/A")</f>
        <v>81</v>
      </c>
      <c r="CM20" s="5">
        <f>IFERROR(IF((IF(MAX($I$20:CL20)=0,1,CL20+1))&lt;=$D$18,(IF(MAX($I$20:CL20)=0,1,CL20+1)),"N/A"),"N/A")</f>
        <v>82</v>
      </c>
      <c r="CN20" s="5">
        <f>IFERROR(IF((IF(MAX($I$20:CM20)=0,1,CM20+1))&lt;=$D$18,(IF(MAX($I$20:CM20)=0,1,CM20+1)),"N/A"),"N/A")</f>
        <v>83</v>
      </c>
      <c r="CO20" s="5">
        <f>IFERROR(IF((IF(MAX($I$20:CN20)=0,1,CN20+1))&lt;=$D$18,(IF(MAX($I$20:CN20)=0,1,CN20+1)),"N/A"),"N/A")</f>
        <v>84</v>
      </c>
      <c r="CP20" s="5">
        <f>IFERROR(IF((IF(MAX($I$20:CO20)=0,1,CO20+1))&lt;=$D$18,(IF(MAX($I$20:CO20)=0,1,CO20+1)),"N/A"),"N/A")</f>
        <v>85</v>
      </c>
      <c r="CQ20" s="5">
        <f>IFERROR(IF((IF(MAX($I$20:CP20)=0,1,CP20+1))&lt;=$D$18,(IF(MAX($I$20:CP20)=0,1,CP20+1)),"N/A"),"N/A")</f>
        <v>86</v>
      </c>
      <c r="CR20" s="5">
        <f>IFERROR(IF((IF(MAX($I$20:CQ20)=0,1,CQ20+1))&lt;=$D$18,(IF(MAX($I$20:CQ20)=0,1,CQ20+1)),"N/A"),"N/A")</f>
        <v>87</v>
      </c>
      <c r="CS20" s="5">
        <f>IFERROR(IF((IF(MAX($I$20:CR20)=0,1,CR20+1))&lt;=$D$18,(IF(MAX($I$20:CR20)=0,1,CR20+1)),"N/A"),"N/A")</f>
        <v>88</v>
      </c>
      <c r="CT20" s="5">
        <f>IFERROR(IF((IF(MAX($I$20:CS20)=0,1,CS20+1))&lt;=$D$18,(IF(MAX($I$20:CS20)=0,1,CS20+1)),"N/A"),"N/A")</f>
        <v>89</v>
      </c>
      <c r="CU20" s="5">
        <f>IFERROR(IF((IF(MAX($I$20:CT20)=0,1,CT20+1))&lt;=$D$18,(IF(MAX($I$20:CT20)=0,1,CT20+1)),"N/A"),"N/A")</f>
        <v>90</v>
      </c>
      <c r="CV20" s="5">
        <f>IFERROR(IF((IF(MAX($I$20:CU20)=0,1,CU20+1))&lt;=$D$18,(IF(MAX($I$20:CU20)=0,1,CU20+1)),"N/A"),"N/A")</f>
        <v>91</v>
      </c>
      <c r="CW20" s="5">
        <f>IFERROR(IF((IF(MAX($I$20:CV20)=0,1,CV20+1))&lt;=$D$18,(IF(MAX($I$20:CV20)=0,1,CV20+1)),"N/A"),"N/A")</f>
        <v>92</v>
      </c>
      <c r="CX20" s="5">
        <f>IFERROR(IF((IF(MAX($I$20:CW20)=0,1,CW20+1))&lt;=$D$18,(IF(MAX($I$20:CW20)=0,1,CW20+1)),"N/A"),"N/A")</f>
        <v>93</v>
      </c>
      <c r="CY20" s="5">
        <f>IFERROR(IF((IF(MAX($I$20:CX20)=0,1,CX20+1))&lt;=$D$18,(IF(MAX($I$20:CX20)=0,1,CX20+1)),"N/A"),"N/A")</f>
        <v>94</v>
      </c>
      <c r="CZ20" s="5">
        <f>IFERROR(IF((IF(MAX($I$20:CY20)=0,1,CY20+1))&lt;=$D$18,(IF(MAX($I$20:CY20)=0,1,CY20+1)),"N/A"),"N/A")</f>
        <v>95</v>
      </c>
      <c r="DA20" s="5">
        <f>IFERROR(IF((IF(MAX($I$20:CZ20)=0,1,CZ20+1))&lt;=$D$18,(IF(MAX($I$20:CZ20)=0,1,CZ20+1)),"N/A"),"N/A")</f>
        <v>96</v>
      </c>
      <c r="DB20" s="5">
        <f>IFERROR(IF((IF(MAX($I$20:DA20)=0,1,DA20+1))&lt;=$D$18,(IF(MAX($I$20:DA20)=0,1,DA20+1)),"N/A"),"N/A")</f>
        <v>97</v>
      </c>
      <c r="DC20" s="5">
        <f>IFERROR(IF((IF(MAX($I$20:DB20)=0,1,DB20+1))&lt;=$D$18,(IF(MAX($I$20:DB20)=0,1,DB20+1)),"N/A"),"N/A")</f>
        <v>98</v>
      </c>
      <c r="DD20" s="5">
        <f>IFERROR(IF((IF(MAX($I$20:DC20)=0,1,DC20+1))&lt;=$D$18,(IF(MAX($I$20:DC20)=0,1,DC20+1)),"N/A"),"N/A")</f>
        <v>99</v>
      </c>
      <c r="DE20" s="5">
        <f>IFERROR(IF((IF(MAX($I$20:DD20)=0,1,DD20+1))&lt;=$D$18,(IF(MAX($I$20:DD20)=0,1,DD20+1)),"N/A"),"N/A")</f>
        <v>100</v>
      </c>
      <c r="DF20" s="5">
        <f>IFERROR(IF((IF(MAX($I$20:DE20)=0,1,DE20+1))&lt;=$D$18,(IF(MAX($I$20:DE20)=0,1,DE20+1)),"N/A"),"N/A")</f>
        <v>101</v>
      </c>
      <c r="DG20" s="5">
        <f>IFERROR(IF((IF(MAX($I$20:DF20)=0,1,DF20+1))&lt;=$D$18,(IF(MAX($I$20:DF20)=0,1,DF20+1)),"N/A"),"N/A")</f>
        <v>102</v>
      </c>
      <c r="DH20" s="5">
        <f>IFERROR(IF((IF(MAX($I$20:DG20)=0,1,DG20+1))&lt;=$D$18,(IF(MAX($I$20:DG20)=0,1,DG20+1)),"N/A"),"N/A")</f>
        <v>103</v>
      </c>
      <c r="DI20" s="5">
        <f>IFERROR(IF((IF(MAX($I$20:DH20)=0,1,DH20+1))&lt;=$D$18,(IF(MAX($I$20:DH20)=0,1,DH20+1)),"N/A"),"N/A")</f>
        <v>104</v>
      </c>
      <c r="DJ20" s="5">
        <f>IFERROR(IF((IF(MAX($I$20:DI20)=0,1,DI20+1))&lt;=$D$18,(IF(MAX($I$20:DI20)=0,1,DI20+1)),"N/A"),"N/A")</f>
        <v>105</v>
      </c>
      <c r="DK20" s="5">
        <f>IFERROR(IF((IF(MAX($I$20:DJ20)=0,1,DJ20+1))&lt;=$D$18,(IF(MAX($I$20:DJ20)=0,1,DJ20+1)),"N/A"),"N/A")</f>
        <v>106</v>
      </c>
      <c r="DL20" s="5">
        <f>IFERROR(IF((IF(MAX($I$20:DK20)=0,1,DK20+1))&lt;=$D$18,(IF(MAX($I$20:DK20)=0,1,DK20+1)),"N/A"),"N/A")</f>
        <v>107</v>
      </c>
      <c r="DM20" s="5">
        <f>IFERROR(IF((IF(MAX($I$20:DL20)=0,1,DL20+1))&lt;=$D$18,(IF(MAX($I$20:DL20)=0,1,DL20+1)),"N/A"),"N/A")</f>
        <v>108</v>
      </c>
      <c r="DN20" s="5">
        <f>IFERROR(IF((IF(MAX($I$20:DM20)=0,1,DM20+1))&lt;=$D$18,(IF(MAX($I$20:DM20)=0,1,DM20+1)),"N/A"),"N/A")</f>
        <v>109</v>
      </c>
      <c r="DO20" s="5">
        <f>IFERROR(IF((IF(MAX($I$20:DN20)=0,1,DN20+1))&lt;=$D$18,(IF(MAX($I$20:DN20)=0,1,DN20+1)),"N/A"),"N/A")</f>
        <v>110</v>
      </c>
      <c r="DP20" s="5">
        <f>IFERROR(IF((IF(MAX($I$20:DO20)=0,1,DO20+1))&lt;=$D$18,(IF(MAX($I$20:DO20)=0,1,DO20+1)),"N/A"),"N/A")</f>
        <v>111</v>
      </c>
      <c r="DQ20" s="5">
        <f>IFERROR(IF((IF(MAX($I$20:DP20)=0,1,DP20+1))&lt;=$D$18,(IF(MAX($I$20:DP20)=0,1,DP20+1)),"N/A"),"N/A")</f>
        <v>112</v>
      </c>
      <c r="DR20" s="5">
        <f>IFERROR(IF((IF(MAX($I$20:DQ20)=0,1,DQ20+1))&lt;=$D$18,(IF(MAX($I$20:DQ20)=0,1,DQ20+1)),"N/A"),"N/A")</f>
        <v>113</v>
      </c>
      <c r="DS20" s="5">
        <f>IFERROR(IF((IF(MAX($I$20:DR20)=0,1,DR20+1))&lt;=$D$18,(IF(MAX($I$20:DR20)=0,1,DR20+1)),"N/A"),"N/A")</f>
        <v>114</v>
      </c>
      <c r="DT20" s="5">
        <f>IFERROR(IF((IF(MAX($I$20:DS20)=0,1,DS20+1))&lt;=$D$18,(IF(MAX($I$20:DS20)=0,1,DS20+1)),"N/A"),"N/A")</f>
        <v>115</v>
      </c>
      <c r="DU20" s="5">
        <f>IFERROR(IF((IF(MAX($I$20:DT20)=0,1,DT20+1))&lt;=$D$18,(IF(MAX($I$20:DT20)=0,1,DT20+1)),"N/A"),"N/A")</f>
        <v>116</v>
      </c>
      <c r="DV20" s="5">
        <f>IFERROR(IF((IF(MAX($I$20:DU20)=0,1,DU20+1))&lt;=$D$18,(IF(MAX($I$20:DU20)=0,1,DU20+1)),"N/A"),"N/A")</f>
        <v>117</v>
      </c>
      <c r="DW20" s="5">
        <f>IFERROR(IF((IF(MAX($I$20:DV20)=0,1,DV20+1))&lt;=$D$18,(IF(MAX($I$20:DV20)=0,1,DV20+1)),"N/A"),"N/A")</f>
        <v>118</v>
      </c>
      <c r="DX20" s="5">
        <f>IFERROR(IF((IF(MAX($I$20:DW20)=0,1,DW20+1))&lt;=$D$18,(IF(MAX($I$20:DW20)=0,1,DW20+1)),"N/A"),"N/A")</f>
        <v>119</v>
      </c>
      <c r="DY20" s="5">
        <f>IFERROR(IF((IF(MAX($I$20:DX20)=0,1,DX20+1))&lt;=$D$18,(IF(MAX($I$20:DX20)=0,1,DX20+1)),"N/A"),"N/A")</f>
        <v>120</v>
      </c>
      <c r="DZ20" s="5"/>
      <c r="EA20" s="5"/>
    </row>
    <row r="21" spans="1:131" ht="15.6">
      <c r="A21" s="304"/>
      <c r="B21" s="305"/>
      <c r="C21" s="304" t="s">
        <v>49</v>
      </c>
      <c r="D21" s="304"/>
      <c r="E21" s="306" t="s">
        <v>50</v>
      </c>
      <c r="F21" s="306"/>
      <c r="G21" s="306"/>
      <c r="I21" s="304"/>
      <c r="J21" s="307">
        <f>IF(J20="N/A","N/A",(IF(I21=0,$D$13,I21+1)))</f>
        <v>44927</v>
      </c>
      <c r="K21" s="307">
        <f>+J22+1</f>
        <v>44958</v>
      </c>
      <c r="L21" s="307">
        <f t="shared" ref="L21:AL21" si="6">+K22+1</f>
        <v>44986</v>
      </c>
      <c r="M21" s="307">
        <f t="shared" si="6"/>
        <v>45017</v>
      </c>
      <c r="N21" s="307">
        <f t="shared" si="6"/>
        <v>45047</v>
      </c>
      <c r="O21" s="307">
        <f t="shared" si="6"/>
        <v>45078</v>
      </c>
      <c r="P21" s="307">
        <f t="shared" si="6"/>
        <v>45108</v>
      </c>
      <c r="Q21" s="307">
        <f t="shared" si="6"/>
        <v>45139</v>
      </c>
      <c r="R21" s="307">
        <f t="shared" si="6"/>
        <v>45170</v>
      </c>
      <c r="S21" s="307">
        <f t="shared" si="6"/>
        <v>45200</v>
      </c>
      <c r="T21" s="307">
        <f t="shared" si="6"/>
        <v>45231</v>
      </c>
      <c r="U21" s="307">
        <f t="shared" si="6"/>
        <v>45261</v>
      </c>
      <c r="V21" s="307">
        <f t="shared" si="6"/>
        <v>45292</v>
      </c>
      <c r="W21" s="307">
        <f t="shared" si="6"/>
        <v>45323</v>
      </c>
      <c r="X21" s="307">
        <f t="shared" si="6"/>
        <v>45352</v>
      </c>
      <c r="Y21" s="307">
        <f t="shared" si="6"/>
        <v>45383</v>
      </c>
      <c r="Z21" s="307">
        <f t="shared" si="6"/>
        <v>45413</v>
      </c>
      <c r="AA21" s="307">
        <f t="shared" si="6"/>
        <v>45444</v>
      </c>
      <c r="AB21" s="307">
        <f t="shared" si="6"/>
        <v>45474</v>
      </c>
      <c r="AC21" s="307">
        <f t="shared" si="6"/>
        <v>45505</v>
      </c>
      <c r="AD21" s="307">
        <f t="shared" si="6"/>
        <v>45536</v>
      </c>
      <c r="AE21" s="307">
        <f t="shared" si="6"/>
        <v>45566</v>
      </c>
      <c r="AF21" s="307">
        <f t="shared" si="6"/>
        <v>45597</v>
      </c>
      <c r="AG21" s="307">
        <f t="shared" si="6"/>
        <v>45627</v>
      </c>
      <c r="AH21" s="307">
        <f t="shared" si="6"/>
        <v>45658</v>
      </c>
      <c r="AI21" s="307">
        <f t="shared" si="6"/>
        <v>45689</v>
      </c>
      <c r="AJ21" s="307">
        <f t="shared" si="6"/>
        <v>45717</v>
      </c>
      <c r="AK21" s="307">
        <f t="shared" si="6"/>
        <v>45748</v>
      </c>
      <c r="AL21" s="307">
        <f t="shared" si="6"/>
        <v>45778</v>
      </c>
      <c r="AM21" s="307">
        <f t="shared" ref="AM21:CC21" si="7">+AL22+1</f>
        <v>45809</v>
      </c>
      <c r="AN21" s="307">
        <f t="shared" si="7"/>
        <v>45839</v>
      </c>
      <c r="AO21" s="307">
        <f t="shared" si="7"/>
        <v>45870</v>
      </c>
      <c r="AP21" s="307">
        <f t="shared" si="7"/>
        <v>45901</v>
      </c>
      <c r="AQ21" s="307">
        <f t="shared" si="7"/>
        <v>45931</v>
      </c>
      <c r="AR21" s="307">
        <f t="shared" si="7"/>
        <v>45962</v>
      </c>
      <c r="AS21" s="307">
        <f t="shared" si="7"/>
        <v>45992</v>
      </c>
      <c r="AT21" s="307">
        <f t="shared" si="7"/>
        <v>46023</v>
      </c>
      <c r="AU21" s="307">
        <f t="shared" si="7"/>
        <v>46054</v>
      </c>
      <c r="AV21" s="307">
        <f t="shared" si="7"/>
        <v>46082</v>
      </c>
      <c r="AW21" s="307">
        <f t="shared" si="7"/>
        <v>46113</v>
      </c>
      <c r="AX21" s="307">
        <f t="shared" si="7"/>
        <v>46143</v>
      </c>
      <c r="AY21" s="307">
        <f t="shared" si="7"/>
        <v>46174</v>
      </c>
      <c r="AZ21" s="307">
        <f t="shared" si="7"/>
        <v>46204</v>
      </c>
      <c r="BA21" s="307">
        <f t="shared" si="7"/>
        <v>46235</v>
      </c>
      <c r="BB21" s="307">
        <f t="shared" si="7"/>
        <v>46266</v>
      </c>
      <c r="BC21" s="307">
        <f t="shared" si="7"/>
        <v>46296</v>
      </c>
      <c r="BD21" s="307">
        <f t="shared" si="7"/>
        <v>46327</v>
      </c>
      <c r="BE21" s="307">
        <f t="shared" si="7"/>
        <v>46357</v>
      </c>
      <c r="BF21" s="307">
        <f t="shared" si="7"/>
        <v>46388</v>
      </c>
      <c r="BG21" s="307">
        <f t="shared" si="7"/>
        <v>46419</v>
      </c>
      <c r="BH21" s="307">
        <f t="shared" si="7"/>
        <v>46447</v>
      </c>
      <c r="BI21" s="307">
        <f t="shared" si="7"/>
        <v>46478</v>
      </c>
      <c r="BJ21" s="307">
        <f t="shared" si="7"/>
        <v>46508</v>
      </c>
      <c r="BK21" s="307">
        <f t="shared" si="7"/>
        <v>46539</v>
      </c>
      <c r="BL21" s="307">
        <f t="shared" si="7"/>
        <v>46569</v>
      </c>
      <c r="BM21" s="307">
        <f t="shared" si="7"/>
        <v>46600</v>
      </c>
      <c r="BN21" s="307">
        <f t="shared" si="7"/>
        <v>46631</v>
      </c>
      <c r="BO21" s="307">
        <f t="shared" si="7"/>
        <v>46661</v>
      </c>
      <c r="BP21" s="307">
        <f t="shared" si="7"/>
        <v>46692</v>
      </c>
      <c r="BQ21" s="307">
        <f>+BP22+1</f>
        <v>46722</v>
      </c>
      <c r="BR21" s="307">
        <f>+BQ22+1</f>
        <v>46753</v>
      </c>
      <c r="BS21" s="307">
        <f t="shared" si="7"/>
        <v>46784</v>
      </c>
      <c r="BT21" s="307">
        <f t="shared" si="7"/>
        <v>46813</v>
      </c>
      <c r="BU21" s="307">
        <f t="shared" si="7"/>
        <v>46844</v>
      </c>
      <c r="BV21" s="307">
        <f t="shared" si="7"/>
        <v>46874</v>
      </c>
      <c r="BW21" s="307">
        <f t="shared" si="7"/>
        <v>46905</v>
      </c>
      <c r="BX21" s="307">
        <f t="shared" si="7"/>
        <v>46935</v>
      </c>
      <c r="BY21" s="307">
        <f t="shared" si="7"/>
        <v>46966</v>
      </c>
      <c r="BZ21" s="307">
        <f t="shared" si="7"/>
        <v>46997</v>
      </c>
      <c r="CA21" s="307">
        <f t="shared" si="7"/>
        <v>47027</v>
      </c>
      <c r="CB21" s="307">
        <f t="shared" si="7"/>
        <v>47058</v>
      </c>
      <c r="CC21" s="307">
        <f t="shared" si="7"/>
        <v>47088</v>
      </c>
      <c r="CD21" s="307">
        <f t="shared" ref="CD21:DY21" si="8">+CC22+1</f>
        <v>47119</v>
      </c>
      <c r="CE21" s="307">
        <f t="shared" si="8"/>
        <v>47150</v>
      </c>
      <c r="CF21" s="307">
        <f t="shared" si="8"/>
        <v>47178</v>
      </c>
      <c r="CG21" s="307">
        <f t="shared" si="8"/>
        <v>47209</v>
      </c>
      <c r="CH21" s="307">
        <f t="shared" si="8"/>
        <v>47239</v>
      </c>
      <c r="CI21" s="307">
        <f t="shared" si="8"/>
        <v>47270</v>
      </c>
      <c r="CJ21" s="307">
        <f t="shared" si="8"/>
        <v>47300</v>
      </c>
      <c r="CK21" s="307">
        <f t="shared" si="8"/>
        <v>47331</v>
      </c>
      <c r="CL21" s="307">
        <f t="shared" si="8"/>
        <v>47362</v>
      </c>
      <c r="CM21" s="307">
        <f t="shared" si="8"/>
        <v>47392</v>
      </c>
      <c r="CN21" s="307">
        <f t="shared" si="8"/>
        <v>47423</v>
      </c>
      <c r="CO21" s="307">
        <f t="shared" si="8"/>
        <v>47453</v>
      </c>
      <c r="CP21" s="307">
        <f t="shared" si="8"/>
        <v>47484</v>
      </c>
      <c r="CQ21" s="307">
        <f t="shared" si="8"/>
        <v>47515</v>
      </c>
      <c r="CR21" s="307">
        <f t="shared" si="8"/>
        <v>47543</v>
      </c>
      <c r="CS21" s="307">
        <f t="shared" si="8"/>
        <v>47574</v>
      </c>
      <c r="CT21" s="307">
        <f t="shared" si="8"/>
        <v>47604</v>
      </c>
      <c r="CU21" s="307">
        <f t="shared" si="8"/>
        <v>47635</v>
      </c>
      <c r="CV21" s="307">
        <f t="shared" si="8"/>
        <v>47665</v>
      </c>
      <c r="CW21" s="307">
        <f t="shared" si="8"/>
        <v>47696</v>
      </c>
      <c r="CX21" s="307">
        <f t="shared" si="8"/>
        <v>47727</v>
      </c>
      <c r="CY21" s="307">
        <f t="shared" si="8"/>
        <v>47757</v>
      </c>
      <c r="CZ21" s="307">
        <f t="shared" si="8"/>
        <v>47788</v>
      </c>
      <c r="DA21" s="307">
        <f t="shared" si="8"/>
        <v>47818</v>
      </c>
      <c r="DB21" s="307">
        <f t="shared" si="8"/>
        <v>47849</v>
      </c>
      <c r="DC21" s="307">
        <f t="shared" si="8"/>
        <v>47880</v>
      </c>
      <c r="DD21" s="307">
        <f t="shared" si="8"/>
        <v>47908</v>
      </c>
      <c r="DE21" s="307">
        <f t="shared" si="8"/>
        <v>47939</v>
      </c>
      <c r="DF21" s="307">
        <f t="shared" si="8"/>
        <v>47969</v>
      </c>
      <c r="DG21" s="307">
        <f t="shared" si="8"/>
        <v>48000</v>
      </c>
      <c r="DH21" s="307">
        <f t="shared" si="8"/>
        <v>48030</v>
      </c>
      <c r="DI21" s="307">
        <f t="shared" si="8"/>
        <v>48061</v>
      </c>
      <c r="DJ21" s="307">
        <f t="shared" si="8"/>
        <v>48092</v>
      </c>
      <c r="DK21" s="307">
        <f t="shared" si="8"/>
        <v>48122</v>
      </c>
      <c r="DL21" s="307">
        <f t="shared" si="8"/>
        <v>48153</v>
      </c>
      <c r="DM21" s="307">
        <f t="shared" si="8"/>
        <v>48183</v>
      </c>
      <c r="DN21" s="307">
        <f t="shared" si="8"/>
        <v>48214</v>
      </c>
      <c r="DO21" s="307">
        <f t="shared" si="8"/>
        <v>48245</v>
      </c>
      <c r="DP21" s="307">
        <f t="shared" si="8"/>
        <v>48274</v>
      </c>
      <c r="DQ21" s="307">
        <f t="shared" si="8"/>
        <v>48305</v>
      </c>
      <c r="DR21" s="307">
        <f t="shared" si="8"/>
        <v>48335</v>
      </c>
      <c r="DS21" s="307">
        <f t="shared" si="8"/>
        <v>48366</v>
      </c>
      <c r="DT21" s="307">
        <f t="shared" si="8"/>
        <v>48396</v>
      </c>
      <c r="DU21" s="307">
        <f t="shared" si="8"/>
        <v>48427</v>
      </c>
      <c r="DV21" s="307">
        <f t="shared" si="8"/>
        <v>48458</v>
      </c>
      <c r="DW21" s="307">
        <f t="shared" si="8"/>
        <v>48488</v>
      </c>
      <c r="DX21" s="307">
        <f t="shared" si="8"/>
        <v>48519</v>
      </c>
      <c r="DY21" s="307">
        <f t="shared" si="8"/>
        <v>48549</v>
      </c>
      <c r="DZ21" s="307"/>
      <c r="EA21" s="307"/>
    </row>
    <row r="22" spans="1:131" ht="15.6">
      <c r="A22" s="304"/>
      <c r="B22" s="305"/>
      <c r="C22" s="304" t="s">
        <v>51</v>
      </c>
      <c r="D22" s="304"/>
      <c r="E22" s="306" t="s">
        <v>50</v>
      </c>
      <c r="F22" s="306"/>
      <c r="G22" s="306"/>
      <c r="I22" s="304"/>
      <c r="J22" s="307">
        <f>IF(J20="N/A","N/A",EOMONTH(J21,0))</f>
        <v>44957</v>
      </c>
      <c r="K22" s="307">
        <f>IF(K20="N/A","N/A",EOMONTH(K21,0))</f>
        <v>44985</v>
      </c>
      <c r="L22" s="307">
        <f>IF(L20="N/A","N/A",EOMONTH(L21,0))</f>
        <v>45016</v>
      </c>
      <c r="M22" s="307">
        <f t="shared" ref="M22:AL22" si="9">IF(M20="N/A","N/A",EOMONTH(M21,0))</f>
        <v>45046</v>
      </c>
      <c r="N22" s="307">
        <f t="shared" si="9"/>
        <v>45077</v>
      </c>
      <c r="O22" s="307">
        <f t="shared" si="9"/>
        <v>45107</v>
      </c>
      <c r="P22" s="307">
        <f t="shared" si="9"/>
        <v>45138</v>
      </c>
      <c r="Q22" s="307">
        <f t="shared" si="9"/>
        <v>45169</v>
      </c>
      <c r="R22" s="307">
        <f t="shared" si="9"/>
        <v>45199</v>
      </c>
      <c r="S22" s="307">
        <f t="shared" si="9"/>
        <v>45230</v>
      </c>
      <c r="T22" s="307">
        <f t="shared" si="9"/>
        <v>45260</v>
      </c>
      <c r="U22" s="307">
        <f t="shared" si="9"/>
        <v>45291</v>
      </c>
      <c r="V22" s="307">
        <f t="shared" si="9"/>
        <v>45322</v>
      </c>
      <c r="W22" s="307">
        <f t="shared" si="9"/>
        <v>45351</v>
      </c>
      <c r="X22" s="307">
        <f t="shared" si="9"/>
        <v>45382</v>
      </c>
      <c r="Y22" s="307">
        <f t="shared" si="9"/>
        <v>45412</v>
      </c>
      <c r="Z22" s="307">
        <f t="shared" si="9"/>
        <v>45443</v>
      </c>
      <c r="AA22" s="307">
        <f t="shared" si="9"/>
        <v>45473</v>
      </c>
      <c r="AB22" s="307">
        <f t="shared" si="9"/>
        <v>45504</v>
      </c>
      <c r="AC22" s="307">
        <f t="shared" si="9"/>
        <v>45535</v>
      </c>
      <c r="AD22" s="307">
        <f t="shared" si="9"/>
        <v>45565</v>
      </c>
      <c r="AE22" s="307">
        <f t="shared" si="9"/>
        <v>45596</v>
      </c>
      <c r="AF22" s="307">
        <f t="shared" si="9"/>
        <v>45626</v>
      </c>
      <c r="AG22" s="307">
        <f t="shared" si="9"/>
        <v>45657</v>
      </c>
      <c r="AH22" s="307">
        <f t="shared" si="9"/>
        <v>45688</v>
      </c>
      <c r="AI22" s="307">
        <f t="shared" si="9"/>
        <v>45716</v>
      </c>
      <c r="AJ22" s="307">
        <f t="shared" si="9"/>
        <v>45747</v>
      </c>
      <c r="AK22" s="307">
        <f t="shared" si="9"/>
        <v>45777</v>
      </c>
      <c r="AL22" s="307">
        <f t="shared" si="9"/>
        <v>45808</v>
      </c>
      <c r="AM22" s="307">
        <f t="shared" ref="AM22:AS22" si="10">IF(AM20="N/A","N/A",EOMONTH(AM21,0))</f>
        <v>45838</v>
      </c>
      <c r="AN22" s="307">
        <f t="shared" si="10"/>
        <v>45869</v>
      </c>
      <c r="AO22" s="307">
        <f t="shared" si="10"/>
        <v>45900</v>
      </c>
      <c r="AP22" s="307">
        <f t="shared" si="10"/>
        <v>45930</v>
      </c>
      <c r="AQ22" s="307">
        <f t="shared" si="10"/>
        <v>45961</v>
      </c>
      <c r="AR22" s="307">
        <f t="shared" si="10"/>
        <v>45991</v>
      </c>
      <c r="AS22" s="307">
        <f t="shared" si="10"/>
        <v>46022</v>
      </c>
      <c r="AT22" s="307">
        <f t="shared" ref="AT22:CC22" si="11">IF(AT20="N/A","N/A",EOMONTH(AT21,0))</f>
        <v>46053</v>
      </c>
      <c r="AU22" s="307">
        <f t="shared" si="11"/>
        <v>46081</v>
      </c>
      <c r="AV22" s="307">
        <f t="shared" si="11"/>
        <v>46112</v>
      </c>
      <c r="AW22" s="307">
        <f t="shared" si="11"/>
        <v>46142</v>
      </c>
      <c r="AX22" s="307">
        <f t="shared" si="11"/>
        <v>46173</v>
      </c>
      <c r="AY22" s="307">
        <f t="shared" si="11"/>
        <v>46203</v>
      </c>
      <c r="AZ22" s="307">
        <f t="shared" si="11"/>
        <v>46234</v>
      </c>
      <c r="BA22" s="307">
        <f t="shared" si="11"/>
        <v>46265</v>
      </c>
      <c r="BB22" s="307">
        <f t="shared" si="11"/>
        <v>46295</v>
      </c>
      <c r="BC22" s="307">
        <f t="shared" si="11"/>
        <v>46326</v>
      </c>
      <c r="BD22" s="307">
        <f t="shared" si="11"/>
        <v>46356</v>
      </c>
      <c r="BE22" s="307">
        <f t="shared" si="11"/>
        <v>46387</v>
      </c>
      <c r="BF22" s="307">
        <f t="shared" si="11"/>
        <v>46418</v>
      </c>
      <c r="BG22" s="307">
        <f t="shared" si="11"/>
        <v>46446</v>
      </c>
      <c r="BH22" s="307">
        <f t="shared" si="11"/>
        <v>46477</v>
      </c>
      <c r="BI22" s="307">
        <f t="shared" si="11"/>
        <v>46507</v>
      </c>
      <c r="BJ22" s="307">
        <f t="shared" si="11"/>
        <v>46538</v>
      </c>
      <c r="BK22" s="307">
        <f t="shared" si="11"/>
        <v>46568</v>
      </c>
      <c r="BL22" s="307">
        <f t="shared" si="11"/>
        <v>46599</v>
      </c>
      <c r="BM22" s="307">
        <f t="shared" si="11"/>
        <v>46630</v>
      </c>
      <c r="BN22" s="307">
        <f t="shared" si="11"/>
        <v>46660</v>
      </c>
      <c r="BO22" s="307">
        <f t="shared" si="11"/>
        <v>46691</v>
      </c>
      <c r="BP22" s="307">
        <f t="shared" si="11"/>
        <v>46721</v>
      </c>
      <c r="BQ22" s="307">
        <f>IF(BQ20="N/A","N/A",EOMONTH(BQ21,0))</f>
        <v>46752</v>
      </c>
      <c r="BR22" s="307">
        <f t="shared" si="11"/>
        <v>46783</v>
      </c>
      <c r="BS22" s="307">
        <f t="shared" si="11"/>
        <v>46812</v>
      </c>
      <c r="BT22" s="307">
        <f t="shared" si="11"/>
        <v>46843</v>
      </c>
      <c r="BU22" s="307">
        <f t="shared" si="11"/>
        <v>46873</v>
      </c>
      <c r="BV22" s="307">
        <f t="shared" si="11"/>
        <v>46904</v>
      </c>
      <c r="BW22" s="307">
        <f t="shared" si="11"/>
        <v>46934</v>
      </c>
      <c r="BX22" s="307">
        <f t="shared" si="11"/>
        <v>46965</v>
      </c>
      <c r="BY22" s="307">
        <f t="shared" si="11"/>
        <v>46996</v>
      </c>
      <c r="BZ22" s="307">
        <f t="shared" si="11"/>
        <v>47026</v>
      </c>
      <c r="CA22" s="307">
        <f t="shared" si="11"/>
        <v>47057</v>
      </c>
      <c r="CB22" s="307">
        <f t="shared" si="11"/>
        <v>47087</v>
      </c>
      <c r="CC22" s="307">
        <f t="shared" si="11"/>
        <v>47118</v>
      </c>
      <c r="CD22" s="307">
        <f t="shared" ref="CD22:DG22" si="12">IF(CD20="N/A","N/A",EOMONTH(CD21,0))</f>
        <v>47149</v>
      </c>
      <c r="CE22" s="307">
        <f t="shared" si="12"/>
        <v>47177</v>
      </c>
      <c r="CF22" s="307">
        <f t="shared" si="12"/>
        <v>47208</v>
      </c>
      <c r="CG22" s="307">
        <f t="shared" si="12"/>
        <v>47238</v>
      </c>
      <c r="CH22" s="307">
        <f t="shared" si="12"/>
        <v>47269</v>
      </c>
      <c r="CI22" s="307">
        <f t="shared" si="12"/>
        <v>47299</v>
      </c>
      <c r="CJ22" s="307">
        <f t="shared" si="12"/>
        <v>47330</v>
      </c>
      <c r="CK22" s="307">
        <f t="shared" si="12"/>
        <v>47361</v>
      </c>
      <c r="CL22" s="307">
        <f t="shared" si="12"/>
        <v>47391</v>
      </c>
      <c r="CM22" s="307">
        <f t="shared" si="12"/>
        <v>47422</v>
      </c>
      <c r="CN22" s="307">
        <f t="shared" si="12"/>
        <v>47452</v>
      </c>
      <c r="CO22" s="307">
        <f t="shared" si="12"/>
        <v>47483</v>
      </c>
      <c r="CP22" s="307">
        <f t="shared" si="12"/>
        <v>47514</v>
      </c>
      <c r="CQ22" s="307">
        <f t="shared" si="12"/>
        <v>47542</v>
      </c>
      <c r="CR22" s="307">
        <f t="shared" si="12"/>
        <v>47573</v>
      </c>
      <c r="CS22" s="307">
        <f t="shared" si="12"/>
        <v>47603</v>
      </c>
      <c r="CT22" s="307">
        <f t="shared" si="12"/>
        <v>47634</v>
      </c>
      <c r="CU22" s="307">
        <f t="shared" si="12"/>
        <v>47664</v>
      </c>
      <c r="CV22" s="307">
        <f t="shared" si="12"/>
        <v>47695</v>
      </c>
      <c r="CW22" s="307">
        <f t="shared" si="12"/>
        <v>47726</v>
      </c>
      <c r="CX22" s="307">
        <f t="shared" si="12"/>
        <v>47756</v>
      </c>
      <c r="CY22" s="307">
        <f t="shared" si="12"/>
        <v>47787</v>
      </c>
      <c r="CZ22" s="307">
        <f t="shared" si="12"/>
        <v>47817</v>
      </c>
      <c r="DA22" s="307">
        <f t="shared" si="12"/>
        <v>47848</v>
      </c>
      <c r="DB22" s="307">
        <f t="shared" si="12"/>
        <v>47879</v>
      </c>
      <c r="DC22" s="307">
        <f t="shared" si="12"/>
        <v>47907</v>
      </c>
      <c r="DD22" s="307">
        <f t="shared" si="12"/>
        <v>47938</v>
      </c>
      <c r="DE22" s="307">
        <f t="shared" si="12"/>
        <v>47968</v>
      </c>
      <c r="DF22" s="307">
        <f t="shared" si="12"/>
        <v>47999</v>
      </c>
      <c r="DG22" s="307">
        <f t="shared" si="12"/>
        <v>48029</v>
      </c>
      <c r="DH22" s="307">
        <f t="shared" ref="DH22:DQ22" si="13">IF(DH20="N/A","N/A",EOMONTH(DH21,0))</f>
        <v>48060</v>
      </c>
      <c r="DI22" s="307">
        <f t="shared" si="13"/>
        <v>48091</v>
      </c>
      <c r="DJ22" s="307">
        <f t="shared" si="13"/>
        <v>48121</v>
      </c>
      <c r="DK22" s="307">
        <f t="shared" si="13"/>
        <v>48152</v>
      </c>
      <c r="DL22" s="307">
        <f t="shared" si="13"/>
        <v>48182</v>
      </c>
      <c r="DM22" s="307">
        <f t="shared" si="13"/>
        <v>48213</v>
      </c>
      <c r="DN22" s="307">
        <f t="shared" si="13"/>
        <v>48244</v>
      </c>
      <c r="DO22" s="307">
        <f t="shared" si="13"/>
        <v>48273</v>
      </c>
      <c r="DP22" s="307">
        <f t="shared" si="13"/>
        <v>48304</v>
      </c>
      <c r="DQ22" s="307">
        <f t="shared" si="13"/>
        <v>48334</v>
      </c>
      <c r="DR22" s="307">
        <f t="shared" ref="DR22:DY22" si="14">IF(DR20="N/A","N/A",EOMONTH(DR21,0))</f>
        <v>48365</v>
      </c>
      <c r="DS22" s="307">
        <f t="shared" si="14"/>
        <v>48395</v>
      </c>
      <c r="DT22" s="307">
        <f t="shared" si="14"/>
        <v>48426</v>
      </c>
      <c r="DU22" s="307">
        <f t="shared" si="14"/>
        <v>48457</v>
      </c>
      <c r="DV22" s="307">
        <f t="shared" si="14"/>
        <v>48487</v>
      </c>
      <c r="DW22" s="307">
        <f t="shared" si="14"/>
        <v>48518</v>
      </c>
      <c r="DX22" s="307">
        <f t="shared" si="14"/>
        <v>48548</v>
      </c>
      <c r="DY22" s="307">
        <f t="shared" si="14"/>
        <v>48579</v>
      </c>
      <c r="DZ22" s="307"/>
      <c r="EA22" s="307"/>
    </row>
    <row r="23" spans="1:131" ht="15.6">
      <c r="A23" s="304"/>
      <c r="B23" s="305"/>
      <c r="C23" s="304" t="s">
        <v>52</v>
      </c>
      <c r="D23" s="304"/>
      <c r="E23" s="304" t="s">
        <v>53</v>
      </c>
      <c r="F23" s="304"/>
      <c r="G23" s="304"/>
      <c r="I23" s="304"/>
      <c r="J23" s="5">
        <f>YEAR(J22)</f>
        <v>2023</v>
      </c>
      <c r="K23" s="5">
        <f t="shared" ref="K23:AL23" si="15">YEAR(K22)</f>
        <v>2023</v>
      </c>
      <c r="L23" s="5">
        <f t="shared" si="15"/>
        <v>2023</v>
      </c>
      <c r="M23" s="5">
        <f t="shared" si="15"/>
        <v>2023</v>
      </c>
      <c r="N23" s="5">
        <f t="shared" si="15"/>
        <v>2023</v>
      </c>
      <c r="O23" s="5">
        <f t="shared" si="15"/>
        <v>2023</v>
      </c>
      <c r="P23" s="5">
        <f t="shared" si="15"/>
        <v>2023</v>
      </c>
      <c r="Q23" s="5">
        <f t="shared" si="15"/>
        <v>2023</v>
      </c>
      <c r="R23" s="5">
        <f t="shared" si="15"/>
        <v>2023</v>
      </c>
      <c r="S23" s="5">
        <f t="shared" si="15"/>
        <v>2023</v>
      </c>
      <c r="T23" s="5">
        <f t="shared" si="15"/>
        <v>2023</v>
      </c>
      <c r="U23" s="5">
        <f t="shared" si="15"/>
        <v>2023</v>
      </c>
      <c r="V23" s="5">
        <f t="shared" si="15"/>
        <v>2024</v>
      </c>
      <c r="W23" s="5">
        <f t="shared" si="15"/>
        <v>2024</v>
      </c>
      <c r="X23" s="5">
        <f t="shared" si="15"/>
        <v>2024</v>
      </c>
      <c r="Y23" s="5">
        <f t="shared" si="15"/>
        <v>2024</v>
      </c>
      <c r="Z23" s="5">
        <f t="shared" si="15"/>
        <v>2024</v>
      </c>
      <c r="AA23" s="5">
        <f t="shared" si="15"/>
        <v>2024</v>
      </c>
      <c r="AB23" s="5">
        <f t="shared" si="15"/>
        <v>2024</v>
      </c>
      <c r="AC23" s="5">
        <f t="shared" si="15"/>
        <v>2024</v>
      </c>
      <c r="AD23" s="5">
        <f t="shared" si="15"/>
        <v>2024</v>
      </c>
      <c r="AE23" s="5">
        <f t="shared" si="15"/>
        <v>2024</v>
      </c>
      <c r="AF23" s="5">
        <f t="shared" si="15"/>
        <v>2024</v>
      </c>
      <c r="AG23" s="5">
        <f t="shared" si="15"/>
        <v>2024</v>
      </c>
      <c r="AH23" s="5">
        <f t="shared" si="15"/>
        <v>2025</v>
      </c>
      <c r="AI23" s="5">
        <f t="shared" si="15"/>
        <v>2025</v>
      </c>
      <c r="AJ23" s="5">
        <f t="shared" si="15"/>
        <v>2025</v>
      </c>
      <c r="AK23" s="5">
        <f t="shared" si="15"/>
        <v>2025</v>
      </c>
      <c r="AL23" s="5">
        <f t="shared" si="15"/>
        <v>2025</v>
      </c>
      <c r="AM23" s="5">
        <f t="shared" ref="AM23:AS23" si="16">YEAR(AM22)</f>
        <v>2025</v>
      </c>
      <c r="AN23" s="5">
        <f t="shared" si="16"/>
        <v>2025</v>
      </c>
      <c r="AO23" s="5">
        <f t="shared" si="16"/>
        <v>2025</v>
      </c>
      <c r="AP23" s="5">
        <f t="shared" si="16"/>
        <v>2025</v>
      </c>
      <c r="AQ23" s="5">
        <f t="shared" si="16"/>
        <v>2025</v>
      </c>
      <c r="AR23" s="5">
        <f t="shared" si="16"/>
        <v>2025</v>
      </c>
      <c r="AS23" s="5">
        <f t="shared" si="16"/>
        <v>2025</v>
      </c>
      <c r="AT23" s="5">
        <f t="shared" ref="AT23:CC23" si="17">YEAR(AT22)</f>
        <v>2026</v>
      </c>
      <c r="AU23" s="5">
        <f t="shared" si="17"/>
        <v>2026</v>
      </c>
      <c r="AV23" s="5">
        <f t="shared" si="17"/>
        <v>2026</v>
      </c>
      <c r="AW23" s="5">
        <f t="shared" si="17"/>
        <v>2026</v>
      </c>
      <c r="AX23" s="5">
        <f t="shared" si="17"/>
        <v>2026</v>
      </c>
      <c r="AY23" s="5">
        <f t="shared" si="17"/>
        <v>2026</v>
      </c>
      <c r="AZ23" s="5">
        <f t="shared" si="17"/>
        <v>2026</v>
      </c>
      <c r="BA23" s="5">
        <f t="shared" si="17"/>
        <v>2026</v>
      </c>
      <c r="BB23" s="5">
        <f t="shared" si="17"/>
        <v>2026</v>
      </c>
      <c r="BC23" s="5">
        <f t="shared" si="17"/>
        <v>2026</v>
      </c>
      <c r="BD23" s="5">
        <f t="shared" si="17"/>
        <v>2026</v>
      </c>
      <c r="BE23" s="5">
        <f t="shared" si="17"/>
        <v>2026</v>
      </c>
      <c r="BF23" s="5">
        <f t="shared" si="17"/>
        <v>2027</v>
      </c>
      <c r="BG23" s="5">
        <f t="shared" si="17"/>
        <v>2027</v>
      </c>
      <c r="BH23" s="5">
        <f t="shared" si="17"/>
        <v>2027</v>
      </c>
      <c r="BI23" s="5">
        <f t="shared" si="17"/>
        <v>2027</v>
      </c>
      <c r="BJ23" s="5">
        <f t="shared" si="17"/>
        <v>2027</v>
      </c>
      <c r="BK23" s="5">
        <f t="shared" si="17"/>
        <v>2027</v>
      </c>
      <c r="BL23" s="5">
        <f t="shared" si="17"/>
        <v>2027</v>
      </c>
      <c r="BM23" s="5">
        <f t="shared" si="17"/>
        <v>2027</v>
      </c>
      <c r="BN23" s="5">
        <f t="shared" si="17"/>
        <v>2027</v>
      </c>
      <c r="BO23" s="5">
        <f t="shared" si="17"/>
        <v>2027</v>
      </c>
      <c r="BP23" s="5">
        <f t="shared" si="17"/>
        <v>2027</v>
      </c>
      <c r="BQ23" s="5">
        <f t="shared" si="17"/>
        <v>2027</v>
      </c>
      <c r="BR23" s="5">
        <f t="shared" si="17"/>
        <v>2028</v>
      </c>
      <c r="BS23" s="5">
        <f t="shared" si="17"/>
        <v>2028</v>
      </c>
      <c r="BT23" s="5">
        <f t="shared" si="17"/>
        <v>2028</v>
      </c>
      <c r="BU23" s="5">
        <f t="shared" si="17"/>
        <v>2028</v>
      </c>
      <c r="BV23" s="5">
        <f t="shared" si="17"/>
        <v>2028</v>
      </c>
      <c r="BW23" s="5">
        <f t="shared" si="17"/>
        <v>2028</v>
      </c>
      <c r="BX23" s="5">
        <f t="shared" si="17"/>
        <v>2028</v>
      </c>
      <c r="BY23" s="5">
        <f t="shared" si="17"/>
        <v>2028</v>
      </c>
      <c r="BZ23" s="5">
        <f t="shared" si="17"/>
        <v>2028</v>
      </c>
      <c r="CA23" s="5">
        <f t="shared" si="17"/>
        <v>2028</v>
      </c>
      <c r="CB23" s="5">
        <f t="shared" si="17"/>
        <v>2028</v>
      </c>
      <c r="CC23" s="5">
        <f t="shared" si="17"/>
        <v>2028</v>
      </c>
      <c r="CD23" s="5">
        <f t="shared" ref="CD23:DG23" si="18">YEAR(CD22)</f>
        <v>2029</v>
      </c>
      <c r="CE23" s="5">
        <f t="shared" si="18"/>
        <v>2029</v>
      </c>
      <c r="CF23" s="5">
        <f t="shared" si="18"/>
        <v>2029</v>
      </c>
      <c r="CG23" s="5">
        <f t="shared" si="18"/>
        <v>2029</v>
      </c>
      <c r="CH23" s="5">
        <f t="shared" si="18"/>
        <v>2029</v>
      </c>
      <c r="CI23" s="5">
        <f t="shared" si="18"/>
        <v>2029</v>
      </c>
      <c r="CJ23" s="5">
        <f t="shared" si="18"/>
        <v>2029</v>
      </c>
      <c r="CK23" s="5">
        <f t="shared" si="18"/>
        <v>2029</v>
      </c>
      <c r="CL23" s="5">
        <f t="shared" si="18"/>
        <v>2029</v>
      </c>
      <c r="CM23" s="5">
        <f t="shared" si="18"/>
        <v>2029</v>
      </c>
      <c r="CN23" s="5">
        <f t="shared" si="18"/>
        <v>2029</v>
      </c>
      <c r="CO23" s="5">
        <f t="shared" si="18"/>
        <v>2029</v>
      </c>
      <c r="CP23" s="5">
        <f t="shared" si="18"/>
        <v>2030</v>
      </c>
      <c r="CQ23" s="5">
        <f t="shared" si="18"/>
        <v>2030</v>
      </c>
      <c r="CR23" s="5">
        <f t="shared" si="18"/>
        <v>2030</v>
      </c>
      <c r="CS23" s="5">
        <f t="shared" si="18"/>
        <v>2030</v>
      </c>
      <c r="CT23" s="5">
        <f t="shared" si="18"/>
        <v>2030</v>
      </c>
      <c r="CU23" s="5">
        <f t="shared" si="18"/>
        <v>2030</v>
      </c>
      <c r="CV23" s="5">
        <f t="shared" si="18"/>
        <v>2030</v>
      </c>
      <c r="CW23" s="5">
        <f t="shared" si="18"/>
        <v>2030</v>
      </c>
      <c r="CX23" s="5">
        <f t="shared" si="18"/>
        <v>2030</v>
      </c>
      <c r="CY23" s="5">
        <f t="shared" si="18"/>
        <v>2030</v>
      </c>
      <c r="CZ23" s="5">
        <f t="shared" si="18"/>
        <v>2030</v>
      </c>
      <c r="DA23" s="5">
        <f t="shared" si="18"/>
        <v>2030</v>
      </c>
      <c r="DB23" s="5">
        <f t="shared" si="18"/>
        <v>2031</v>
      </c>
      <c r="DC23" s="5">
        <f t="shared" si="18"/>
        <v>2031</v>
      </c>
      <c r="DD23" s="5">
        <f t="shared" si="18"/>
        <v>2031</v>
      </c>
      <c r="DE23" s="5">
        <f t="shared" si="18"/>
        <v>2031</v>
      </c>
      <c r="DF23" s="5">
        <f t="shared" si="18"/>
        <v>2031</v>
      </c>
      <c r="DG23" s="5">
        <f t="shared" si="18"/>
        <v>2031</v>
      </c>
      <c r="DH23" s="5">
        <f t="shared" ref="DH23:DQ23" si="19">YEAR(DH22)</f>
        <v>2031</v>
      </c>
      <c r="DI23" s="5">
        <f t="shared" si="19"/>
        <v>2031</v>
      </c>
      <c r="DJ23" s="5">
        <f t="shared" si="19"/>
        <v>2031</v>
      </c>
      <c r="DK23" s="5">
        <f t="shared" si="19"/>
        <v>2031</v>
      </c>
      <c r="DL23" s="5">
        <f t="shared" si="19"/>
        <v>2031</v>
      </c>
      <c r="DM23" s="5">
        <f t="shared" si="19"/>
        <v>2031</v>
      </c>
      <c r="DN23" s="5">
        <f t="shared" si="19"/>
        <v>2032</v>
      </c>
      <c r="DO23" s="5">
        <f t="shared" si="19"/>
        <v>2032</v>
      </c>
      <c r="DP23" s="5">
        <f t="shared" si="19"/>
        <v>2032</v>
      </c>
      <c r="DQ23" s="5">
        <f t="shared" si="19"/>
        <v>2032</v>
      </c>
      <c r="DR23" s="5">
        <f t="shared" ref="DR23:DY23" si="20">YEAR(DR22)</f>
        <v>2032</v>
      </c>
      <c r="DS23" s="5">
        <f t="shared" si="20"/>
        <v>2032</v>
      </c>
      <c r="DT23" s="5">
        <f t="shared" si="20"/>
        <v>2032</v>
      </c>
      <c r="DU23" s="5">
        <f t="shared" si="20"/>
        <v>2032</v>
      </c>
      <c r="DV23" s="5">
        <f t="shared" si="20"/>
        <v>2032</v>
      </c>
      <c r="DW23" s="5">
        <f t="shared" si="20"/>
        <v>2032</v>
      </c>
      <c r="DX23" s="5">
        <f t="shared" si="20"/>
        <v>2032</v>
      </c>
      <c r="DY23" s="5">
        <f t="shared" si="20"/>
        <v>2032</v>
      </c>
      <c r="DZ23" s="5"/>
      <c r="EA23" s="5"/>
    </row>
    <row r="24" spans="1:131" ht="15.6">
      <c r="A24" s="304"/>
      <c r="B24" s="305"/>
      <c r="C24" s="304" t="s">
        <v>54</v>
      </c>
      <c r="D24" s="304"/>
      <c r="E24" s="304" t="s">
        <v>55</v>
      </c>
      <c r="F24" s="304"/>
      <c r="G24" s="304"/>
      <c r="I24" s="304"/>
      <c r="J24" s="5">
        <f>J22-J21+1</f>
        <v>31</v>
      </c>
      <c r="K24" s="5">
        <f t="shared" ref="K24:AL24" si="21">K22-K21+1</f>
        <v>28</v>
      </c>
      <c r="L24" s="5">
        <f t="shared" si="21"/>
        <v>31</v>
      </c>
      <c r="M24" s="5">
        <f t="shared" si="21"/>
        <v>30</v>
      </c>
      <c r="N24" s="5">
        <f t="shared" si="21"/>
        <v>31</v>
      </c>
      <c r="O24" s="5">
        <f t="shared" si="21"/>
        <v>30</v>
      </c>
      <c r="P24" s="5">
        <f t="shared" si="21"/>
        <v>31</v>
      </c>
      <c r="Q24" s="5">
        <f t="shared" si="21"/>
        <v>31</v>
      </c>
      <c r="R24" s="5">
        <f t="shared" si="21"/>
        <v>30</v>
      </c>
      <c r="S24" s="5">
        <f t="shared" si="21"/>
        <v>31</v>
      </c>
      <c r="T24" s="5">
        <f t="shared" si="21"/>
        <v>30</v>
      </c>
      <c r="U24" s="5">
        <f t="shared" si="21"/>
        <v>31</v>
      </c>
      <c r="V24" s="5">
        <f t="shared" si="21"/>
        <v>31</v>
      </c>
      <c r="W24" s="5">
        <f t="shared" si="21"/>
        <v>29</v>
      </c>
      <c r="X24" s="5">
        <f t="shared" si="21"/>
        <v>31</v>
      </c>
      <c r="Y24" s="5">
        <f t="shared" si="21"/>
        <v>30</v>
      </c>
      <c r="Z24" s="5">
        <f t="shared" si="21"/>
        <v>31</v>
      </c>
      <c r="AA24" s="5">
        <f t="shared" si="21"/>
        <v>30</v>
      </c>
      <c r="AB24" s="5">
        <f t="shared" si="21"/>
        <v>31</v>
      </c>
      <c r="AC24" s="5">
        <f t="shared" si="21"/>
        <v>31</v>
      </c>
      <c r="AD24" s="5">
        <f t="shared" si="21"/>
        <v>30</v>
      </c>
      <c r="AE24" s="5">
        <f t="shared" si="21"/>
        <v>31</v>
      </c>
      <c r="AF24" s="5">
        <f t="shared" si="21"/>
        <v>30</v>
      </c>
      <c r="AG24" s="5">
        <f t="shared" si="21"/>
        <v>31</v>
      </c>
      <c r="AH24" s="5">
        <f t="shared" si="21"/>
        <v>31</v>
      </c>
      <c r="AI24" s="5">
        <f t="shared" si="21"/>
        <v>28</v>
      </c>
      <c r="AJ24" s="5">
        <f t="shared" si="21"/>
        <v>31</v>
      </c>
      <c r="AK24" s="5">
        <f t="shared" si="21"/>
        <v>30</v>
      </c>
      <c r="AL24" s="5">
        <f t="shared" si="21"/>
        <v>31</v>
      </c>
      <c r="AM24" s="5">
        <f t="shared" ref="AM24:AS24" si="22">AM22-AM21+1</f>
        <v>30</v>
      </c>
      <c r="AN24" s="5">
        <f t="shared" si="22"/>
        <v>31</v>
      </c>
      <c r="AO24" s="5">
        <f t="shared" si="22"/>
        <v>31</v>
      </c>
      <c r="AP24" s="5">
        <f t="shared" si="22"/>
        <v>30</v>
      </c>
      <c r="AQ24" s="5">
        <f t="shared" si="22"/>
        <v>31</v>
      </c>
      <c r="AR24" s="5">
        <f t="shared" si="22"/>
        <v>30</v>
      </c>
      <c r="AS24" s="5">
        <f t="shared" si="22"/>
        <v>31</v>
      </c>
      <c r="AT24" s="5">
        <f t="shared" ref="AT24:CC24" si="23">AT22-AT21+1</f>
        <v>31</v>
      </c>
      <c r="AU24" s="5">
        <f t="shared" si="23"/>
        <v>28</v>
      </c>
      <c r="AV24" s="5">
        <f t="shared" si="23"/>
        <v>31</v>
      </c>
      <c r="AW24" s="5">
        <f t="shared" si="23"/>
        <v>30</v>
      </c>
      <c r="AX24" s="5">
        <f t="shared" si="23"/>
        <v>31</v>
      </c>
      <c r="AY24" s="5">
        <f t="shared" si="23"/>
        <v>30</v>
      </c>
      <c r="AZ24" s="5">
        <f t="shared" si="23"/>
        <v>31</v>
      </c>
      <c r="BA24" s="5">
        <f t="shared" si="23"/>
        <v>31</v>
      </c>
      <c r="BB24" s="5">
        <f t="shared" si="23"/>
        <v>30</v>
      </c>
      <c r="BC24" s="5">
        <f t="shared" si="23"/>
        <v>31</v>
      </c>
      <c r="BD24" s="5">
        <f t="shared" si="23"/>
        <v>30</v>
      </c>
      <c r="BE24" s="5">
        <f t="shared" si="23"/>
        <v>31</v>
      </c>
      <c r="BF24" s="5">
        <f t="shared" si="23"/>
        <v>31</v>
      </c>
      <c r="BG24" s="5">
        <f t="shared" si="23"/>
        <v>28</v>
      </c>
      <c r="BH24" s="5">
        <f t="shared" si="23"/>
        <v>31</v>
      </c>
      <c r="BI24" s="5">
        <f t="shared" si="23"/>
        <v>30</v>
      </c>
      <c r="BJ24" s="5">
        <f t="shared" si="23"/>
        <v>31</v>
      </c>
      <c r="BK24" s="5">
        <f t="shared" si="23"/>
        <v>30</v>
      </c>
      <c r="BL24" s="5">
        <f t="shared" si="23"/>
        <v>31</v>
      </c>
      <c r="BM24" s="5">
        <f t="shared" si="23"/>
        <v>31</v>
      </c>
      <c r="BN24" s="5">
        <f t="shared" si="23"/>
        <v>30</v>
      </c>
      <c r="BO24" s="5">
        <f t="shared" si="23"/>
        <v>31</v>
      </c>
      <c r="BP24" s="5">
        <f t="shared" si="23"/>
        <v>30</v>
      </c>
      <c r="BQ24" s="5">
        <f t="shared" si="23"/>
        <v>31</v>
      </c>
      <c r="BR24" s="5">
        <f t="shared" si="23"/>
        <v>31</v>
      </c>
      <c r="BS24" s="5">
        <f t="shared" si="23"/>
        <v>29</v>
      </c>
      <c r="BT24" s="5">
        <f t="shared" si="23"/>
        <v>31</v>
      </c>
      <c r="BU24" s="5">
        <f t="shared" si="23"/>
        <v>30</v>
      </c>
      <c r="BV24" s="5">
        <f t="shared" si="23"/>
        <v>31</v>
      </c>
      <c r="BW24" s="5">
        <f t="shared" si="23"/>
        <v>30</v>
      </c>
      <c r="BX24" s="5">
        <f t="shared" si="23"/>
        <v>31</v>
      </c>
      <c r="BY24" s="5">
        <f t="shared" si="23"/>
        <v>31</v>
      </c>
      <c r="BZ24" s="5">
        <f t="shared" si="23"/>
        <v>30</v>
      </c>
      <c r="CA24" s="5">
        <f t="shared" si="23"/>
        <v>31</v>
      </c>
      <c r="CB24" s="5">
        <f t="shared" si="23"/>
        <v>30</v>
      </c>
      <c r="CC24" s="5">
        <f t="shared" si="23"/>
        <v>31</v>
      </c>
      <c r="CD24" s="5">
        <f t="shared" ref="CD24:DG24" si="24">CD22-CD21+1</f>
        <v>31</v>
      </c>
      <c r="CE24" s="5">
        <f t="shared" si="24"/>
        <v>28</v>
      </c>
      <c r="CF24" s="5">
        <f t="shared" si="24"/>
        <v>31</v>
      </c>
      <c r="CG24" s="5">
        <f t="shared" si="24"/>
        <v>30</v>
      </c>
      <c r="CH24" s="5">
        <f t="shared" si="24"/>
        <v>31</v>
      </c>
      <c r="CI24" s="5">
        <f t="shared" si="24"/>
        <v>30</v>
      </c>
      <c r="CJ24" s="5">
        <f t="shared" si="24"/>
        <v>31</v>
      </c>
      <c r="CK24" s="5">
        <f t="shared" si="24"/>
        <v>31</v>
      </c>
      <c r="CL24" s="5">
        <f t="shared" si="24"/>
        <v>30</v>
      </c>
      <c r="CM24" s="5">
        <f t="shared" si="24"/>
        <v>31</v>
      </c>
      <c r="CN24" s="5">
        <f t="shared" si="24"/>
        <v>30</v>
      </c>
      <c r="CO24" s="5">
        <f t="shared" si="24"/>
        <v>31</v>
      </c>
      <c r="CP24" s="5">
        <f t="shared" si="24"/>
        <v>31</v>
      </c>
      <c r="CQ24" s="5">
        <f t="shared" si="24"/>
        <v>28</v>
      </c>
      <c r="CR24" s="5">
        <f t="shared" si="24"/>
        <v>31</v>
      </c>
      <c r="CS24" s="5">
        <f t="shared" si="24"/>
        <v>30</v>
      </c>
      <c r="CT24" s="5">
        <f t="shared" si="24"/>
        <v>31</v>
      </c>
      <c r="CU24" s="5">
        <f t="shared" si="24"/>
        <v>30</v>
      </c>
      <c r="CV24" s="5">
        <f t="shared" si="24"/>
        <v>31</v>
      </c>
      <c r="CW24" s="5">
        <f t="shared" si="24"/>
        <v>31</v>
      </c>
      <c r="CX24" s="5">
        <f t="shared" si="24"/>
        <v>30</v>
      </c>
      <c r="CY24" s="5">
        <f t="shared" si="24"/>
        <v>31</v>
      </c>
      <c r="CZ24" s="5">
        <f t="shared" si="24"/>
        <v>30</v>
      </c>
      <c r="DA24" s="5">
        <f t="shared" si="24"/>
        <v>31</v>
      </c>
      <c r="DB24" s="5">
        <f t="shared" si="24"/>
        <v>31</v>
      </c>
      <c r="DC24" s="5">
        <f t="shared" si="24"/>
        <v>28</v>
      </c>
      <c r="DD24" s="5">
        <f t="shared" si="24"/>
        <v>31</v>
      </c>
      <c r="DE24" s="5">
        <f t="shared" si="24"/>
        <v>30</v>
      </c>
      <c r="DF24" s="5">
        <f t="shared" si="24"/>
        <v>31</v>
      </c>
      <c r="DG24" s="5">
        <f t="shared" si="24"/>
        <v>30</v>
      </c>
      <c r="DH24" s="5">
        <f t="shared" ref="DH24:DQ24" si="25">DH22-DH21+1</f>
        <v>31</v>
      </c>
      <c r="DI24" s="5">
        <f t="shared" si="25"/>
        <v>31</v>
      </c>
      <c r="DJ24" s="5">
        <f t="shared" si="25"/>
        <v>30</v>
      </c>
      <c r="DK24" s="5">
        <f t="shared" si="25"/>
        <v>31</v>
      </c>
      <c r="DL24" s="5">
        <f t="shared" si="25"/>
        <v>30</v>
      </c>
      <c r="DM24" s="5">
        <f t="shared" si="25"/>
        <v>31</v>
      </c>
      <c r="DN24" s="5">
        <f t="shared" si="25"/>
        <v>31</v>
      </c>
      <c r="DO24" s="5">
        <f t="shared" si="25"/>
        <v>29</v>
      </c>
      <c r="DP24" s="5">
        <f t="shared" si="25"/>
        <v>31</v>
      </c>
      <c r="DQ24" s="5">
        <f t="shared" si="25"/>
        <v>30</v>
      </c>
      <c r="DR24" s="5">
        <f t="shared" ref="DR24:DY24" si="26">DR22-DR21+1</f>
        <v>31</v>
      </c>
      <c r="DS24" s="5">
        <f t="shared" si="26"/>
        <v>30</v>
      </c>
      <c r="DT24" s="5">
        <f t="shared" si="26"/>
        <v>31</v>
      </c>
      <c r="DU24" s="5">
        <f t="shared" si="26"/>
        <v>31</v>
      </c>
      <c r="DV24" s="5">
        <f t="shared" si="26"/>
        <v>30</v>
      </c>
      <c r="DW24" s="5">
        <f t="shared" si="26"/>
        <v>31</v>
      </c>
      <c r="DX24" s="5">
        <f t="shared" si="26"/>
        <v>30</v>
      </c>
      <c r="DY24" s="5">
        <f t="shared" si="26"/>
        <v>31</v>
      </c>
      <c r="DZ24" s="5"/>
      <c r="EA24" s="5"/>
    </row>
    <row r="25" spans="1:131" ht="15.6">
      <c r="A25" s="304"/>
      <c r="B25" s="305"/>
      <c r="C25" s="304"/>
      <c r="D25" s="304"/>
      <c r="E25" s="304"/>
      <c r="F25" s="304"/>
      <c r="G25" s="304"/>
      <c r="I25" s="304"/>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row>
    <row r="27" spans="1:131">
      <c r="E27" s="293" t="s">
        <v>50</v>
      </c>
      <c r="J27" s="293">
        <f>J21</f>
        <v>44927</v>
      </c>
      <c r="K27" s="293">
        <f t="shared" ref="K27:BV27" si="27">K21</f>
        <v>44958</v>
      </c>
      <c r="L27" s="293">
        <f t="shared" si="27"/>
        <v>44986</v>
      </c>
      <c r="M27" s="293">
        <f t="shared" si="27"/>
        <v>45017</v>
      </c>
      <c r="N27" s="293">
        <f t="shared" si="27"/>
        <v>45047</v>
      </c>
      <c r="O27" s="293">
        <f t="shared" si="27"/>
        <v>45078</v>
      </c>
      <c r="P27" s="293">
        <f t="shared" si="27"/>
        <v>45108</v>
      </c>
      <c r="Q27" s="293">
        <f t="shared" si="27"/>
        <v>45139</v>
      </c>
      <c r="R27" s="293">
        <f t="shared" si="27"/>
        <v>45170</v>
      </c>
      <c r="S27" s="293">
        <f t="shared" si="27"/>
        <v>45200</v>
      </c>
      <c r="T27" s="293">
        <f t="shared" si="27"/>
        <v>45231</v>
      </c>
      <c r="U27" s="293">
        <f t="shared" si="27"/>
        <v>45261</v>
      </c>
      <c r="V27" s="293">
        <f t="shared" si="27"/>
        <v>45292</v>
      </c>
      <c r="W27" s="293">
        <f t="shared" si="27"/>
        <v>45323</v>
      </c>
      <c r="X27" s="293">
        <f t="shared" si="27"/>
        <v>45352</v>
      </c>
      <c r="Y27" s="293">
        <f t="shared" si="27"/>
        <v>45383</v>
      </c>
      <c r="Z27" s="293">
        <f t="shared" si="27"/>
        <v>45413</v>
      </c>
      <c r="AA27" s="293">
        <f t="shared" si="27"/>
        <v>45444</v>
      </c>
      <c r="AB27" s="293">
        <f t="shared" si="27"/>
        <v>45474</v>
      </c>
      <c r="AC27" s="293">
        <f t="shared" si="27"/>
        <v>45505</v>
      </c>
      <c r="AD27" s="293">
        <f t="shared" si="27"/>
        <v>45536</v>
      </c>
      <c r="AE27" s="293">
        <f t="shared" si="27"/>
        <v>45566</v>
      </c>
      <c r="AF27" s="293">
        <f t="shared" si="27"/>
        <v>45597</v>
      </c>
      <c r="AG27" s="293">
        <f t="shared" si="27"/>
        <v>45627</v>
      </c>
      <c r="AH27" s="293">
        <f t="shared" si="27"/>
        <v>45658</v>
      </c>
      <c r="AI27" s="293">
        <f t="shared" si="27"/>
        <v>45689</v>
      </c>
      <c r="AJ27" s="293">
        <f t="shared" si="27"/>
        <v>45717</v>
      </c>
      <c r="AK27" s="293">
        <f t="shared" si="27"/>
        <v>45748</v>
      </c>
      <c r="AL27" s="293">
        <f t="shared" si="27"/>
        <v>45778</v>
      </c>
      <c r="AM27" s="293">
        <f t="shared" si="27"/>
        <v>45809</v>
      </c>
      <c r="AN27" s="293">
        <f t="shared" si="27"/>
        <v>45839</v>
      </c>
      <c r="AO27" s="293">
        <f t="shared" si="27"/>
        <v>45870</v>
      </c>
      <c r="AP27" s="293">
        <f t="shared" si="27"/>
        <v>45901</v>
      </c>
      <c r="AQ27" s="293">
        <f t="shared" si="27"/>
        <v>45931</v>
      </c>
      <c r="AR27" s="293">
        <f t="shared" si="27"/>
        <v>45962</v>
      </c>
      <c r="AS27" s="293">
        <f t="shared" si="27"/>
        <v>45992</v>
      </c>
      <c r="AT27" s="293">
        <f t="shared" si="27"/>
        <v>46023</v>
      </c>
      <c r="AU27" s="293">
        <f t="shared" si="27"/>
        <v>46054</v>
      </c>
      <c r="AV27" s="293">
        <f t="shared" si="27"/>
        <v>46082</v>
      </c>
      <c r="AW27" s="293">
        <f t="shared" si="27"/>
        <v>46113</v>
      </c>
      <c r="AX27" s="293">
        <f t="shared" si="27"/>
        <v>46143</v>
      </c>
      <c r="AY27" s="293">
        <f t="shared" si="27"/>
        <v>46174</v>
      </c>
      <c r="AZ27" s="293">
        <f t="shared" si="27"/>
        <v>46204</v>
      </c>
      <c r="BA27" s="293">
        <f t="shared" si="27"/>
        <v>46235</v>
      </c>
      <c r="BB27" s="293">
        <f t="shared" si="27"/>
        <v>46266</v>
      </c>
      <c r="BC27" s="293">
        <f t="shared" si="27"/>
        <v>46296</v>
      </c>
      <c r="BD27" s="293">
        <f t="shared" si="27"/>
        <v>46327</v>
      </c>
      <c r="BE27" s="293">
        <f t="shared" si="27"/>
        <v>46357</v>
      </c>
      <c r="BF27" s="293">
        <f t="shared" si="27"/>
        <v>46388</v>
      </c>
      <c r="BG27" s="293">
        <f t="shared" si="27"/>
        <v>46419</v>
      </c>
      <c r="BH27" s="293">
        <f t="shared" si="27"/>
        <v>46447</v>
      </c>
      <c r="BI27" s="293">
        <f t="shared" si="27"/>
        <v>46478</v>
      </c>
      <c r="BJ27" s="293">
        <f t="shared" si="27"/>
        <v>46508</v>
      </c>
      <c r="BK27" s="293">
        <f t="shared" si="27"/>
        <v>46539</v>
      </c>
      <c r="BL27" s="293">
        <f t="shared" si="27"/>
        <v>46569</v>
      </c>
      <c r="BM27" s="293">
        <f t="shared" si="27"/>
        <v>46600</v>
      </c>
      <c r="BN27" s="293">
        <f t="shared" si="27"/>
        <v>46631</v>
      </c>
      <c r="BO27" s="293">
        <f t="shared" si="27"/>
        <v>46661</v>
      </c>
      <c r="BP27" s="293">
        <f t="shared" si="27"/>
        <v>46692</v>
      </c>
      <c r="BQ27" s="293">
        <f t="shared" si="27"/>
        <v>46722</v>
      </c>
      <c r="BR27" s="293">
        <f t="shared" si="27"/>
        <v>46753</v>
      </c>
      <c r="BS27" s="293">
        <f t="shared" si="27"/>
        <v>46784</v>
      </c>
      <c r="BT27" s="293">
        <f t="shared" si="27"/>
        <v>46813</v>
      </c>
      <c r="BU27" s="293">
        <f t="shared" si="27"/>
        <v>46844</v>
      </c>
      <c r="BV27" s="293">
        <f t="shared" si="27"/>
        <v>46874</v>
      </c>
      <c r="BW27" s="293">
        <f t="shared" ref="BW27:CC27" si="28">BW21</f>
        <v>46905</v>
      </c>
      <c r="BX27" s="293">
        <f t="shared" si="28"/>
        <v>46935</v>
      </c>
      <c r="BY27" s="293">
        <f t="shared" si="28"/>
        <v>46966</v>
      </c>
      <c r="BZ27" s="293">
        <f t="shared" si="28"/>
        <v>46997</v>
      </c>
      <c r="CA27" s="293">
        <f t="shared" si="28"/>
        <v>47027</v>
      </c>
      <c r="CB27" s="293">
        <f t="shared" si="28"/>
        <v>47058</v>
      </c>
      <c r="CC27" s="293">
        <f t="shared" si="28"/>
        <v>47088</v>
      </c>
      <c r="CD27" s="293">
        <f t="shared" ref="CD27:DY27" si="29">CD21</f>
        <v>47119</v>
      </c>
      <c r="CE27" s="293">
        <f t="shared" si="29"/>
        <v>47150</v>
      </c>
      <c r="CF27" s="293">
        <f t="shared" si="29"/>
        <v>47178</v>
      </c>
      <c r="CG27" s="293">
        <f t="shared" si="29"/>
        <v>47209</v>
      </c>
      <c r="CH27" s="293">
        <f t="shared" si="29"/>
        <v>47239</v>
      </c>
      <c r="CI27" s="293">
        <f t="shared" si="29"/>
        <v>47270</v>
      </c>
      <c r="CJ27" s="293">
        <f t="shared" si="29"/>
        <v>47300</v>
      </c>
      <c r="CK27" s="293">
        <f t="shared" si="29"/>
        <v>47331</v>
      </c>
      <c r="CL27" s="293">
        <f t="shared" si="29"/>
        <v>47362</v>
      </c>
      <c r="CM27" s="293">
        <f t="shared" si="29"/>
        <v>47392</v>
      </c>
      <c r="CN27" s="293">
        <f t="shared" si="29"/>
        <v>47423</v>
      </c>
      <c r="CO27" s="293">
        <f t="shared" si="29"/>
        <v>47453</v>
      </c>
      <c r="CP27" s="293">
        <f t="shared" si="29"/>
        <v>47484</v>
      </c>
      <c r="CQ27" s="293">
        <f t="shared" si="29"/>
        <v>47515</v>
      </c>
      <c r="CR27" s="293">
        <f t="shared" si="29"/>
        <v>47543</v>
      </c>
      <c r="CS27" s="293">
        <f t="shared" si="29"/>
        <v>47574</v>
      </c>
      <c r="CT27" s="293">
        <f t="shared" si="29"/>
        <v>47604</v>
      </c>
      <c r="CU27" s="293">
        <f t="shared" si="29"/>
        <v>47635</v>
      </c>
      <c r="CV27" s="293">
        <f t="shared" si="29"/>
        <v>47665</v>
      </c>
      <c r="CW27" s="293">
        <f t="shared" si="29"/>
        <v>47696</v>
      </c>
      <c r="CX27" s="293">
        <f t="shared" si="29"/>
        <v>47727</v>
      </c>
      <c r="CY27" s="293">
        <f t="shared" si="29"/>
        <v>47757</v>
      </c>
      <c r="CZ27" s="293">
        <f t="shared" si="29"/>
        <v>47788</v>
      </c>
      <c r="DA27" s="293">
        <f t="shared" si="29"/>
        <v>47818</v>
      </c>
      <c r="DB27" s="293">
        <f t="shared" si="29"/>
        <v>47849</v>
      </c>
      <c r="DC27" s="293">
        <f t="shared" si="29"/>
        <v>47880</v>
      </c>
      <c r="DD27" s="293">
        <f t="shared" si="29"/>
        <v>47908</v>
      </c>
      <c r="DE27" s="293">
        <f t="shared" si="29"/>
        <v>47939</v>
      </c>
      <c r="DF27" s="293">
        <f t="shared" si="29"/>
        <v>47969</v>
      </c>
      <c r="DG27" s="293">
        <f t="shared" si="29"/>
        <v>48000</v>
      </c>
      <c r="DH27" s="293">
        <f t="shared" si="29"/>
        <v>48030</v>
      </c>
      <c r="DI27" s="293">
        <f t="shared" si="29"/>
        <v>48061</v>
      </c>
      <c r="DJ27" s="293">
        <f t="shared" si="29"/>
        <v>48092</v>
      </c>
      <c r="DK27" s="293">
        <f t="shared" si="29"/>
        <v>48122</v>
      </c>
      <c r="DL27" s="293">
        <f t="shared" si="29"/>
        <v>48153</v>
      </c>
      <c r="DM27" s="293">
        <f t="shared" si="29"/>
        <v>48183</v>
      </c>
      <c r="DN27" s="293">
        <f t="shared" si="29"/>
        <v>48214</v>
      </c>
      <c r="DO27" s="293">
        <f t="shared" si="29"/>
        <v>48245</v>
      </c>
      <c r="DP27" s="293">
        <f t="shared" si="29"/>
        <v>48274</v>
      </c>
      <c r="DQ27" s="293">
        <f t="shared" si="29"/>
        <v>48305</v>
      </c>
      <c r="DR27" s="293">
        <f t="shared" si="29"/>
        <v>48335</v>
      </c>
      <c r="DS27" s="293">
        <f t="shared" si="29"/>
        <v>48366</v>
      </c>
      <c r="DT27" s="293">
        <f t="shared" si="29"/>
        <v>48396</v>
      </c>
      <c r="DU27" s="293">
        <f t="shared" si="29"/>
        <v>48427</v>
      </c>
      <c r="DV27" s="293">
        <f t="shared" si="29"/>
        <v>48458</v>
      </c>
      <c r="DW27" s="293">
        <f t="shared" si="29"/>
        <v>48488</v>
      </c>
      <c r="DX27" s="293">
        <f t="shared" si="29"/>
        <v>48519</v>
      </c>
      <c r="DY27" s="293">
        <f t="shared" si="29"/>
        <v>48549</v>
      </c>
    </row>
    <row r="28" spans="1:131" s="295" customFormat="1">
      <c r="A28" s="293"/>
      <c r="B28" s="294" t="s">
        <v>381</v>
      </c>
      <c r="E28" s="295" t="s">
        <v>391</v>
      </c>
      <c r="I28" s="308"/>
      <c r="J28" s="120">
        <f>J20-1</f>
        <v>0</v>
      </c>
      <c r="K28" s="120">
        <f t="shared" ref="K28:BV28" si="30">K20-1</f>
        <v>1</v>
      </c>
      <c r="L28" s="120">
        <f t="shared" si="30"/>
        <v>2</v>
      </c>
      <c r="M28" s="120">
        <f t="shared" si="30"/>
        <v>3</v>
      </c>
      <c r="N28" s="120">
        <f t="shared" si="30"/>
        <v>4</v>
      </c>
      <c r="O28" s="120">
        <f t="shared" si="30"/>
        <v>5</v>
      </c>
      <c r="P28" s="120">
        <f t="shared" si="30"/>
        <v>6</v>
      </c>
      <c r="Q28" s="120">
        <f t="shared" si="30"/>
        <v>7</v>
      </c>
      <c r="R28" s="120">
        <f t="shared" si="30"/>
        <v>8</v>
      </c>
      <c r="S28" s="120">
        <f t="shared" si="30"/>
        <v>9</v>
      </c>
      <c r="T28" s="120">
        <f t="shared" si="30"/>
        <v>10</v>
      </c>
      <c r="U28" s="120">
        <f t="shared" si="30"/>
        <v>11</v>
      </c>
      <c r="V28" s="120">
        <f t="shared" si="30"/>
        <v>12</v>
      </c>
      <c r="W28" s="120">
        <f t="shared" si="30"/>
        <v>13</v>
      </c>
      <c r="X28" s="120">
        <f t="shared" si="30"/>
        <v>14</v>
      </c>
      <c r="Y28" s="120">
        <f t="shared" si="30"/>
        <v>15</v>
      </c>
      <c r="Z28" s="120">
        <f t="shared" si="30"/>
        <v>16</v>
      </c>
      <c r="AA28" s="120">
        <f t="shared" si="30"/>
        <v>17</v>
      </c>
      <c r="AB28" s="120">
        <f t="shared" si="30"/>
        <v>18</v>
      </c>
      <c r="AC28" s="120">
        <f t="shared" si="30"/>
        <v>19</v>
      </c>
      <c r="AD28" s="120">
        <f t="shared" si="30"/>
        <v>20</v>
      </c>
      <c r="AE28" s="120">
        <f t="shared" si="30"/>
        <v>21</v>
      </c>
      <c r="AF28" s="120">
        <f t="shared" si="30"/>
        <v>22</v>
      </c>
      <c r="AG28" s="120">
        <f t="shared" si="30"/>
        <v>23</v>
      </c>
      <c r="AH28" s="120">
        <f t="shared" si="30"/>
        <v>24</v>
      </c>
      <c r="AI28" s="120">
        <f t="shared" si="30"/>
        <v>25</v>
      </c>
      <c r="AJ28" s="120">
        <f t="shared" si="30"/>
        <v>26</v>
      </c>
      <c r="AK28" s="120">
        <f t="shared" si="30"/>
        <v>27</v>
      </c>
      <c r="AL28" s="120">
        <f t="shared" si="30"/>
        <v>28</v>
      </c>
      <c r="AM28" s="120">
        <f t="shared" si="30"/>
        <v>29</v>
      </c>
      <c r="AN28" s="120">
        <f t="shared" si="30"/>
        <v>30</v>
      </c>
      <c r="AO28" s="120">
        <f t="shared" si="30"/>
        <v>31</v>
      </c>
      <c r="AP28" s="120">
        <f t="shared" si="30"/>
        <v>32</v>
      </c>
      <c r="AQ28" s="120">
        <f t="shared" si="30"/>
        <v>33</v>
      </c>
      <c r="AR28" s="120">
        <f t="shared" si="30"/>
        <v>34</v>
      </c>
      <c r="AS28" s="120">
        <f t="shared" si="30"/>
        <v>35</v>
      </c>
      <c r="AT28" s="120">
        <f t="shared" si="30"/>
        <v>36</v>
      </c>
      <c r="AU28" s="120">
        <f t="shared" si="30"/>
        <v>37</v>
      </c>
      <c r="AV28" s="120">
        <f t="shared" si="30"/>
        <v>38</v>
      </c>
      <c r="AW28" s="120">
        <f t="shared" si="30"/>
        <v>39</v>
      </c>
      <c r="AX28" s="120">
        <f t="shared" si="30"/>
        <v>40</v>
      </c>
      <c r="AY28" s="120">
        <f t="shared" si="30"/>
        <v>41</v>
      </c>
      <c r="AZ28" s="120">
        <f t="shared" si="30"/>
        <v>42</v>
      </c>
      <c r="BA28" s="120">
        <f t="shared" si="30"/>
        <v>43</v>
      </c>
      <c r="BB28" s="120">
        <f t="shared" si="30"/>
        <v>44</v>
      </c>
      <c r="BC28" s="120">
        <f t="shared" si="30"/>
        <v>45</v>
      </c>
      <c r="BD28" s="120">
        <f t="shared" si="30"/>
        <v>46</v>
      </c>
      <c r="BE28" s="120">
        <f t="shared" si="30"/>
        <v>47</v>
      </c>
      <c r="BF28" s="120">
        <f t="shared" si="30"/>
        <v>48</v>
      </c>
      <c r="BG28" s="120">
        <f t="shared" si="30"/>
        <v>49</v>
      </c>
      <c r="BH28" s="120">
        <f t="shared" si="30"/>
        <v>50</v>
      </c>
      <c r="BI28" s="120">
        <f t="shared" si="30"/>
        <v>51</v>
      </c>
      <c r="BJ28" s="120">
        <f t="shared" si="30"/>
        <v>52</v>
      </c>
      <c r="BK28" s="120">
        <f t="shared" si="30"/>
        <v>53</v>
      </c>
      <c r="BL28" s="120">
        <f t="shared" si="30"/>
        <v>54</v>
      </c>
      <c r="BM28" s="120">
        <f t="shared" si="30"/>
        <v>55</v>
      </c>
      <c r="BN28" s="120">
        <f t="shared" si="30"/>
        <v>56</v>
      </c>
      <c r="BO28" s="120">
        <f t="shared" si="30"/>
        <v>57</v>
      </c>
      <c r="BP28" s="120">
        <f t="shared" si="30"/>
        <v>58</v>
      </c>
      <c r="BQ28" s="120">
        <f t="shared" si="30"/>
        <v>59</v>
      </c>
      <c r="BR28" s="120">
        <f t="shared" si="30"/>
        <v>60</v>
      </c>
      <c r="BS28" s="120">
        <f t="shared" si="30"/>
        <v>61</v>
      </c>
      <c r="BT28" s="120">
        <f t="shared" si="30"/>
        <v>62</v>
      </c>
      <c r="BU28" s="120">
        <f t="shared" si="30"/>
        <v>63</v>
      </c>
      <c r="BV28" s="120">
        <f t="shared" si="30"/>
        <v>64</v>
      </c>
      <c r="BW28" s="120">
        <f t="shared" ref="BW28:CC28" si="31">BW20-1</f>
        <v>65</v>
      </c>
      <c r="BX28" s="120">
        <f t="shared" si="31"/>
        <v>66</v>
      </c>
      <c r="BY28" s="120">
        <f t="shared" si="31"/>
        <v>67</v>
      </c>
      <c r="BZ28" s="120">
        <f t="shared" si="31"/>
        <v>68</v>
      </c>
      <c r="CA28" s="120">
        <f t="shared" si="31"/>
        <v>69</v>
      </c>
      <c r="CB28" s="120">
        <f t="shared" si="31"/>
        <v>70</v>
      </c>
      <c r="CC28" s="120">
        <f t="shared" si="31"/>
        <v>71</v>
      </c>
      <c r="CD28" s="120">
        <f t="shared" ref="CD28:DY28" si="32">CD20-1</f>
        <v>72</v>
      </c>
      <c r="CE28" s="120">
        <f t="shared" si="32"/>
        <v>73</v>
      </c>
      <c r="CF28" s="120">
        <f t="shared" si="32"/>
        <v>74</v>
      </c>
      <c r="CG28" s="120">
        <f t="shared" si="32"/>
        <v>75</v>
      </c>
      <c r="CH28" s="120">
        <f t="shared" si="32"/>
        <v>76</v>
      </c>
      <c r="CI28" s="120">
        <f t="shared" si="32"/>
        <v>77</v>
      </c>
      <c r="CJ28" s="120">
        <f t="shared" si="32"/>
        <v>78</v>
      </c>
      <c r="CK28" s="120">
        <f t="shared" si="32"/>
        <v>79</v>
      </c>
      <c r="CL28" s="120">
        <f t="shared" si="32"/>
        <v>80</v>
      </c>
      <c r="CM28" s="120">
        <f t="shared" si="32"/>
        <v>81</v>
      </c>
      <c r="CN28" s="120">
        <f t="shared" si="32"/>
        <v>82</v>
      </c>
      <c r="CO28" s="120">
        <f t="shared" si="32"/>
        <v>83</v>
      </c>
      <c r="CP28" s="120">
        <f t="shared" si="32"/>
        <v>84</v>
      </c>
      <c r="CQ28" s="120">
        <f t="shared" si="32"/>
        <v>85</v>
      </c>
      <c r="CR28" s="120">
        <f t="shared" si="32"/>
        <v>86</v>
      </c>
      <c r="CS28" s="120">
        <f t="shared" si="32"/>
        <v>87</v>
      </c>
      <c r="CT28" s="120">
        <f t="shared" si="32"/>
        <v>88</v>
      </c>
      <c r="CU28" s="120">
        <f t="shared" si="32"/>
        <v>89</v>
      </c>
      <c r="CV28" s="120">
        <f t="shared" si="32"/>
        <v>90</v>
      </c>
      <c r="CW28" s="120">
        <f t="shared" si="32"/>
        <v>91</v>
      </c>
      <c r="CX28" s="120">
        <f t="shared" si="32"/>
        <v>92</v>
      </c>
      <c r="CY28" s="120">
        <f t="shared" si="32"/>
        <v>93</v>
      </c>
      <c r="CZ28" s="120">
        <f t="shared" si="32"/>
        <v>94</v>
      </c>
      <c r="DA28" s="120">
        <f t="shared" si="32"/>
        <v>95</v>
      </c>
      <c r="DB28" s="120">
        <f t="shared" si="32"/>
        <v>96</v>
      </c>
      <c r="DC28" s="120">
        <f t="shared" si="32"/>
        <v>97</v>
      </c>
      <c r="DD28" s="120">
        <f t="shared" si="32"/>
        <v>98</v>
      </c>
      <c r="DE28" s="120">
        <f t="shared" si="32"/>
        <v>99</v>
      </c>
      <c r="DF28" s="120">
        <f t="shared" si="32"/>
        <v>100</v>
      </c>
      <c r="DG28" s="120">
        <f t="shared" si="32"/>
        <v>101</v>
      </c>
      <c r="DH28" s="120">
        <f t="shared" si="32"/>
        <v>102</v>
      </c>
      <c r="DI28" s="120">
        <f t="shared" si="32"/>
        <v>103</v>
      </c>
      <c r="DJ28" s="120">
        <f t="shared" si="32"/>
        <v>104</v>
      </c>
      <c r="DK28" s="120">
        <f t="shared" si="32"/>
        <v>105</v>
      </c>
      <c r="DL28" s="120">
        <f t="shared" si="32"/>
        <v>106</v>
      </c>
      <c r="DM28" s="120">
        <f t="shared" si="32"/>
        <v>107</v>
      </c>
      <c r="DN28" s="120">
        <f t="shared" si="32"/>
        <v>108</v>
      </c>
      <c r="DO28" s="120">
        <f t="shared" si="32"/>
        <v>109</v>
      </c>
      <c r="DP28" s="120">
        <f t="shared" si="32"/>
        <v>110</v>
      </c>
      <c r="DQ28" s="120">
        <f t="shared" si="32"/>
        <v>111</v>
      </c>
      <c r="DR28" s="120">
        <f t="shared" si="32"/>
        <v>112</v>
      </c>
      <c r="DS28" s="120">
        <f t="shared" si="32"/>
        <v>113</v>
      </c>
      <c r="DT28" s="120">
        <f t="shared" si="32"/>
        <v>114</v>
      </c>
      <c r="DU28" s="120">
        <f t="shared" si="32"/>
        <v>115</v>
      </c>
      <c r="DV28" s="120">
        <f t="shared" si="32"/>
        <v>116</v>
      </c>
      <c r="DW28" s="120">
        <f t="shared" si="32"/>
        <v>117</v>
      </c>
      <c r="DX28" s="120">
        <f t="shared" si="32"/>
        <v>118</v>
      </c>
      <c r="DY28" s="120">
        <f t="shared" si="32"/>
        <v>119</v>
      </c>
    </row>
    <row r="29" spans="1:131">
      <c r="C29" s="293" t="s">
        <v>382</v>
      </c>
      <c r="D29" s="471">
        <f>'Model Assumptions'!D19</f>
        <v>10</v>
      </c>
      <c r="E29" s="293" t="s">
        <v>477</v>
      </c>
      <c r="I29" s="92"/>
      <c r="J29" s="309">
        <f>(1+$D$31)^(J$28/12)</f>
        <v>1</v>
      </c>
      <c r="K29" s="309">
        <f>(1+$D$31)^(K$28/12)</f>
        <v>1</v>
      </c>
      <c r="L29" s="309">
        <f>(1+$D$31)^(L$28/12)</f>
        <v>1</v>
      </c>
      <c r="M29" s="309">
        <f t="shared" ref="M29:BW29" si="33">(1+$D$31)^(M$28/12)</f>
        <v>1</v>
      </c>
      <c r="N29" s="309">
        <f t="shared" si="33"/>
        <v>1</v>
      </c>
      <c r="O29" s="309">
        <f t="shared" si="33"/>
        <v>1</v>
      </c>
      <c r="P29" s="309">
        <f t="shared" si="33"/>
        <v>1</v>
      </c>
      <c r="Q29" s="309">
        <f t="shared" si="33"/>
        <v>1</v>
      </c>
      <c r="R29" s="309">
        <f t="shared" si="33"/>
        <v>1</v>
      </c>
      <c r="S29" s="309">
        <f t="shared" si="33"/>
        <v>1</v>
      </c>
      <c r="T29" s="309">
        <f t="shared" si="33"/>
        <v>1</v>
      </c>
      <c r="U29" s="309">
        <f t="shared" si="33"/>
        <v>1</v>
      </c>
      <c r="V29" s="309">
        <f t="shared" si="33"/>
        <v>1</v>
      </c>
      <c r="W29" s="309">
        <f t="shared" si="33"/>
        <v>1</v>
      </c>
      <c r="X29" s="309">
        <f t="shared" si="33"/>
        <v>1</v>
      </c>
      <c r="Y29" s="309">
        <f t="shared" si="33"/>
        <v>1</v>
      </c>
      <c r="Z29" s="309">
        <f t="shared" si="33"/>
        <v>1</v>
      </c>
      <c r="AA29" s="309">
        <f t="shared" si="33"/>
        <v>1</v>
      </c>
      <c r="AB29" s="309">
        <f t="shared" si="33"/>
        <v>1</v>
      </c>
      <c r="AC29" s="309">
        <f t="shared" si="33"/>
        <v>1</v>
      </c>
      <c r="AD29" s="309">
        <f t="shared" si="33"/>
        <v>1</v>
      </c>
      <c r="AE29" s="309">
        <f t="shared" si="33"/>
        <v>1</v>
      </c>
      <c r="AF29" s="309">
        <f t="shared" si="33"/>
        <v>1</v>
      </c>
      <c r="AG29" s="309">
        <f t="shared" si="33"/>
        <v>1</v>
      </c>
      <c r="AH29" s="309">
        <f t="shared" si="33"/>
        <v>1</v>
      </c>
      <c r="AI29" s="309">
        <f t="shared" si="33"/>
        <v>1</v>
      </c>
      <c r="AJ29" s="309">
        <f t="shared" si="33"/>
        <v>1</v>
      </c>
      <c r="AK29" s="309">
        <f t="shared" si="33"/>
        <v>1</v>
      </c>
      <c r="AL29" s="309">
        <f t="shared" si="33"/>
        <v>1</v>
      </c>
      <c r="AM29" s="309">
        <f t="shared" si="33"/>
        <v>1</v>
      </c>
      <c r="AN29" s="309">
        <f t="shared" si="33"/>
        <v>1</v>
      </c>
      <c r="AO29" s="309">
        <f t="shared" si="33"/>
        <v>1</v>
      </c>
      <c r="AP29" s="309">
        <f t="shared" si="33"/>
        <v>1</v>
      </c>
      <c r="AQ29" s="309">
        <f t="shared" si="33"/>
        <v>1</v>
      </c>
      <c r="AR29" s="309">
        <f t="shared" si="33"/>
        <v>1</v>
      </c>
      <c r="AS29" s="309">
        <f t="shared" si="33"/>
        <v>1</v>
      </c>
      <c r="AT29" s="309">
        <f t="shared" si="33"/>
        <v>1</v>
      </c>
      <c r="AU29" s="309">
        <f t="shared" si="33"/>
        <v>1</v>
      </c>
      <c r="AV29" s="309">
        <f t="shared" si="33"/>
        <v>1</v>
      </c>
      <c r="AW29" s="309">
        <f t="shared" si="33"/>
        <v>1</v>
      </c>
      <c r="AX29" s="309">
        <f t="shared" si="33"/>
        <v>1</v>
      </c>
      <c r="AY29" s="309">
        <f t="shared" si="33"/>
        <v>1</v>
      </c>
      <c r="AZ29" s="309">
        <f t="shared" si="33"/>
        <v>1</v>
      </c>
      <c r="BA29" s="309">
        <f t="shared" si="33"/>
        <v>1</v>
      </c>
      <c r="BB29" s="309">
        <f t="shared" si="33"/>
        <v>1</v>
      </c>
      <c r="BC29" s="309">
        <f t="shared" si="33"/>
        <v>1</v>
      </c>
      <c r="BD29" s="309">
        <f t="shared" si="33"/>
        <v>1</v>
      </c>
      <c r="BE29" s="309">
        <f t="shared" si="33"/>
        <v>1</v>
      </c>
      <c r="BF29" s="309">
        <f t="shared" si="33"/>
        <v>1</v>
      </c>
      <c r="BG29" s="309">
        <f t="shared" si="33"/>
        <v>1</v>
      </c>
      <c r="BH29" s="309">
        <f t="shared" si="33"/>
        <v>1</v>
      </c>
      <c r="BI29" s="309">
        <f t="shared" si="33"/>
        <v>1</v>
      </c>
      <c r="BJ29" s="309">
        <f t="shared" si="33"/>
        <v>1</v>
      </c>
      <c r="BK29" s="309">
        <f t="shared" si="33"/>
        <v>1</v>
      </c>
      <c r="BL29" s="309">
        <f t="shared" si="33"/>
        <v>1</v>
      </c>
      <c r="BM29" s="309">
        <f t="shared" si="33"/>
        <v>1</v>
      </c>
      <c r="BN29" s="309">
        <f t="shared" si="33"/>
        <v>1</v>
      </c>
      <c r="BO29" s="309">
        <f t="shared" si="33"/>
        <v>1</v>
      </c>
      <c r="BP29" s="309">
        <f t="shared" si="33"/>
        <v>1</v>
      </c>
      <c r="BQ29" s="309">
        <f t="shared" si="33"/>
        <v>1</v>
      </c>
      <c r="BR29" s="309">
        <f t="shared" si="33"/>
        <v>1</v>
      </c>
      <c r="BS29" s="309">
        <f t="shared" si="33"/>
        <v>1</v>
      </c>
      <c r="BT29" s="309">
        <f t="shared" si="33"/>
        <v>1</v>
      </c>
      <c r="BU29" s="309">
        <f t="shared" si="33"/>
        <v>1</v>
      </c>
      <c r="BV29" s="309">
        <f t="shared" si="33"/>
        <v>1</v>
      </c>
      <c r="BW29" s="309">
        <f t="shared" si="33"/>
        <v>1</v>
      </c>
      <c r="BX29" s="309">
        <f t="shared" ref="BX29:DY29" si="34">(1+$D$31)^(BX$28/12)</f>
        <v>1</v>
      </c>
      <c r="BY29" s="309">
        <f t="shared" si="34"/>
        <v>1</v>
      </c>
      <c r="BZ29" s="309">
        <f t="shared" si="34"/>
        <v>1</v>
      </c>
      <c r="CA29" s="309">
        <f t="shared" si="34"/>
        <v>1</v>
      </c>
      <c r="CB29" s="309">
        <f t="shared" si="34"/>
        <v>1</v>
      </c>
      <c r="CC29" s="309">
        <f t="shared" si="34"/>
        <v>1</v>
      </c>
      <c r="CD29" s="309">
        <f t="shared" si="34"/>
        <v>1</v>
      </c>
      <c r="CE29" s="309">
        <f t="shared" si="34"/>
        <v>1</v>
      </c>
      <c r="CF29" s="309">
        <f t="shared" si="34"/>
        <v>1</v>
      </c>
      <c r="CG29" s="309">
        <f t="shared" si="34"/>
        <v>1</v>
      </c>
      <c r="CH29" s="309">
        <f t="shared" si="34"/>
        <v>1</v>
      </c>
      <c r="CI29" s="309">
        <f t="shared" si="34"/>
        <v>1</v>
      </c>
      <c r="CJ29" s="309">
        <f t="shared" si="34"/>
        <v>1</v>
      </c>
      <c r="CK29" s="309">
        <f t="shared" si="34"/>
        <v>1</v>
      </c>
      <c r="CL29" s="309">
        <f t="shared" si="34"/>
        <v>1</v>
      </c>
      <c r="CM29" s="309">
        <f t="shared" si="34"/>
        <v>1</v>
      </c>
      <c r="CN29" s="309">
        <f t="shared" si="34"/>
        <v>1</v>
      </c>
      <c r="CO29" s="309">
        <f t="shared" si="34"/>
        <v>1</v>
      </c>
      <c r="CP29" s="309">
        <f t="shared" si="34"/>
        <v>1</v>
      </c>
      <c r="CQ29" s="309">
        <f t="shared" si="34"/>
        <v>1</v>
      </c>
      <c r="CR29" s="309">
        <f t="shared" si="34"/>
        <v>1</v>
      </c>
      <c r="CS29" s="309">
        <f t="shared" si="34"/>
        <v>1</v>
      </c>
      <c r="CT29" s="309">
        <f t="shared" si="34"/>
        <v>1</v>
      </c>
      <c r="CU29" s="309">
        <f t="shared" si="34"/>
        <v>1</v>
      </c>
      <c r="CV29" s="309">
        <f t="shared" si="34"/>
        <v>1</v>
      </c>
      <c r="CW29" s="309">
        <f t="shared" si="34"/>
        <v>1</v>
      </c>
      <c r="CX29" s="309">
        <f t="shared" si="34"/>
        <v>1</v>
      </c>
      <c r="CY29" s="309">
        <f t="shared" si="34"/>
        <v>1</v>
      </c>
      <c r="CZ29" s="309">
        <f t="shared" si="34"/>
        <v>1</v>
      </c>
      <c r="DA29" s="309">
        <f t="shared" si="34"/>
        <v>1</v>
      </c>
      <c r="DB29" s="309">
        <f t="shared" si="34"/>
        <v>1</v>
      </c>
      <c r="DC29" s="309">
        <f t="shared" si="34"/>
        <v>1</v>
      </c>
      <c r="DD29" s="309">
        <f t="shared" si="34"/>
        <v>1</v>
      </c>
      <c r="DE29" s="309">
        <f t="shared" si="34"/>
        <v>1</v>
      </c>
      <c r="DF29" s="309">
        <f t="shared" si="34"/>
        <v>1</v>
      </c>
      <c r="DG29" s="309">
        <f t="shared" si="34"/>
        <v>1</v>
      </c>
      <c r="DH29" s="309">
        <f t="shared" si="34"/>
        <v>1</v>
      </c>
      <c r="DI29" s="309">
        <f t="shared" si="34"/>
        <v>1</v>
      </c>
      <c r="DJ29" s="309">
        <f t="shared" si="34"/>
        <v>1</v>
      </c>
      <c r="DK29" s="309">
        <f t="shared" si="34"/>
        <v>1</v>
      </c>
      <c r="DL29" s="309">
        <f t="shared" si="34"/>
        <v>1</v>
      </c>
      <c r="DM29" s="309">
        <f t="shared" si="34"/>
        <v>1</v>
      </c>
      <c r="DN29" s="309">
        <f t="shared" si="34"/>
        <v>1</v>
      </c>
      <c r="DO29" s="309">
        <f t="shared" si="34"/>
        <v>1</v>
      </c>
      <c r="DP29" s="309">
        <f t="shared" si="34"/>
        <v>1</v>
      </c>
      <c r="DQ29" s="309">
        <f t="shared" si="34"/>
        <v>1</v>
      </c>
      <c r="DR29" s="309">
        <f t="shared" si="34"/>
        <v>1</v>
      </c>
      <c r="DS29" s="309">
        <f t="shared" si="34"/>
        <v>1</v>
      </c>
      <c r="DT29" s="309">
        <f t="shared" si="34"/>
        <v>1</v>
      </c>
      <c r="DU29" s="309">
        <f t="shared" si="34"/>
        <v>1</v>
      </c>
      <c r="DV29" s="309">
        <f t="shared" si="34"/>
        <v>1</v>
      </c>
      <c r="DW29" s="309">
        <f t="shared" si="34"/>
        <v>1</v>
      </c>
      <c r="DX29" s="309">
        <f t="shared" si="34"/>
        <v>1</v>
      </c>
      <c r="DY29" s="309">
        <f t="shared" si="34"/>
        <v>1</v>
      </c>
    </row>
    <row r="30" spans="1:131">
      <c r="C30" s="293" t="s">
        <v>383</v>
      </c>
      <c r="D30" s="472">
        <f>1/D29</f>
        <v>0.1</v>
      </c>
      <c r="E30" s="293" t="s">
        <v>399</v>
      </c>
      <c r="J30" s="309">
        <f>D29</f>
        <v>10</v>
      </c>
      <c r="K30" s="309">
        <f>$J30*K29</f>
        <v>10</v>
      </c>
      <c r="L30" s="309">
        <f>$J30*L29</f>
        <v>10</v>
      </c>
      <c r="M30" s="309">
        <f>$J30*M29</f>
        <v>10</v>
      </c>
      <c r="N30" s="309">
        <f>$J30*N29</f>
        <v>10</v>
      </c>
      <c r="O30" s="309">
        <f t="shared" ref="O30:BW30" si="35">$J30*O29</f>
        <v>10</v>
      </c>
      <c r="P30" s="309">
        <f t="shared" si="35"/>
        <v>10</v>
      </c>
      <c r="Q30" s="309">
        <f t="shared" si="35"/>
        <v>10</v>
      </c>
      <c r="R30" s="309">
        <f t="shared" si="35"/>
        <v>10</v>
      </c>
      <c r="S30" s="309">
        <f t="shared" si="35"/>
        <v>10</v>
      </c>
      <c r="T30" s="309">
        <f t="shared" si="35"/>
        <v>10</v>
      </c>
      <c r="U30" s="309">
        <f t="shared" si="35"/>
        <v>10</v>
      </c>
      <c r="V30" s="309">
        <f t="shared" si="35"/>
        <v>10</v>
      </c>
      <c r="W30" s="309">
        <f t="shared" si="35"/>
        <v>10</v>
      </c>
      <c r="X30" s="309">
        <f t="shared" si="35"/>
        <v>10</v>
      </c>
      <c r="Y30" s="309">
        <f t="shared" si="35"/>
        <v>10</v>
      </c>
      <c r="Z30" s="309">
        <f t="shared" si="35"/>
        <v>10</v>
      </c>
      <c r="AA30" s="309">
        <f t="shared" si="35"/>
        <v>10</v>
      </c>
      <c r="AB30" s="309">
        <f t="shared" si="35"/>
        <v>10</v>
      </c>
      <c r="AC30" s="309">
        <f t="shared" si="35"/>
        <v>10</v>
      </c>
      <c r="AD30" s="309">
        <f t="shared" si="35"/>
        <v>10</v>
      </c>
      <c r="AE30" s="309">
        <f t="shared" si="35"/>
        <v>10</v>
      </c>
      <c r="AF30" s="309">
        <f t="shared" si="35"/>
        <v>10</v>
      </c>
      <c r="AG30" s="309">
        <f t="shared" si="35"/>
        <v>10</v>
      </c>
      <c r="AH30" s="309">
        <f t="shared" si="35"/>
        <v>10</v>
      </c>
      <c r="AI30" s="309">
        <f t="shared" si="35"/>
        <v>10</v>
      </c>
      <c r="AJ30" s="309">
        <f t="shared" si="35"/>
        <v>10</v>
      </c>
      <c r="AK30" s="309">
        <f t="shared" si="35"/>
        <v>10</v>
      </c>
      <c r="AL30" s="309">
        <f t="shared" si="35"/>
        <v>10</v>
      </c>
      <c r="AM30" s="309">
        <f t="shared" si="35"/>
        <v>10</v>
      </c>
      <c r="AN30" s="309">
        <f t="shared" si="35"/>
        <v>10</v>
      </c>
      <c r="AO30" s="309">
        <f t="shared" si="35"/>
        <v>10</v>
      </c>
      <c r="AP30" s="309">
        <f t="shared" si="35"/>
        <v>10</v>
      </c>
      <c r="AQ30" s="309">
        <f t="shared" si="35"/>
        <v>10</v>
      </c>
      <c r="AR30" s="309">
        <f t="shared" si="35"/>
        <v>10</v>
      </c>
      <c r="AS30" s="309">
        <f t="shared" si="35"/>
        <v>10</v>
      </c>
      <c r="AT30" s="309">
        <f t="shared" si="35"/>
        <v>10</v>
      </c>
      <c r="AU30" s="309">
        <f t="shared" si="35"/>
        <v>10</v>
      </c>
      <c r="AV30" s="309">
        <f t="shared" si="35"/>
        <v>10</v>
      </c>
      <c r="AW30" s="309">
        <f t="shared" si="35"/>
        <v>10</v>
      </c>
      <c r="AX30" s="309">
        <f t="shared" si="35"/>
        <v>10</v>
      </c>
      <c r="AY30" s="309">
        <f t="shared" si="35"/>
        <v>10</v>
      </c>
      <c r="AZ30" s="309">
        <f t="shared" si="35"/>
        <v>10</v>
      </c>
      <c r="BA30" s="309">
        <f t="shared" si="35"/>
        <v>10</v>
      </c>
      <c r="BB30" s="309">
        <f t="shared" si="35"/>
        <v>10</v>
      </c>
      <c r="BC30" s="309">
        <f t="shared" si="35"/>
        <v>10</v>
      </c>
      <c r="BD30" s="309">
        <f t="shared" si="35"/>
        <v>10</v>
      </c>
      <c r="BE30" s="309">
        <f t="shared" si="35"/>
        <v>10</v>
      </c>
      <c r="BF30" s="309">
        <f t="shared" si="35"/>
        <v>10</v>
      </c>
      <c r="BG30" s="309">
        <f t="shared" si="35"/>
        <v>10</v>
      </c>
      <c r="BH30" s="309">
        <f t="shared" si="35"/>
        <v>10</v>
      </c>
      <c r="BI30" s="309">
        <f t="shared" si="35"/>
        <v>10</v>
      </c>
      <c r="BJ30" s="309">
        <f t="shared" si="35"/>
        <v>10</v>
      </c>
      <c r="BK30" s="309">
        <f t="shared" si="35"/>
        <v>10</v>
      </c>
      <c r="BL30" s="309">
        <f t="shared" si="35"/>
        <v>10</v>
      </c>
      <c r="BM30" s="309">
        <f t="shared" si="35"/>
        <v>10</v>
      </c>
      <c r="BN30" s="309">
        <f t="shared" si="35"/>
        <v>10</v>
      </c>
      <c r="BO30" s="309">
        <f t="shared" si="35"/>
        <v>10</v>
      </c>
      <c r="BP30" s="309">
        <f t="shared" si="35"/>
        <v>10</v>
      </c>
      <c r="BQ30" s="309">
        <f t="shared" si="35"/>
        <v>10</v>
      </c>
      <c r="BR30" s="309">
        <f t="shared" si="35"/>
        <v>10</v>
      </c>
      <c r="BS30" s="309">
        <f t="shared" si="35"/>
        <v>10</v>
      </c>
      <c r="BT30" s="309">
        <f t="shared" si="35"/>
        <v>10</v>
      </c>
      <c r="BU30" s="309">
        <f t="shared" si="35"/>
        <v>10</v>
      </c>
      <c r="BV30" s="309">
        <f t="shared" si="35"/>
        <v>10</v>
      </c>
      <c r="BW30" s="309">
        <f t="shared" si="35"/>
        <v>10</v>
      </c>
      <c r="BX30" s="309">
        <f t="shared" ref="BX30:CC30" si="36">$J30*BX29</f>
        <v>10</v>
      </c>
      <c r="BY30" s="309">
        <f t="shared" si="36"/>
        <v>10</v>
      </c>
      <c r="BZ30" s="309">
        <f t="shared" si="36"/>
        <v>10</v>
      </c>
      <c r="CA30" s="309">
        <f t="shared" si="36"/>
        <v>10</v>
      </c>
      <c r="CB30" s="309">
        <f t="shared" si="36"/>
        <v>10</v>
      </c>
      <c r="CC30" s="309">
        <f t="shared" si="36"/>
        <v>10</v>
      </c>
      <c r="CD30" s="309">
        <f t="shared" ref="CD30:DY30" si="37">$J30*CD29</f>
        <v>10</v>
      </c>
      <c r="CE30" s="309">
        <f t="shared" si="37"/>
        <v>10</v>
      </c>
      <c r="CF30" s="309">
        <f t="shared" si="37"/>
        <v>10</v>
      </c>
      <c r="CG30" s="309">
        <f t="shared" si="37"/>
        <v>10</v>
      </c>
      <c r="CH30" s="309">
        <f t="shared" si="37"/>
        <v>10</v>
      </c>
      <c r="CI30" s="309">
        <f t="shared" si="37"/>
        <v>10</v>
      </c>
      <c r="CJ30" s="309">
        <f t="shared" si="37"/>
        <v>10</v>
      </c>
      <c r="CK30" s="309">
        <f t="shared" si="37"/>
        <v>10</v>
      </c>
      <c r="CL30" s="309">
        <f t="shared" si="37"/>
        <v>10</v>
      </c>
      <c r="CM30" s="309">
        <f t="shared" si="37"/>
        <v>10</v>
      </c>
      <c r="CN30" s="309">
        <f t="shared" si="37"/>
        <v>10</v>
      </c>
      <c r="CO30" s="309">
        <f t="shared" si="37"/>
        <v>10</v>
      </c>
      <c r="CP30" s="309">
        <f t="shared" si="37"/>
        <v>10</v>
      </c>
      <c r="CQ30" s="309">
        <f t="shared" si="37"/>
        <v>10</v>
      </c>
      <c r="CR30" s="309">
        <f t="shared" si="37"/>
        <v>10</v>
      </c>
      <c r="CS30" s="309">
        <f t="shared" si="37"/>
        <v>10</v>
      </c>
      <c r="CT30" s="309">
        <f t="shared" si="37"/>
        <v>10</v>
      </c>
      <c r="CU30" s="309">
        <f t="shared" si="37"/>
        <v>10</v>
      </c>
      <c r="CV30" s="309">
        <f t="shared" si="37"/>
        <v>10</v>
      </c>
      <c r="CW30" s="309">
        <f t="shared" si="37"/>
        <v>10</v>
      </c>
      <c r="CX30" s="309">
        <f t="shared" si="37"/>
        <v>10</v>
      </c>
      <c r="CY30" s="309">
        <f t="shared" si="37"/>
        <v>10</v>
      </c>
      <c r="CZ30" s="309">
        <f t="shared" si="37"/>
        <v>10</v>
      </c>
      <c r="DA30" s="309">
        <f t="shared" si="37"/>
        <v>10</v>
      </c>
      <c r="DB30" s="309">
        <f t="shared" si="37"/>
        <v>10</v>
      </c>
      <c r="DC30" s="309">
        <f t="shared" si="37"/>
        <v>10</v>
      </c>
      <c r="DD30" s="309">
        <f t="shared" si="37"/>
        <v>10</v>
      </c>
      <c r="DE30" s="309">
        <f t="shared" si="37"/>
        <v>10</v>
      </c>
      <c r="DF30" s="309">
        <f t="shared" si="37"/>
        <v>10</v>
      </c>
      <c r="DG30" s="309">
        <f t="shared" si="37"/>
        <v>10</v>
      </c>
      <c r="DH30" s="309">
        <f t="shared" si="37"/>
        <v>10</v>
      </c>
      <c r="DI30" s="309">
        <f t="shared" si="37"/>
        <v>10</v>
      </c>
      <c r="DJ30" s="309">
        <f t="shared" si="37"/>
        <v>10</v>
      </c>
      <c r="DK30" s="309">
        <f t="shared" si="37"/>
        <v>10</v>
      </c>
      <c r="DL30" s="309">
        <f t="shared" si="37"/>
        <v>10</v>
      </c>
      <c r="DM30" s="309">
        <f t="shared" si="37"/>
        <v>10</v>
      </c>
      <c r="DN30" s="309">
        <f t="shared" si="37"/>
        <v>10</v>
      </c>
      <c r="DO30" s="309">
        <f t="shared" si="37"/>
        <v>10</v>
      </c>
      <c r="DP30" s="309">
        <f t="shared" si="37"/>
        <v>10</v>
      </c>
      <c r="DQ30" s="309">
        <f t="shared" si="37"/>
        <v>10</v>
      </c>
      <c r="DR30" s="309">
        <f t="shared" si="37"/>
        <v>10</v>
      </c>
      <c r="DS30" s="309">
        <f t="shared" si="37"/>
        <v>10</v>
      </c>
      <c r="DT30" s="309">
        <f t="shared" si="37"/>
        <v>10</v>
      </c>
      <c r="DU30" s="309">
        <f t="shared" si="37"/>
        <v>10</v>
      </c>
      <c r="DV30" s="309">
        <f t="shared" si="37"/>
        <v>10</v>
      </c>
      <c r="DW30" s="309">
        <f t="shared" si="37"/>
        <v>10</v>
      </c>
      <c r="DX30" s="309">
        <f t="shared" si="37"/>
        <v>10</v>
      </c>
      <c r="DY30" s="309">
        <f t="shared" si="37"/>
        <v>10</v>
      </c>
    </row>
    <row r="31" spans="1:131">
      <c r="C31" s="293" t="s">
        <v>331</v>
      </c>
      <c r="D31" s="473">
        <f>'Model Assumptions'!D20</f>
        <v>0</v>
      </c>
      <c r="J31" s="92">
        <v>100</v>
      </c>
      <c r="K31" s="92">
        <f>$J31*K29</f>
        <v>100</v>
      </c>
      <c r="L31" s="92">
        <f t="shared" ref="L31:BW31" si="38">$J31*L29</f>
        <v>100</v>
      </c>
      <c r="M31" s="92">
        <f t="shared" si="38"/>
        <v>100</v>
      </c>
      <c r="N31" s="92">
        <f t="shared" si="38"/>
        <v>100</v>
      </c>
      <c r="O31" s="92">
        <f t="shared" si="38"/>
        <v>100</v>
      </c>
      <c r="P31" s="92">
        <f t="shared" si="38"/>
        <v>100</v>
      </c>
      <c r="Q31" s="92">
        <f t="shared" si="38"/>
        <v>100</v>
      </c>
      <c r="R31" s="92">
        <f t="shared" si="38"/>
        <v>100</v>
      </c>
      <c r="S31" s="92">
        <f t="shared" si="38"/>
        <v>100</v>
      </c>
      <c r="T31" s="92">
        <f t="shared" si="38"/>
        <v>100</v>
      </c>
      <c r="U31" s="92">
        <f t="shared" si="38"/>
        <v>100</v>
      </c>
      <c r="V31" s="92">
        <f t="shared" si="38"/>
        <v>100</v>
      </c>
      <c r="W31" s="92">
        <f t="shared" si="38"/>
        <v>100</v>
      </c>
      <c r="X31" s="92">
        <f t="shared" si="38"/>
        <v>100</v>
      </c>
      <c r="Y31" s="92">
        <f t="shared" si="38"/>
        <v>100</v>
      </c>
      <c r="Z31" s="92">
        <f t="shared" si="38"/>
        <v>100</v>
      </c>
      <c r="AA31" s="92">
        <f t="shared" si="38"/>
        <v>100</v>
      </c>
      <c r="AB31" s="92">
        <f t="shared" si="38"/>
        <v>100</v>
      </c>
      <c r="AC31" s="92">
        <f t="shared" si="38"/>
        <v>100</v>
      </c>
      <c r="AD31" s="92">
        <f t="shared" si="38"/>
        <v>100</v>
      </c>
      <c r="AE31" s="92">
        <f t="shared" si="38"/>
        <v>100</v>
      </c>
      <c r="AF31" s="92">
        <f t="shared" si="38"/>
        <v>100</v>
      </c>
      <c r="AG31" s="92">
        <f t="shared" si="38"/>
        <v>100</v>
      </c>
      <c r="AH31" s="92">
        <f t="shared" si="38"/>
        <v>100</v>
      </c>
      <c r="AI31" s="92">
        <f t="shared" si="38"/>
        <v>100</v>
      </c>
      <c r="AJ31" s="92">
        <f t="shared" si="38"/>
        <v>100</v>
      </c>
      <c r="AK31" s="92">
        <f t="shared" si="38"/>
        <v>100</v>
      </c>
      <c r="AL31" s="92">
        <f t="shared" si="38"/>
        <v>100</v>
      </c>
      <c r="AM31" s="92">
        <f t="shared" si="38"/>
        <v>100</v>
      </c>
      <c r="AN31" s="92">
        <f t="shared" si="38"/>
        <v>100</v>
      </c>
      <c r="AO31" s="92">
        <f t="shared" si="38"/>
        <v>100</v>
      </c>
      <c r="AP31" s="92">
        <f t="shared" si="38"/>
        <v>100</v>
      </c>
      <c r="AQ31" s="92">
        <f t="shared" si="38"/>
        <v>100</v>
      </c>
      <c r="AR31" s="92">
        <f t="shared" si="38"/>
        <v>100</v>
      </c>
      <c r="AS31" s="92">
        <f t="shared" si="38"/>
        <v>100</v>
      </c>
      <c r="AT31" s="92">
        <f t="shared" si="38"/>
        <v>100</v>
      </c>
      <c r="AU31" s="92">
        <f t="shared" si="38"/>
        <v>100</v>
      </c>
      <c r="AV31" s="92">
        <f t="shared" si="38"/>
        <v>100</v>
      </c>
      <c r="AW31" s="92">
        <f t="shared" si="38"/>
        <v>100</v>
      </c>
      <c r="AX31" s="92">
        <f t="shared" si="38"/>
        <v>100</v>
      </c>
      <c r="AY31" s="92">
        <f t="shared" si="38"/>
        <v>100</v>
      </c>
      <c r="AZ31" s="92">
        <f t="shared" si="38"/>
        <v>100</v>
      </c>
      <c r="BA31" s="92">
        <f t="shared" si="38"/>
        <v>100</v>
      </c>
      <c r="BB31" s="92">
        <f t="shared" si="38"/>
        <v>100</v>
      </c>
      <c r="BC31" s="92">
        <f t="shared" si="38"/>
        <v>100</v>
      </c>
      <c r="BD31" s="92">
        <f t="shared" si="38"/>
        <v>100</v>
      </c>
      <c r="BE31" s="92">
        <f t="shared" si="38"/>
        <v>100</v>
      </c>
      <c r="BF31" s="92">
        <f t="shared" si="38"/>
        <v>100</v>
      </c>
      <c r="BG31" s="92">
        <f t="shared" si="38"/>
        <v>100</v>
      </c>
      <c r="BH31" s="92">
        <f t="shared" si="38"/>
        <v>100</v>
      </c>
      <c r="BI31" s="92">
        <f t="shared" si="38"/>
        <v>100</v>
      </c>
      <c r="BJ31" s="92">
        <f t="shared" si="38"/>
        <v>100</v>
      </c>
      <c r="BK31" s="92">
        <f t="shared" si="38"/>
        <v>100</v>
      </c>
      <c r="BL31" s="92">
        <f t="shared" si="38"/>
        <v>100</v>
      </c>
      <c r="BM31" s="92">
        <f t="shared" si="38"/>
        <v>100</v>
      </c>
      <c r="BN31" s="92">
        <f t="shared" si="38"/>
        <v>100</v>
      </c>
      <c r="BO31" s="92">
        <f t="shared" si="38"/>
        <v>100</v>
      </c>
      <c r="BP31" s="92">
        <f t="shared" si="38"/>
        <v>100</v>
      </c>
      <c r="BQ31" s="92">
        <f t="shared" si="38"/>
        <v>100</v>
      </c>
      <c r="BR31" s="92">
        <f t="shared" si="38"/>
        <v>100</v>
      </c>
      <c r="BS31" s="92">
        <f t="shared" si="38"/>
        <v>100</v>
      </c>
      <c r="BT31" s="92">
        <f t="shared" si="38"/>
        <v>100</v>
      </c>
      <c r="BU31" s="92">
        <f t="shared" si="38"/>
        <v>100</v>
      </c>
      <c r="BV31" s="92">
        <f t="shared" si="38"/>
        <v>100</v>
      </c>
      <c r="BW31" s="92">
        <f t="shared" si="38"/>
        <v>100</v>
      </c>
      <c r="BX31" s="92">
        <f t="shared" ref="BX31:CC31" si="39">$J31*BX29</f>
        <v>100</v>
      </c>
      <c r="BY31" s="92">
        <f t="shared" si="39"/>
        <v>100</v>
      </c>
      <c r="BZ31" s="92">
        <f t="shared" si="39"/>
        <v>100</v>
      </c>
      <c r="CA31" s="92">
        <f t="shared" si="39"/>
        <v>100</v>
      </c>
      <c r="CB31" s="92">
        <f t="shared" si="39"/>
        <v>100</v>
      </c>
      <c r="CC31" s="92">
        <f t="shared" si="39"/>
        <v>100</v>
      </c>
      <c r="CD31" s="92">
        <f t="shared" ref="CD31:DY31" si="40">$J31*CD29</f>
        <v>100</v>
      </c>
      <c r="CE31" s="92">
        <f t="shared" si="40"/>
        <v>100</v>
      </c>
      <c r="CF31" s="92">
        <f t="shared" si="40"/>
        <v>100</v>
      </c>
      <c r="CG31" s="92">
        <f t="shared" si="40"/>
        <v>100</v>
      </c>
      <c r="CH31" s="92">
        <f t="shared" si="40"/>
        <v>100</v>
      </c>
      <c r="CI31" s="92">
        <f t="shared" si="40"/>
        <v>100</v>
      </c>
      <c r="CJ31" s="92">
        <f t="shared" si="40"/>
        <v>100</v>
      </c>
      <c r="CK31" s="92">
        <f t="shared" si="40"/>
        <v>100</v>
      </c>
      <c r="CL31" s="92">
        <f t="shared" si="40"/>
        <v>100</v>
      </c>
      <c r="CM31" s="92">
        <f t="shared" si="40"/>
        <v>100</v>
      </c>
      <c r="CN31" s="92">
        <f t="shared" si="40"/>
        <v>100</v>
      </c>
      <c r="CO31" s="92">
        <f t="shared" si="40"/>
        <v>100</v>
      </c>
      <c r="CP31" s="92">
        <f t="shared" si="40"/>
        <v>100</v>
      </c>
      <c r="CQ31" s="92">
        <f t="shared" si="40"/>
        <v>100</v>
      </c>
      <c r="CR31" s="92">
        <f t="shared" si="40"/>
        <v>100</v>
      </c>
      <c r="CS31" s="92">
        <f t="shared" si="40"/>
        <v>100</v>
      </c>
      <c r="CT31" s="92">
        <f t="shared" si="40"/>
        <v>100</v>
      </c>
      <c r="CU31" s="92">
        <f t="shared" si="40"/>
        <v>100</v>
      </c>
      <c r="CV31" s="92">
        <f t="shared" si="40"/>
        <v>100</v>
      </c>
      <c r="CW31" s="92">
        <f t="shared" si="40"/>
        <v>100</v>
      </c>
      <c r="CX31" s="92">
        <f t="shared" si="40"/>
        <v>100</v>
      </c>
      <c r="CY31" s="92">
        <f t="shared" si="40"/>
        <v>100</v>
      </c>
      <c r="CZ31" s="92">
        <f t="shared" si="40"/>
        <v>100</v>
      </c>
      <c r="DA31" s="92">
        <f t="shared" si="40"/>
        <v>100</v>
      </c>
      <c r="DB31" s="92">
        <f t="shared" si="40"/>
        <v>100</v>
      </c>
      <c r="DC31" s="92">
        <f t="shared" si="40"/>
        <v>100</v>
      </c>
      <c r="DD31" s="92">
        <f t="shared" si="40"/>
        <v>100</v>
      </c>
      <c r="DE31" s="92">
        <f t="shared" si="40"/>
        <v>100</v>
      </c>
      <c r="DF31" s="92">
        <f t="shared" si="40"/>
        <v>100</v>
      </c>
      <c r="DG31" s="92">
        <f t="shared" si="40"/>
        <v>100</v>
      </c>
      <c r="DH31" s="92">
        <f t="shared" si="40"/>
        <v>100</v>
      </c>
      <c r="DI31" s="92">
        <f t="shared" si="40"/>
        <v>100</v>
      </c>
      <c r="DJ31" s="92">
        <f t="shared" si="40"/>
        <v>100</v>
      </c>
      <c r="DK31" s="92">
        <f t="shared" si="40"/>
        <v>100</v>
      </c>
      <c r="DL31" s="92">
        <f t="shared" si="40"/>
        <v>100</v>
      </c>
      <c r="DM31" s="92">
        <f t="shared" si="40"/>
        <v>100</v>
      </c>
      <c r="DN31" s="92">
        <f t="shared" si="40"/>
        <v>100</v>
      </c>
      <c r="DO31" s="92">
        <f t="shared" si="40"/>
        <v>100</v>
      </c>
      <c r="DP31" s="92">
        <f t="shared" si="40"/>
        <v>100</v>
      </c>
      <c r="DQ31" s="92">
        <f t="shared" si="40"/>
        <v>100</v>
      </c>
      <c r="DR31" s="92">
        <f t="shared" si="40"/>
        <v>100</v>
      </c>
      <c r="DS31" s="92">
        <f t="shared" si="40"/>
        <v>100</v>
      </c>
      <c r="DT31" s="92">
        <f t="shared" si="40"/>
        <v>100</v>
      </c>
      <c r="DU31" s="92">
        <f t="shared" si="40"/>
        <v>100</v>
      </c>
      <c r="DV31" s="92">
        <f t="shared" si="40"/>
        <v>100</v>
      </c>
      <c r="DW31" s="92">
        <f t="shared" si="40"/>
        <v>100</v>
      </c>
      <c r="DX31" s="92">
        <f t="shared" si="40"/>
        <v>100</v>
      </c>
      <c r="DY31" s="92">
        <f t="shared" si="40"/>
        <v>100</v>
      </c>
    </row>
    <row r="32" spans="1:131">
      <c r="D32" s="474"/>
      <c r="L32" s="428"/>
    </row>
    <row r="33" spans="1:129" s="295" customFormat="1">
      <c r="A33" s="293"/>
      <c r="B33" s="301" t="s">
        <v>56</v>
      </c>
      <c r="C33" s="303"/>
      <c r="D33" s="475"/>
      <c r="E33" s="303"/>
      <c r="F33" s="303"/>
      <c r="G33" s="303"/>
      <c r="H33" s="303"/>
      <c r="I33" s="303"/>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row>
    <row r="34" spans="1:129">
      <c r="A34" s="297"/>
      <c r="B34" s="297"/>
      <c r="C34" s="297"/>
      <c r="D34" s="468"/>
      <c r="E34" s="311"/>
      <c r="F34" s="311"/>
      <c r="G34" s="311"/>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A34" s="297"/>
      <c r="CB34" s="297"/>
      <c r="CC34" s="297"/>
    </row>
    <row r="35" spans="1:129" ht="15.6">
      <c r="A35" s="298"/>
      <c r="B35" s="312"/>
      <c r="C35" s="22" t="s">
        <v>57</v>
      </c>
      <c r="D35" s="476">
        <f>+'Model Assumptions'!F161</f>
        <v>1</v>
      </c>
      <c r="E35" s="298"/>
      <c r="F35" s="298"/>
      <c r="G35" s="298"/>
      <c r="H35" s="298"/>
      <c r="I35" s="298"/>
      <c r="J35" s="313">
        <f>IF(MONTH(DATEVALUE($C35&amp;"1"))=MONTH(J$22),$D35," ")</f>
        <v>1</v>
      </c>
      <c r="K35" s="313" t="str">
        <f t="shared" ref="J35:S46" si="41">IF(MONTH(DATEVALUE($C35&amp;"1"))=MONTH(K$22),$D35," ")</f>
        <v xml:space="preserve"> </v>
      </c>
      <c r="L35" s="313" t="str">
        <f t="shared" si="41"/>
        <v xml:space="preserve"> </v>
      </c>
      <c r="M35" s="313" t="str">
        <f t="shared" si="41"/>
        <v xml:space="preserve"> </v>
      </c>
      <c r="N35" s="313" t="str">
        <f t="shared" si="41"/>
        <v xml:space="preserve"> </v>
      </c>
      <c r="O35" s="313" t="str">
        <f t="shared" si="41"/>
        <v xml:space="preserve"> </v>
      </c>
      <c r="P35" s="313" t="str">
        <f t="shared" si="41"/>
        <v xml:space="preserve"> </v>
      </c>
      <c r="Q35" s="313" t="str">
        <f t="shared" si="41"/>
        <v xml:space="preserve"> </v>
      </c>
      <c r="R35" s="313" t="str">
        <f t="shared" si="41"/>
        <v xml:space="preserve"> </v>
      </c>
      <c r="S35" s="313" t="str">
        <f t="shared" si="41"/>
        <v xml:space="preserve"> </v>
      </c>
      <c r="T35" s="313" t="str">
        <f t="shared" ref="T35:AC46" si="42">IF(MONTH(DATEVALUE($C35&amp;"1"))=MONTH(T$22),$D35," ")</f>
        <v xml:space="preserve"> </v>
      </c>
      <c r="U35" s="313" t="str">
        <f t="shared" si="42"/>
        <v xml:space="preserve"> </v>
      </c>
      <c r="V35" s="313">
        <f t="shared" si="42"/>
        <v>1</v>
      </c>
      <c r="W35" s="313" t="str">
        <f t="shared" si="42"/>
        <v xml:space="preserve"> </v>
      </c>
      <c r="X35" s="313" t="str">
        <f t="shared" si="42"/>
        <v xml:space="preserve"> </v>
      </c>
      <c r="Y35" s="313" t="str">
        <f t="shared" si="42"/>
        <v xml:space="preserve"> </v>
      </c>
      <c r="Z35" s="313" t="str">
        <f t="shared" si="42"/>
        <v xml:space="preserve"> </v>
      </c>
      <c r="AA35" s="313" t="str">
        <f t="shared" si="42"/>
        <v xml:space="preserve"> </v>
      </c>
      <c r="AB35" s="313" t="str">
        <f t="shared" si="42"/>
        <v xml:space="preserve"> </v>
      </c>
      <c r="AC35" s="313" t="str">
        <f t="shared" si="42"/>
        <v xml:space="preserve"> </v>
      </c>
      <c r="AD35" s="313" t="str">
        <f t="shared" ref="AD35:AT46" si="43">IF(MONTH(DATEVALUE($C35&amp;"1"))=MONTH(AD$22),$D35," ")</f>
        <v xml:space="preserve"> </v>
      </c>
      <c r="AE35" s="313" t="str">
        <f t="shared" si="43"/>
        <v xml:space="preserve"> </v>
      </c>
      <c r="AF35" s="313" t="str">
        <f t="shared" si="43"/>
        <v xml:space="preserve"> </v>
      </c>
      <c r="AG35" s="313" t="str">
        <f t="shared" si="43"/>
        <v xml:space="preserve"> </v>
      </c>
      <c r="AH35" s="313">
        <f t="shared" si="43"/>
        <v>1</v>
      </c>
      <c r="AI35" s="313" t="str">
        <f t="shared" si="43"/>
        <v xml:space="preserve"> </v>
      </c>
      <c r="AJ35" s="313" t="str">
        <f t="shared" si="43"/>
        <v xml:space="preserve"> </v>
      </c>
      <c r="AK35" s="313" t="str">
        <f t="shared" si="43"/>
        <v xml:space="preserve"> </v>
      </c>
      <c r="AL35" s="313" t="str">
        <f t="shared" si="43"/>
        <v xml:space="preserve"> </v>
      </c>
      <c r="AM35" s="313" t="str">
        <f t="shared" si="43"/>
        <v xml:space="preserve"> </v>
      </c>
      <c r="AN35" s="313" t="str">
        <f t="shared" si="43"/>
        <v xml:space="preserve"> </v>
      </c>
      <c r="AO35" s="313" t="str">
        <f t="shared" si="43"/>
        <v xml:space="preserve"> </v>
      </c>
      <c r="AP35" s="313" t="str">
        <f t="shared" si="43"/>
        <v xml:space="preserve"> </v>
      </c>
      <c r="AQ35" s="313" t="str">
        <f t="shared" si="43"/>
        <v xml:space="preserve"> </v>
      </c>
      <c r="AR35" s="313" t="str">
        <f t="shared" si="43"/>
        <v xml:space="preserve"> </v>
      </c>
      <c r="AS35" s="313" t="str">
        <f t="shared" si="43"/>
        <v xml:space="preserve"> </v>
      </c>
      <c r="AT35" s="313">
        <f t="shared" si="43"/>
        <v>1</v>
      </c>
      <c r="AU35" s="313" t="str">
        <f t="shared" ref="AU35:CD36" si="44">IF(MONTH(DATEVALUE($C35&amp;"1"))=MONTH(AU$22),$D35," ")</f>
        <v xml:space="preserve"> </v>
      </c>
      <c r="AV35" s="313" t="str">
        <f t="shared" si="44"/>
        <v xml:space="preserve"> </v>
      </c>
      <c r="AW35" s="313" t="str">
        <f t="shared" si="44"/>
        <v xml:space="preserve"> </v>
      </c>
      <c r="AX35" s="313" t="str">
        <f t="shared" si="44"/>
        <v xml:space="preserve"> </v>
      </c>
      <c r="AY35" s="313" t="str">
        <f t="shared" si="44"/>
        <v xml:space="preserve"> </v>
      </c>
      <c r="AZ35" s="313" t="str">
        <f t="shared" si="44"/>
        <v xml:space="preserve"> </v>
      </c>
      <c r="BA35" s="313" t="str">
        <f t="shared" si="44"/>
        <v xml:space="preserve"> </v>
      </c>
      <c r="BB35" s="313" t="str">
        <f t="shared" si="44"/>
        <v xml:space="preserve"> </v>
      </c>
      <c r="BC35" s="313" t="str">
        <f t="shared" si="44"/>
        <v xml:space="preserve"> </v>
      </c>
      <c r="BD35" s="313" t="str">
        <f t="shared" si="44"/>
        <v xml:space="preserve"> </v>
      </c>
      <c r="BE35" s="313" t="str">
        <f t="shared" si="44"/>
        <v xml:space="preserve"> </v>
      </c>
      <c r="BF35" s="313">
        <f t="shared" si="44"/>
        <v>1</v>
      </c>
      <c r="BG35" s="313" t="str">
        <f t="shared" si="44"/>
        <v xml:space="preserve"> </v>
      </c>
      <c r="BH35" s="313" t="str">
        <f t="shared" si="44"/>
        <v xml:space="preserve"> </v>
      </c>
      <c r="BI35" s="313" t="str">
        <f t="shared" si="44"/>
        <v xml:space="preserve"> </v>
      </c>
      <c r="BJ35" s="313" t="str">
        <f t="shared" si="44"/>
        <v xml:space="preserve"> </v>
      </c>
      <c r="BK35" s="313" t="str">
        <f t="shared" si="44"/>
        <v xml:space="preserve"> </v>
      </c>
      <c r="BL35" s="313" t="str">
        <f t="shared" si="44"/>
        <v xml:space="preserve"> </v>
      </c>
      <c r="BM35" s="313" t="str">
        <f t="shared" si="44"/>
        <v xml:space="preserve"> </v>
      </c>
      <c r="BN35" s="313" t="str">
        <f t="shared" si="44"/>
        <v xml:space="preserve"> </v>
      </c>
      <c r="BO35" s="313" t="str">
        <f t="shared" si="44"/>
        <v xml:space="preserve"> </v>
      </c>
      <c r="BP35" s="313" t="str">
        <f t="shared" si="44"/>
        <v xml:space="preserve"> </v>
      </c>
      <c r="BQ35" s="313" t="str">
        <f t="shared" si="44"/>
        <v xml:space="preserve"> </v>
      </c>
      <c r="BR35" s="313">
        <f t="shared" si="44"/>
        <v>1</v>
      </c>
      <c r="BS35" s="313" t="str">
        <f t="shared" si="44"/>
        <v xml:space="preserve"> </v>
      </c>
      <c r="BT35" s="313" t="str">
        <f t="shared" si="44"/>
        <v xml:space="preserve"> </v>
      </c>
      <c r="BU35" s="313" t="str">
        <f t="shared" si="44"/>
        <v xml:space="preserve"> </v>
      </c>
      <c r="BV35" s="313" t="str">
        <f t="shared" si="44"/>
        <v xml:space="preserve"> </v>
      </c>
      <c r="BW35" s="313" t="str">
        <f t="shared" si="44"/>
        <v xml:space="preserve"> </v>
      </c>
      <c r="BX35" s="313" t="str">
        <f t="shared" si="44"/>
        <v xml:space="preserve"> </v>
      </c>
      <c r="BY35" s="313" t="str">
        <f t="shared" si="44"/>
        <v xml:space="preserve"> </v>
      </c>
      <c r="BZ35" s="313" t="str">
        <f t="shared" si="44"/>
        <v xml:space="preserve"> </v>
      </c>
      <c r="CA35" s="313" t="str">
        <f t="shared" si="44"/>
        <v xml:space="preserve"> </v>
      </c>
      <c r="CB35" s="313" t="str">
        <f t="shared" si="44"/>
        <v xml:space="preserve"> </v>
      </c>
      <c r="CC35" s="313" t="str">
        <f t="shared" si="44"/>
        <v xml:space="preserve"> </v>
      </c>
      <c r="CD35" s="313">
        <f t="shared" si="44"/>
        <v>1</v>
      </c>
      <c r="CE35" s="313" t="str">
        <f t="shared" ref="CD35:DY40" si="45">IF(MONTH(DATEVALUE($C35&amp;"1"))=MONTH(CE$22),$D35," ")</f>
        <v xml:space="preserve"> </v>
      </c>
      <c r="CF35" s="313" t="str">
        <f t="shared" si="45"/>
        <v xml:space="preserve"> </v>
      </c>
      <c r="CG35" s="313" t="str">
        <f t="shared" si="45"/>
        <v xml:space="preserve"> </v>
      </c>
      <c r="CH35" s="313" t="str">
        <f t="shared" si="45"/>
        <v xml:space="preserve"> </v>
      </c>
      <c r="CI35" s="313" t="str">
        <f t="shared" si="45"/>
        <v xml:space="preserve"> </v>
      </c>
      <c r="CJ35" s="313" t="str">
        <f t="shared" si="45"/>
        <v xml:space="preserve"> </v>
      </c>
      <c r="CK35" s="313" t="str">
        <f t="shared" si="45"/>
        <v xml:space="preserve"> </v>
      </c>
      <c r="CL35" s="313" t="str">
        <f t="shared" si="45"/>
        <v xml:space="preserve"> </v>
      </c>
      <c r="CM35" s="313" t="str">
        <f t="shared" si="45"/>
        <v xml:space="preserve"> </v>
      </c>
      <c r="CN35" s="313" t="str">
        <f t="shared" si="45"/>
        <v xml:space="preserve"> </v>
      </c>
      <c r="CO35" s="313" t="str">
        <f t="shared" si="45"/>
        <v xml:space="preserve"> </v>
      </c>
      <c r="CP35" s="313">
        <f t="shared" si="45"/>
        <v>1</v>
      </c>
      <c r="CQ35" s="313" t="str">
        <f t="shared" si="45"/>
        <v xml:space="preserve"> </v>
      </c>
      <c r="CR35" s="313" t="str">
        <f t="shared" si="45"/>
        <v xml:space="preserve"> </v>
      </c>
      <c r="CS35" s="313" t="str">
        <f t="shared" si="45"/>
        <v xml:space="preserve"> </v>
      </c>
      <c r="CT35" s="313" t="str">
        <f t="shared" si="45"/>
        <v xml:space="preserve"> </v>
      </c>
      <c r="CU35" s="313" t="str">
        <f t="shared" si="45"/>
        <v xml:space="preserve"> </v>
      </c>
      <c r="CV35" s="313" t="str">
        <f t="shared" si="45"/>
        <v xml:space="preserve"> </v>
      </c>
      <c r="CW35" s="313" t="str">
        <f t="shared" si="45"/>
        <v xml:space="preserve"> </v>
      </c>
      <c r="CX35" s="313" t="str">
        <f t="shared" si="45"/>
        <v xml:space="preserve"> </v>
      </c>
      <c r="CY35" s="313" t="str">
        <f t="shared" si="45"/>
        <v xml:space="preserve"> </v>
      </c>
      <c r="CZ35" s="313" t="str">
        <f t="shared" si="45"/>
        <v xml:space="preserve"> </v>
      </c>
      <c r="DA35" s="313" t="str">
        <f t="shared" si="45"/>
        <v xml:space="preserve"> </v>
      </c>
      <c r="DB35" s="313">
        <f t="shared" si="45"/>
        <v>1</v>
      </c>
      <c r="DC35" s="313" t="str">
        <f t="shared" si="45"/>
        <v xml:space="preserve"> </v>
      </c>
      <c r="DD35" s="313" t="str">
        <f t="shared" si="45"/>
        <v xml:space="preserve"> </v>
      </c>
      <c r="DE35" s="313" t="str">
        <f t="shared" si="45"/>
        <v xml:space="preserve"> </v>
      </c>
      <c r="DF35" s="313" t="str">
        <f t="shared" si="45"/>
        <v xml:space="preserve"> </v>
      </c>
      <c r="DG35" s="313" t="str">
        <f t="shared" si="45"/>
        <v xml:space="preserve"> </v>
      </c>
      <c r="DH35" s="313" t="str">
        <f t="shared" si="45"/>
        <v xml:space="preserve"> </v>
      </c>
      <c r="DI35" s="313" t="str">
        <f t="shared" si="45"/>
        <v xml:space="preserve"> </v>
      </c>
      <c r="DJ35" s="313" t="str">
        <f t="shared" si="45"/>
        <v xml:space="preserve"> </v>
      </c>
      <c r="DK35" s="313" t="str">
        <f t="shared" si="45"/>
        <v xml:space="preserve"> </v>
      </c>
      <c r="DL35" s="313" t="str">
        <f t="shared" si="45"/>
        <v xml:space="preserve"> </v>
      </c>
      <c r="DM35" s="313" t="str">
        <f t="shared" si="45"/>
        <v xml:space="preserve"> </v>
      </c>
      <c r="DN35" s="313">
        <f t="shared" si="45"/>
        <v>1</v>
      </c>
      <c r="DO35" s="313" t="str">
        <f t="shared" si="45"/>
        <v xml:space="preserve"> </v>
      </c>
      <c r="DP35" s="313" t="str">
        <f t="shared" si="45"/>
        <v xml:space="preserve"> </v>
      </c>
      <c r="DQ35" s="313" t="str">
        <f t="shared" si="45"/>
        <v xml:space="preserve"> </v>
      </c>
      <c r="DR35" s="313" t="str">
        <f t="shared" si="45"/>
        <v xml:space="preserve"> </v>
      </c>
      <c r="DS35" s="313" t="str">
        <f t="shared" si="45"/>
        <v xml:space="preserve"> </v>
      </c>
      <c r="DT35" s="313" t="str">
        <f t="shared" si="45"/>
        <v xml:space="preserve"> </v>
      </c>
      <c r="DU35" s="313" t="str">
        <f t="shared" si="45"/>
        <v xml:space="preserve"> </v>
      </c>
      <c r="DV35" s="313" t="str">
        <f t="shared" si="45"/>
        <v xml:space="preserve"> </v>
      </c>
      <c r="DW35" s="313" t="str">
        <f t="shared" si="45"/>
        <v xml:space="preserve"> </v>
      </c>
      <c r="DX35" s="313" t="str">
        <f t="shared" si="45"/>
        <v xml:space="preserve"> </v>
      </c>
      <c r="DY35" s="313" t="str">
        <f t="shared" si="45"/>
        <v xml:space="preserve"> </v>
      </c>
    </row>
    <row r="36" spans="1:129" ht="15.6">
      <c r="A36" s="298"/>
      <c r="B36" s="312"/>
      <c r="C36" s="22" t="s">
        <v>58</v>
      </c>
      <c r="D36" s="476">
        <f>+'Model Assumptions'!F162</f>
        <v>1</v>
      </c>
      <c r="E36" s="298"/>
      <c r="F36" s="298"/>
      <c r="G36" s="298"/>
      <c r="H36" s="298"/>
      <c r="I36" s="298"/>
      <c r="J36" s="313" t="str">
        <f>IF(MONTH(DATEVALUE($C36&amp;"1"))=MONTH(J$22),$D36," ")</f>
        <v xml:space="preserve"> </v>
      </c>
      <c r="K36" s="313">
        <f t="shared" si="41"/>
        <v>1</v>
      </c>
      <c r="L36" s="313" t="str">
        <f t="shared" si="41"/>
        <v xml:space="preserve"> </v>
      </c>
      <c r="M36" s="313" t="str">
        <f t="shared" si="41"/>
        <v xml:space="preserve"> </v>
      </c>
      <c r="N36" s="313" t="str">
        <f t="shared" si="41"/>
        <v xml:space="preserve"> </v>
      </c>
      <c r="O36" s="313" t="str">
        <f t="shared" si="41"/>
        <v xml:space="preserve"> </v>
      </c>
      <c r="P36" s="313" t="str">
        <f t="shared" si="41"/>
        <v xml:space="preserve"> </v>
      </c>
      <c r="Q36" s="313" t="str">
        <f t="shared" si="41"/>
        <v xml:space="preserve"> </v>
      </c>
      <c r="R36" s="313" t="str">
        <f t="shared" si="41"/>
        <v xml:space="preserve"> </v>
      </c>
      <c r="S36" s="313" t="str">
        <f t="shared" si="41"/>
        <v xml:space="preserve"> </v>
      </c>
      <c r="T36" s="313" t="str">
        <f t="shared" si="42"/>
        <v xml:space="preserve"> </v>
      </c>
      <c r="U36" s="313" t="str">
        <f t="shared" si="42"/>
        <v xml:space="preserve"> </v>
      </c>
      <c r="V36" s="313" t="str">
        <f t="shared" si="42"/>
        <v xml:space="preserve"> </v>
      </c>
      <c r="W36" s="313">
        <f t="shared" si="42"/>
        <v>1</v>
      </c>
      <c r="X36" s="313" t="str">
        <f t="shared" si="42"/>
        <v xml:space="preserve"> </v>
      </c>
      <c r="Y36" s="313" t="str">
        <f t="shared" si="42"/>
        <v xml:space="preserve"> </v>
      </c>
      <c r="Z36" s="313" t="str">
        <f t="shared" si="42"/>
        <v xml:space="preserve"> </v>
      </c>
      <c r="AA36" s="313" t="str">
        <f t="shared" si="42"/>
        <v xml:space="preserve"> </v>
      </c>
      <c r="AB36" s="313" t="str">
        <f t="shared" si="42"/>
        <v xml:space="preserve"> </v>
      </c>
      <c r="AC36" s="313" t="str">
        <f t="shared" si="42"/>
        <v xml:space="preserve"> </v>
      </c>
      <c r="AD36" s="313" t="str">
        <f t="shared" si="43"/>
        <v xml:space="preserve"> </v>
      </c>
      <c r="AE36" s="313" t="str">
        <f t="shared" si="43"/>
        <v xml:space="preserve"> </v>
      </c>
      <c r="AF36" s="313" t="str">
        <f t="shared" si="43"/>
        <v xml:space="preserve"> </v>
      </c>
      <c r="AG36" s="313" t="str">
        <f t="shared" si="43"/>
        <v xml:space="preserve"> </v>
      </c>
      <c r="AH36" s="313" t="str">
        <f t="shared" si="43"/>
        <v xml:space="preserve"> </v>
      </c>
      <c r="AI36" s="313">
        <f t="shared" si="43"/>
        <v>1</v>
      </c>
      <c r="AJ36" s="313" t="str">
        <f t="shared" si="43"/>
        <v xml:space="preserve"> </v>
      </c>
      <c r="AK36" s="313" t="str">
        <f t="shared" si="43"/>
        <v xml:space="preserve"> </v>
      </c>
      <c r="AL36" s="313" t="str">
        <f t="shared" si="43"/>
        <v xml:space="preserve"> </v>
      </c>
      <c r="AM36" s="313" t="str">
        <f t="shared" ref="AM36:BB36" si="46">IF(MONTH(DATEVALUE($C36&amp;"1"))=MONTH(AM$22),$D36," ")</f>
        <v xml:space="preserve"> </v>
      </c>
      <c r="AN36" s="313" t="str">
        <f t="shared" si="46"/>
        <v xml:space="preserve"> </v>
      </c>
      <c r="AO36" s="313" t="str">
        <f t="shared" si="46"/>
        <v xml:space="preserve"> </v>
      </c>
      <c r="AP36" s="313" t="str">
        <f t="shared" si="46"/>
        <v xml:space="preserve"> </v>
      </c>
      <c r="AQ36" s="313" t="str">
        <f t="shared" si="46"/>
        <v xml:space="preserve"> </v>
      </c>
      <c r="AR36" s="313" t="str">
        <f t="shared" si="46"/>
        <v xml:space="preserve"> </v>
      </c>
      <c r="AS36" s="313" t="str">
        <f t="shared" si="46"/>
        <v xml:space="preserve"> </v>
      </c>
      <c r="AT36" s="313" t="str">
        <f t="shared" si="46"/>
        <v xml:space="preserve"> </v>
      </c>
      <c r="AU36" s="313">
        <f t="shared" si="46"/>
        <v>1</v>
      </c>
      <c r="AV36" s="313" t="str">
        <f t="shared" si="46"/>
        <v xml:space="preserve"> </v>
      </c>
      <c r="AW36" s="313" t="str">
        <f t="shared" si="46"/>
        <v xml:space="preserve"> </v>
      </c>
      <c r="AX36" s="313" t="str">
        <f t="shared" si="46"/>
        <v xml:space="preserve"> </v>
      </c>
      <c r="AY36" s="313" t="str">
        <f t="shared" si="46"/>
        <v xml:space="preserve"> </v>
      </c>
      <c r="AZ36" s="313" t="str">
        <f t="shared" si="46"/>
        <v xml:space="preserve"> </v>
      </c>
      <c r="BA36" s="313" t="str">
        <f t="shared" si="46"/>
        <v xml:space="preserve"> </v>
      </c>
      <c r="BB36" s="313" t="str">
        <f t="shared" si="46"/>
        <v xml:space="preserve"> </v>
      </c>
      <c r="BC36" s="313" t="str">
        <f t="shared" si="44"/>
        <v xml:space="preserve"> </v>
      </c>
      <c r="BD36" s="313" t="str">
        <f t="shared" si="44"/>
        <v xml:space="preserve"> </v>
      </c>
      <c r="BE36" s="313" t="str">
        <f t="shared" si="44"/>
        <v xml:space="preserve"> </v>
      </c>
      <c r="BF36" s="313" t="str">
        <f t="shared" si="44"/>
        <v xml:space="preserve"> </v>
      </c>
      <c r="BG36" s="313">
        <f t="shared" si="44"/>
        <v>1</v>
      </c>
      <c r="BH36" s="313" t="str">
        <f t="shared" si="44"/>
        <v xml:space="preserve"> </v>
      </c>
      <c r="BI36" s="313" t="str">
        <f t="shared" si="44"/>
        <v xml:space="preserve"> </v>
      </c>
      <c r="BJ36" s="313" t="str">
        <f t="shared" si="44"/>
        <v xml:space="preserve"> </v>
      </c>
      <c r="BK36" s="313" t="str">
        <f t="shared" si="44"/>
        <v xml:space="preserve"> </v>
      </c>
      <c r="BL36" s="313" t="str">
        <f t="shared" si="44"/>
        <v xml:space="preserve"> </v>
      </c>
      <c r="BM36" s="313" t="str">
        <f t="shared" si="44"/>
        <v xml:space="preserve"> </v>
      </c>
      <c r="BN36" s="313" t="str">
        <f t="shared" si="44"/>
        <v xml:space="preserve"> </v>
      </c>
      <c r="BO36" s="313" t="str">
        <f t="shared" si="44"/>
        <v xml:space="preserve"> </v>
      </c>
      <c r="BP36" s="313" t="str">
        <f t="shared" si="44"/>
        <v xml:space="preserve"> </v>
      </c>
      <c r="BQ36" s="313" t="str">
        <f t="shared" si="44"/>
        <v xml:space="preserve"> </v>
      </c>
      <c r="BR36" s="313" t="str">
        <f t="shared" si="44"/>
        <v xml:space="preserve"> </v>
      </c>
      <c r="BS36" s="313">
        <f t="shared" si="44"/>
        <v>1</v>
      </c>
      <c r="BT36" s="313" t="str">
        <f t="shared" si="44"/>
        <v xml:space="preserve"> </v>
      </c>
      <c r="BU36" s="313" t="str">
        <f t="shared" si="44"/>
        <v xml:space="preserve"> </v>
      </c>
      <c r="BV36" s="313" t="str">
        <f t="shared" si="44"/>
        <v xml:space="preserve"> </v>
      </c>
      <c r="BW36" s="313" t="str">
        <f t="shared" si="44"/>
        <v xml:space="preserve"> </v>
      </c>
      <c r="BX36" s="313" t="str">
        <f t="shared" si="44"/>
        <v xml:space="preserve"> </v>
      </c>
      <c r="BY36" s="313" t="str">
        <f t="shared" si="44"/>
        <v xml:space="preserve"> </v>
      </c>
      <c r="BZ36" s="313" t="str">
        <f t="shared" si="44"/>
        <v xml:space="preserve"> </v>
      </c>
      <c r="CA36" s="313" t="str">
        <f t="shared" si="44"/>
        <v xml:space="preserve"> </v>
      </c>
      <c r="CB36" s="313" t="str">
        <f t="shared" si="44"/>
        <v xml:space="preserve"> </v>
      </c>
      <c r="CC36" s="313" t="str">
        <f t="shared" si="44"/>
        <v xml:space="preserve"> </v>
      </c>
      <c r="CD36" s="313" t="str">
        <f t="shared" si="45"/>
        <v xml:space="preserve"> </v>
      </c>
      <c r="CE36" s="313">
        <f t="shared" si="45"/>
        <v>1</v>
      </c>
      <c r="CF36" s="313" t="str">
        <f t="shared" si="45"/>
        <v xml:space="preserve"> </v>
      </c>
      <c r="CG36" s="313" t="str">
        <f t="shared" si="45"/>
        <v xml:space="preserve"> </v>
      </c>
      <c r="CH36" s="313" t="str">
        <f t="shared" si="45"/>
        <v xml:space="preserve"> </v>
      </c>
      <c r="CI36" s="313" t="str">
        <f t="shared" si="45"/>
        <v xml:space="preserve"> </v>
      </c>
      <c r="CJ36" s="313" t="str">
        <f t="shared" si="45"/>
        <v xml:space="preserve"> </v>
      </c>
      <c r="CK36" s="313" t="str">
        <f t="shared" si="45"/>
        <v xml:space="preserve"> </v>
      </c>
      <c r="CL36" s="313" t="str">
        <f t="shared" si="45"/>
        <v xml:space="preserve"> </v>
      </c>
      <c r="CM36" s="313" t="str">
        <f t="shared" si="45"/>
        <v xml:space="preserve"> </v>
      </c>
      <c r="CN36" s="313" t="str">
        <f t="shared" si="45"/>
        <v xml:space="preserve"> </v>
      </c>
      <c r="CO36" s="313" t="str">
        <f t="shared" si="45"/>
        <v xml:space="preserve"> </v>
      </c>
      <c r="CP36" s="313" t="str">
        <f t="shared" si="45"/>
        <v xml:space="preserve"> </v>
      </c>
      <c r="CQ36" s="313">
        <f t="shared" si="45"/>
        <v>1</v>
      </c>
      <c r="CR36" s="313" t="str">
        <f t="shared" si="45"/>
        <v xml:space="preserve"> </v>
      </c>
      <c r="CS36" s="313" t="str">
        <f t="shared" si="45"/>
        <v xml:space="preserve"> </v>
      </c>
      <c r="CT36" s="313" t="str">
        <f t="shared" si="45"/>
        <v xml:space="preserve"> </v>
      </c>
      <c r="CU36" s="313" t="str">
        <f t="shared" si="45"/>
        <v xml:space="preserve"> </v>
      </c>
      <c r="CV36" s="313" t="str">
        <f t="shared" si="45"/>
        <v xml:space="preserve"> </v>
      </c>
      <c r="CW36" s="313" t="str">
        <f t="shared" si="45"/>
        <v xml:space="preserve"> </v>
      </c>
      <c r="CX36" s="313" t="str">
        <f t="shared" si="45"/>
        <v xml:space="preserve"> </v>
      </c>
      <c r="CY36" s="313" t="str">
        <f t="shared" si="45"/>
        <v xml:space="preserve"> </v>
      </c>
      <c r="CZ36" s="313" t="str">
        <f t="shared" si="45"/>
        <v xml:space="preserve"> </v>
      </c>
      <c r="DA36" s="313" t="str">
        <f t="shared" si="45"/>
        <v xml:space="preserve"> </v>
      </c>
      <c r="DB36" s="313" t="str">
        <f t="shared" si="45"/>
        <v xml:space="preserve"> </v>
      </c>
      <c r="DC36" s="313">
        <f t="shared" si="45"/>
        <v>1</v>
      </c>
      <c r="DD36" s="313" t="str">
        <f t="shared" si="45"/>
        <v xml:space="preserve"> </v>
      </c>
      <c r="DE36" s="313" t="str">
        <f t="shared" si="45"/>
        <v xml:space="preserve"> </v>
      </c>
      <c r="DF36" s="313" t="str">
        <f t="shared" si="45"/>
        <v xml:space="preserve"> </v>
      </c>
      <c r="DG36" s="313" t="str">
        <f t="shared" si="45"/>
        <v xml:space="preserve"> </v>
      </c>
      <c r="DH36" s="313" t="str">
        <f t="shared" si="45"/>
        <v xml:space="preserve"> </v>
      </c>
      <c r="DI36" s="313" t="str">
        <f t="shared" si="45"/>
        <v xml:space="preserve"> </v>
      </c>
      <c r="DJ36" s="313" t="str">
        <f t="shared" si="45"/>
        <v xml:space="preserve"> </v>
      </c>
      <c r="DK36" s="313" t="str">
        <f t="shared" si="45"/>
        <v xml:space="preserve"> </v>
      </c>
      <c r="DL36" s="313" t="str">
        <f t="shared" si="45"/>
        <v xml:space="preserve"> </v>
      </c>
      <c r="DM36" s="313" t="str">
        <f t="shared" si="45"/>
        <v xml:space="preserve"> </v>
      </c>
      <c r="DN36" s="313" t="str">
        <f t="shared" si="45"/>
        <v xml:space="preserve"> </v>
      </c>
      <c r="DO36" s="313">
        <f t="shared" si="45"/>
        <v>1</v>
      </c>
      <c r="DP36" s="313" t="str">
        <f t="shared" si="45"/>
        <v xml:space="preserve"> </v>
      </c>
      <c r="DQ36" s="313" t="str">
        <f t="shared" si="45"/>
        <v xml:space="preserve"> </v>
      </c>
      <c r="DR36" s="313" t="str">
        <f t="shared" si="45"/>
        <v xml:space="preserve"> </v>
      </c>
      <c r="DS36" s="313" t="str">
        <f t="shared" si="45"/>
        <v xml:space="preserve"> </v>
      </c>
      <c r="DT36" s="313" t="str">
        <f t="shared" si="45"/>
        <v xml:space="preserve"> </v>
      </c>
      <c r="DU36" s="313" t="str">
        <f t="shared" si="45"/>
        <v xml:space="preserve"> </v>
      </c>
      <c r="DV36" s="313" t="str">
        <f t="shared" si="45"/>
        <v xml:space="preserve"> </v>
      </c>
      <c r="DW36" s="313" t="str">
        <f t="shared" si="45"/>
        <v xml:space="preserve"> </v>
      </c>
      <c r="DX36" s="313" t="str">
        <f t="shared" si="45"/>
        <v xml:space="preserve"> </v>
      </c>
      <c r="DY36" s="313" t="str">
        <f t="shared" si="45"/>
        <v xml:space="preserve"> </v>
      </c>
    </row>
    <row r="37" spans="1:129" ht="15.6">
      <c r="A37" s="298"/>
      <c r="B37" s="312"/>
      <c r="C37" s="22" t="s">
        <v>59</v>
      </c>
      <c r="D37" s="476">
        <f>+'Model Assumptions'!F163</f>
        <v>1</v>
      </c>
      <c r="E37" s="298"/>
      <c r="F37" s="298"/>
      <c r="G37" s="298"/>
      <c r="H37" s="298"/>
      <c r="I37" s="298"/>
      <c r="J37" s="313" t="str">
        <f>IF(MONTH(DATEVALUE($C37&amp;"1"))=MONTH(J$22),$D37," ")</f>
        <v xml:space="preserve"> </v>
      </c>
      <c r="K37" s="313" t="str">
        <f t="shared" si="41"/>
        <v xml:space="preserve"> </v>
      </c>
      <c r="L37" s="313">
        <f t="shared" si="41"/>
        <v>1</v>
      </c>
      <c r="M37" s="313" t="str">
        <f t="shared" si="41"/>
        <v xml:space="preserve"> </v>
      </c>
      <c r="N37" s="313" t="str">
        <f t="shared" si="41"/>
        <v xml:space="preserve"> </v>
      </c>
      <c r="O37" s="313" t="str">
        <f t="shared" si="41"/>
        <v xml:space="preserve"> </v>
      </c>
      <c r="P37" s="313" t="str">
        <f t="shared" si="41"/>
        <v xml:space="preserve"> </v>
      </c>
      <c r="Q37" s="313" t="str">
        <f t="shared" si="41"/>
        <v xml:space="preserve"> </v>
      </c>
      <c r="R37" s="313" t="str">
        <f t="shared" si="41"/>
        <v xml:space="preserve"> </v>
      </c>
      <c r="S37" s="313" t="str">
        <f t="shared" si="41"/>
        <v xml:space="preserve"> </v>
      </c>
      <c r="T37" s="313" t="str">
        <f t="shared" si="42"/>
        <v xml:space="preserve"> </v>
      </c>
      <c r="U37" s="313" t="str">
        <f t="shared" si="42"/>
        <v xml:space="preserve"> </v>
      </c>
      <c r="V37" s="313" t="str">
        <f t="shared" si="42"/>
        <v xml:space="preserve"> </v>
      </c>
      <c r="W37" s="313" t="str">
        <f t="shared" si="42"/>
        <v xml:space="preserve"> </v>
      </c>
      <c r="X37" s="313">
        <f t="shared" si="42"/>
        <v>1</v>
      </c>
      <c r="Y37" s="313" t="str">
        <f t="shared" si="42"/>
        <v xml:space="preserve"> </v>
      </c>
      <c r="Z37" s="313" t="str">
        <f t="shared" si="42"/>
        <v xml:space="preserve"> </v>
      </c>
      <c r="AA37" s="313" t="str">
        <f t="shared" si="42"/>
        <v xml:space="preserve"> </v>
      </c>
      <c r="AB37" s="313" t="str">
        <f t="shared" si="42"/>
        <v xml:space="preserve"> </v>
      </c>
      <c r="AC37" s="313" t="str">
        <f t="shared" si="42"/>
        <v xml:space="preserve"> </v>
      </c>
      <c r="AD37" s="313" t="str">
        <f t="shared" si="43"/>
        <v xml:space="preserve"> </v>
      </c>
      <c r="AE37" s="313" t="str">
        <f t="shared" si="43"/>
        <v xml:space="preserve"> </v>
      </c>
      <c r="AF37" s="313" t="str">
        <f t="shared" si="43"/>
        <v xml:space="preserve"> </v>
      </c>
      <c r="AG37" s="313" t="str">
        <f t="shared" si="43"/>
        <v xml:space="preserve"> </v>
      </c>
      <c r="AH37" s="313" t="str">
        <f t="shared" si="43"/>
        <v xml:space="preserve"> </v>
      </c>
      <c r="AI37" s="313" t="str">
        <f t="shared" si="43"/>
        <v xml:space="preserve"> </v>
      </c>
      <c r="AJ37" s="313">
        <f t="shared" si="43"/>
        <v>1</v>
      </c>
      <c r="AK37" s="313" t="str">
        <f t="shared" si="43"/>
        <v xml:space="preserve"> </v>
      </c>
      <c r="AL37" s="313" t="str">
        <f t="shared" si="43"/>
        <v xml:space="preserve"> </v>
      </c>
      <c r="AM37" s="313" t="str">
        <f t="shared" ref="AM37:AS46" si="47">IF(MONTH(DATEVALUE($C37&amp;"1"))=MONTH(AM$22),$D37," ")</f>
        <v xml:space="preserve"> </v>
      </c>
      <c r="AN37" s="313" t="str">
        <f t="shared" si="47"/>
        <v xml:space="preserve"> </v>
      </c>
      <c r="AO37" s="313" t="str">
        <f t="shared" si="47"/>
        <v xml:space="preserve"> </v>
      </c>
      <c r="AP37" s="313" t="str">
        <f t="shared" si="47"/>
        <v xml:space="preserve"> </v>
      </c>
      <c r="AQ37" s="313" t="str">
        <f t="shared" si="47"/>
        <v xml:space="preserve"> </v>
      </c>
      <c r="AR37" s="313" t="str">
        <f t="shared" si="47"/>
        <v xml:space="preserve"> </v>
      </c>
      <c r="AS37" s="313" t="str">
        <f t="shared" si="47"/>
        <v xml:space="preserve"> </v>
      </c>
      <c r="AT37" s="313" t="str">
        <f t="shared" ref="AT37:CD42" si="48">IF(MONTH(DATEVALUE($C37&amp;"1"))=MONTH(AT$22),$D37," ")</f>
        <v xml:space="preserve"> </v>
      </c>
      <c r="AU37" s="313" t="str">
        <f t="shared" si="48"/>
        <v xml:space="preserve"> </v>
      </c>
      <c r="AV37" s="313">
        <f t="shared" si="48"/>
        <v>1</v>
      </c>
      <c r="AW37" s="313" t="str">
        <f t="shared" si="48"/>
        <v xml:space="preserve"> </v>
      </c>
      <c r="AX37" s="313" t="str">
        <f t="shared" si="48"/>
        <v xml:space="preserve"> </v>
      </c>
      <c r="AY37" s="313" t="str">
        <f t="shared" si="48"/>
        <v xml:space="preserve"> </v>
      </c>
      <c r="AZ37" s="313" t="str">
        <f t="shared" si="48"/>
        <v xml:space="preserve"> </v>
      </c>
      <c r="BA37" s="313" t="str">
        <f t="shared" si="48"/>
        <v xml:space="preserve"> </v>
      </c>
      <c r="BB37" s="313" t="str">
        <f t="shared" si="48"/>
        <v xml:space="preserve"> </v>
      </c>
      <c r="BC37" s="313" t="str">
        <f t="shared" si="48"/>
        <v xml:space="preserve"> </v>
      </c>
      <c r="BD37" s="313" t="str">
        <f t="shared" si="48"/>
        <v xml:space="preserve"> </v>
      </c>
      <c r="BE37" s="313" t="str">
        <f t="shared" si="48"/>
        <v xml:space="preserve"> </v>
      </c>
      <c r="BF37" s="313" t="str">
        <f t="shared" si="48"/>
        <v xml:space="preserve"> </v>
      </c>
      <c r="BG37" s="313" t="str">
        <f t="shared" si="48"/>
        <v xml:space="preserve"> </v>
      </c>
      <c r="BH37" s="313">
        <f t="shared" si="48"/>
        <v>1</v>
      </c>
      <c r="BI37" s="313" t="str">
        <f t="shared" si="48"/>
        <v xml:space="preserve"> </v>
      </c>
      <c r="BJ37" s="313" t="str">
        <f t="shared" si="48"/>
        <v xml:space="preserve"> </v>
      </c>
      <c r="BK37" s="313" t="str">
        <f t="shared" si="48"/>
        <v xml:space="preserve"> </v>
      </c>
      <c r="BL37" s="313" t="str">
        <f t="shared" si="48"/>
        <v xml:space="preserve"> </v>
      </c>
      <c r="BM37" s="313" t="str">
        <f t="shared" si="48"/>
        <v xml:space="preserve"> </v>
      </c>
      <c r="BN37" s="313" t="str">
        <f t="shared" si="48"/>
        <v xml:space="preserve"> </v>
      </c>
      <c r="BO37" s="313" t="str">
        <f t="shared" si="48"/>
        <v xml:space="preserve"> </v>
      </c>
      <c r="BP37" s="313" t="str">
        <f t="shared" si="48"/>
        <v xml:space="preserve"> </v>
      </c>
      <c r="BQ37" s="313" t="str">
        <f t="shared" si="48"/>
        <v xml:space="preserve"> </v>
      </c>
      <c r="BR37" s="313" t="str">
        <f t="shared" si="48"/>
        <v xml:space="preserve"> </v>
      </c>
      <c r="BS37" s="313" t="str">
        <f t="shared" si="48"/>
        <v xml:space="preserve"> </v>
      </c>
      <c r="BT37" s="313">
        <f t="shared" si="48"/>
        <v>1</v>
      </c>
      <c r="BU37" s="313" t="str">
        <f t="shared" si="48"/>
        <v xml:space="preserve"> </v>
      </c>
      <c r="BV37" s="313" t="str">
        <f t="shared" si="48"/>
        <v xml:space="preserve"> </v>
      </c>
      <c r="BW37" s="313" t="str">
        <f t="shared" si="48"/>
        <v xml:space="preserve"> </v>
      </c>
      <c r="BX37" s="313" t="str">
        <f t="shared" si="48"/>
        <v xml:space="preserve"> </v>
      </c>
      <c r="BY37" s="313" t="str">
        <f t="shared" si="48"/>
        <v xml:space="preserve"> </v>
      </c>
      <c r="BZ37" s="313" t="str">
        <f t="shared" si="48"/>
        <v xml:space="preserve"> </v>
      </c>
      <c r="CA37" s="313" t="str">
        <f t="shared" si="48"/>
        <v xml:space="preserve"> </v>
      </c>
      <c r="CB37" s="313" t="str">
        <f t="shared" si="48"/>
        <v xml:space="preserve"> </v>
      </c>
      <c r="CC37" s="313" t="str">
        <f t="shared" si="48"/>
        <v xml:space="preserve"> </v>
      </c>
      <c r="CD37" s="313" t="str">
        <f t="shared" si="48"/>
        <v xml:space="preserve"> </v>
      </c>
      <c r="CE37" s="313" t="str">
        <f t="shared" si="45"/>
        <v xml:space="preserve"> </v>
      </c>
      <c r="CF37" s="313">
        <f t="shared" si="45"/>
        <v>1</v>
      </c>
      <c r="CG37" s="313" t="str">
        <f t="shared" si="45"/>
        <v xml:space="preserve"> </v>
      </c>
      <c r="CH37" s="313" t="str">
        <f t="shared" si="45"/>
        <v xml:space="preserve"> </v>
      </c>
      <c r="CI37" s="313" t="str">
        <f t="shared" si="45"/>
        <v xml:space="preserve"> </v>
      </c>
      <c r="CJ37" s="313" t="str">
        <f t="shared" si="45"/>
        <v xml:space="preserve"> </v>
      </c>
      <c r="CK37" s="313" t="str">
        <f t="shared" si="45"/>
        <v xml:space="preserve"> </v>
      </c>
      <c r="CL37" s="313" t="str">
        <f t="shared" si="45"/>
        <v xml:space="preserve"> </v>
      </c>
      <c r="CM37" s="313" t="str">
        <f t="shared" si="45"/>
        <v xml:space="preserve"> </v>
      </c>
      <c r="CN37" s="313" t="str">
        <f t="shared" si="45"/>
        <v xml:space="preserve"> </v>
      </c>
      <c r="CO37" s="313" t="str">
        <f t="shared" si="45"/>
        <v xml:space="preserve"> </v>
      </c>
      <c r="CP37" s="313" t="str">
        <f t="shared" si="45"/>
        <v xml:space="preserve"> </v>
      </c>
      <c r="CQ37" s="313" t="str">
        <f t="shared" si="45"/>
        <v xml:space="preserve"> </v>
      </c>
      <c r="CR37" s="313">
        <f t="shared" si="45"/>
        <v>1</v>
      </c>
      <c r="CS37" s="313" t="str">
        <f t="shared" si="45"/>
        <v xml:space="preserve"> </v>
      </c>
      <c r="CT37" s="313" t="str">
        <f t="shared" si="45"/>
        <v xml:space="preserve"> </v>
      </c>
      <c r="CU37" s="313" t="str">
        <f t="shared" si="45"/>
        <v xml:space="preserve"> </v>
      </c>
      <c r="CV37" s="313" t="str">
        <f t="shared" si="45"/>
        <v xml:space="preserve"> </v>
      </c>
      <c r="CW37" s="313" t="str">
        <f t="shared" si="45"/>
        <v xml:space="preserve"> </v>
      </c>
      <c r="CX37" s="313" t="str">
        <f t="shared" si="45"/>
        <v xml:space="preserve"> </v>
      </c>
      <c r="CY37" s="313" t="str">
        <f t="shared" si="45"/>
        <v xml:space="preserve"> </v>
      </c>
      <c r="CZ37" s="313" t="str">
        <f t="shared" si="45"/>
        <v xml:space="preserve"> </v>
      </c>
      <c r="DA37" s="313" t="str">
        <f t="shared" si="45"/>
        <v xml:space="preserve"> </v>
      </c>
      <c r="DB37" s="313" t="str">
        <f t="shared" si="45"/>
        <v xml:space="preserve"> </v>
      </c>
      <c r="DC37" s="313" t="str">
        <f t="shared" si="45"/>
        <v xml:space="preserve"> </v>
      </c>
      <c r="DD37" s="313">
        <f t="shared" si="45"/>
        <v>1</v>
      </c>
      <c r="DE37" s="313" t="str">
        <f t="shared" si="45"/>
        <v xml:space="preserve"> </v>
      </c>
      <c r="DF37" s="313" t="str">
        <f t="shared" si="45"/>
        <v xml:space="preserve"> </v>
      </c>
      <c r="DG37" s="313" t="str">
        <f t="shared" si="45"/>
        <v xml:space="preserve"> </v>
      </c>
      <c r="DH37" s="313" t="str">
        <f t="shared" si="45"/>
        <v xml:space="preserve"> </v>
      </c>
      <c r="DI37" s="313" t="str">
        <f t="shared" si="45"/>
        <v xml:space="preserve"> </v>
      </c>
      <c r="DJ37" s="313" t="str">
        <f t="shared" si="45"/>
        <v xml:space="preserve"> </v>
      </c>
      <c r="DK37" s="313" t="str">
        <f t="shared" si="45"/>
        <v xml:space="preserve"> </v>
      </c>
      <c r="DL37" s="313" t="str">
        <f t="shared" si="45"/>
        <v xml:space="preserve"> </v>
      </c>
      <c r="DM37" s="313" t="str">
        <f t="shared" si="45"/>
        <v xml:space="preserve"> </v>
      </c>
      <c r="DN37" s="313" t="str">
        <f t="shared" si="45"/>
        <v xml:space="preserve"> </v>
      </c>
      <c r="DO37" s="313" t="str">
        <f t="shared" si="45"/>
        <v xml:space="preserve"> </v>
      </c>
      <c r="DP37" s="313">
        <f t="shared" si="45"/>
        <v>1</v>
      </c>
      <c r="DQ37" s="313" t="str">
        <f t="shared" si="45"/>
        <v xml:space="preserve"> </v>
      </c>
      <c r="DR37" s="313" t="str">
        <f t="shared" si="45"/>
        <v xml:space="preserve"> </v>
      </c>
      <c r="DS37" s="313" t="str">
        <f t="shared" si="45"/>
        <v xml:space="preserve"> </v>
      </c>
      <c r="DT37" s="313" t="str">
        <f t="shared" si="45"/>
        <v xml:space="preserve"> </v>
      </c>
      <c r="DU37" s="313" t="str">
        <f t="shared" si="45"/>
        <v xml:space="preserve"> </v>
      </c>
      <c r="DV37" s="313" t="str">
        <f t="shared" si="45"/>
        <v xml:space="preserve"> </v>
      </c>
      <c r="DW37" s="313" t="str">
        <f t="shared" si="45"/>
        <v xml:space="preserve"> </v>
      </c>
      <c r="DX37" s="313" t="str">
        <f t="shared" si="45"/>
        <v xml:space="preserve"> </v>
      </c>
      <c r="DY37" s="313" t="str">
        <f t="shared" si="45"/>
        <v xml:space="preserve"> </v>
      </c>
    </row>
    <row r="38" spans="1:129" ht="15.6">
      <c r="A38" s="298"/>
      <c r="B38" s="312"/>
      <c r="C38" s="22" t="s">
        <v>60</v>
      </c>
      <c r="D38" s="476">
        <f>+'Model Assumptions'!F164</f>
        <v>1</v>
      </c>
      <c r="E38" s="298"/>
      <c r="F38" s="298"/>
      <c r="G38" s="298"/>
      <c r="H38" s="298"/>
      <c r="I38" s="298"/>
      <c r="J38" s="313" t="str">
        <f t="shared" si="41"/>
        <v xml:space="preserve"> </v>
      </c>
      <c r="K38" s="313" t="str">
        <f t="shared" si="41"/>
        <v xml:space="preserve"> </v>
      </c>
      <c r="L38" s="313" t="str">
        <f t="shared" si="41"/>
        <v xml:space="preserve"> </v>
      </c>
      <c r="M38" s="313">
        <f t="shared" si="41"/>
        <v>1</v>
      </c>
      <c r="N38" s="313" t="str">
        <f t="shared" si="41"/>
        <v xml:space="preserve"> </v>
      </c>
      <c r="O38" s="313" t="str">
        <f t="shared" si="41"/>
        <v xml:space="preserve"> </v>
      </c>
      <c r="P38" s="313" t="str">
        <f t="shared" si="41"/>
        <v xml:space="preserve"> </v>
      </c>
      <c r="Q38" s="313" t="str">
        <f t="shared" si="41"/>
        <v xml:space="preserve"> </v>
      </c>
      <c r="R38" s="313" t="str">
        <f t="shared" si="41"/>
        <v xml:space="preserve"> </v>
      </c>
      <c r="S38" s="313" t="str">
        <f t="shared" si="41"/>
        <v xml:space="preserve"> </v>
      </c>
      <c r="T38" s="313" t="str">
        <f t="shared" si="42"/>
        <v xml:space="preserve"> </v>
      </c>
      <c r="U38" s="313" t="str">
        <f t="shared" si="42"/>
        <v xml:space="preserve"> </v>
      </c>
      <c r="V38" s="313" t="str">
        <f t="shared" si="42"/>
        <v xml:space="preserve"> </v>
      </c>
      <c r="W38" s="313" t="str">
        <f t="shared" si="42"/>
        <v xml:space="preserve"> </v>
      </c>
      <c r="X38" s="313" t="str">
        <f t="shared" si="42"/>
        <v xml:space="preserve"> </v>
      </c>
      <c r="Y38" s="313">
        <f t="shared" si="42"/>
        <v>1</v>
      </c>
      <c r="Z38" s="313" t="str">
        <f t="shared" si="42"/>
        <v xml:space="preserve"> </v>
      </c>
      <c r="AA38" s="313" t="str">
        <f t="shared" si="42"/>
        <v xml:space="preserve"> </v>
      </c>
      <c r="AB38" s="313" t="str">
        <f t="shared" si="42"/>
        <v xml:space="preserve"> </v>
      </c>
      <c r="AC38" s="313" t="str">
        <f t="shared" si="42"/>
        <v xml:space="preserve"> </v>
      </c>
      <c r="AD38" s="313" t="str">
        <f t="shared" si="43"/>
        <v xml:space="preserve"> </v>
      </c>
      <c r="AE38" s="313" t="str">
        <f t="shared" si="43"/>
        <v xml:space="preserve"> </v>
      </c>
      <c r="AF38" s="313" t="str">
        <f t="shared" si="43"/>
        <v xml:space="preserve"> </v>
      </c>
      <c r="AG38" s="313" t="str">
        <f t="shared" si="43"/>
        <v xml:space="preserve"> </v>
      </c>
      <c r="AH38" s="313" t="str">
        <f t="shared" si="43"/>
        <v xml:space="preserve"> </v>
      </c>
      <c r="AI38" s="313" t="str">
        <f t="shared" si="43"/>
        <v xml:space="preserve"> </v>
      </c>
      <c r="AJ38" s="313" t="str">
        <f t="shared" si="43"/>
        <v xml:space="preserve"> </v>
      </c>
      <c r="AK38" s="313">
        <f t="shared" si="43"/>
        <v>1</v>
      </c>
      <c r="AL38" s="313" t="str">
        <f t="shared" si="43"/>
        <v xml:space="preserve"> </v>
      </c>
      <c r="AM38" s="313" t="str">
        <f t="shared" si="47"/>
        <v xml:space="preserve"> </v>
      </c>
      <c r="AN38" s="313" t="str">
        <f t="shared" si="47"/>
        <v xml:space="preserve"> </v>
      </c>
      <c r="AO38" s="313" t="str">
        <f t="shared" si="47"/>
        <v xml:space="preserve"> </v>
      </c>
      <c r="AP38" s="313" t="str">
        <f t="shared" si="47"/>
        <v xml:space="preserve"> </v>
      </c>
      <c r="AQ38" s="313" t="str">
        <f t="shared" si="47"/>
        <v xml:space="preserve"> </v>
      </c>
      <c r="AR38" s="313" t="str">
        <f t="shared" si="47"/>
        <v xml:space="preserve"> </v>
      </c>
      <c r="AS38" s="313" t="str">
        <f t="shared" si="47"/>
        <v xml:space="preserve"> </v>
      </c>
      <c r="AT38" s="313" t="str">
        <f t="shared" si="48"/>
        <v xml:space="preserve"> </v>
      </c>
      <c r="AU38" s="313" t="str">
        <f t="shared" si="48"/>
        <v xml:space="preserve"> </v>
      </c>
      <c r="AV38" s="313" t="str">
        <f t="shared" si="48"/>
        <v xml:space="preserve"> </v>
      </c>
      <c r="AW38" s="313">
        <f t="shared" si="48"/>
        <v>1</v>
      </c>
      <c r="AX38" s="313" t="str">
        <f t="shared" si="48"/>
        <v xml:space="preserve"> </v>
      </c>
      <c r="AY38" s="313" t="str">
        <f t="shared" si="48"/>
        <v xml:space="preserve"> </v>
      </c>
      <c r="AZ38" s="313" t="str">
        <f t="shared" si="48"/>
        <v xml:space="preserve"> </v>
      </c>
      <c r="BA38" s="313" t="str">
        <f t="shared" si="48"/>
        <v xml:space="preserve"> </v>
      </c>
      <c r="BB38" s="313" t="str">
        <f t="shared" si="48"/>
        <v xml:space="preserve"> </v>
      </c>
      <c r="BC38" s="313" t="str">
        <f t="shared" si="48"/>
        <v xml:space="preserve"> </v>
      </c>
      <c r="BD38" s="313" t="str">
        <f t="shared" si="48"/>
        <v xml:space="preserve"> </v>
      </c>
      <c r="BE38" s="313" t="str">
        <f t="shared" si="48"/>
        <v xml:space="preserve"> </v>
      </c>
      <c r="BF38" s="313" t="str">
        <f t="shared" si="48"/>
        <v xml:space="preserve"> </v>
      </c>
      <c r="BG38" s="313" t="str">
        <f t="shared" si="48"/>
        <v xml:space="preserve"> </v>
      </c>
      <c r="BH38" s="313" t="str">
        <f t="shared" si="48"/>
        <v xml:space="preserve"> </v>
      </c>
      <c r="BI38" s="313">
        <f t="shared" si="48"/>
        <v>1</v>
      </c>
      <c r="BJ38" s="313" t="str">
        <f t="shared" si="48"/>
        <v xml:space="preserve"> </v>
      </c>
      <c r="BK38" s="313" t="str">
        <f t="shared" si="48"/>
        <v xml:space="preserve"> </v>
      </c>
      <c r="BL38" s="313" t="str">
        <f t="shared" si="48"/>
        <v xml:space="preserve"> </v>
      </c>
      <c r="BM38" s="313" t="str">
        <f t="shared" si="48"/>
        <v xml:space="preserve"> </v>
      </c>
      <c r="BN38" s="313" t="str">
        <f t="shared" si="48"/>
        <v xml:space="preserve"> </v>
      </c>
      <c r="BO38" s="313" t="str">
        <f t="shared" si="48"/>
        <v xml:space="preserve"> </v>
      </c>
      <c r="BP38" s="313" t="str">
        <f t="shared" si="48"/>
        <v xml:space="preserve"> </v>
      </c>
      <c r="BQ38" s="313" t="str">
        <f t="shared" si="48"/>
        <v xml:space="preserve"> </v>
      </c>
      <c r="BR38" s="313" t="str">
        <f t="shared" si="48"/>
        <v xml:space="preserve"> </v>
      </c>
      <c r="BS38" s="313" t="str">
        <f t="shared" si="48"/>
        <v xml:space="preserve"> </v>
      </c>
      <c r="BT38" s="313" t="str">
        <f t="shared" si="48"/>
        <v xml:space="preserve"> </v>
      </c>
      <c r="BU38" s="313">
        <f t="shared" si="48"/>
        <v>1</v>
      </c>
      <c r="BV38" s="313" t="str">
        <f t="shared" si="48"/>
        <v xml:space="preserve"> </v>
      </c>
      <c r="BW38" s="313" t="str">
        <f t="shared" si="48"/>
        <v xml:space="preserve"> </v>
      </c>
      <c r="BX38" s="313" t="str">
        <f t="shared" si="48"/>
        <v xml:space="preserve"> </v>
      </c>
      <c r="BY38" s="313" t="str">
        <f t="shared" si="48"/>
        <v xml:space="preserve"> </v>
      </c>
      <c r="BZ38" s="313" t="str">
        <f t="shared" si="48"/>
        <v xml:space="preserve"> </v>
      </c>
      <c r="CA38" s="313" t="str">
        <f t="shared" si="48"/>
        <v xml:space="preserve"> </v>
      </c>
      <c r="CB38" s="313" t="str">
        <f t="shared" si="48"/>
        <v xml:space="preserve"> </v>
      </c>
      <c r="CC38" s="313" t="str">
        <f t="shared" si="48"/>
        <v xml:space="preserve"> </v>
      </c>
      <c r="CD38" s="313" t="str">
        <f t="shared" si="45"/>
        <v xml:space="preserve"> </v>
      </c>
      <c r="CE38" s="313" t="str">
        <f t="shared" si="45"/>
        <v xml:space="preserve"> </v>
      </c>
      <c r="CF38" s="313" t="str">
        <f t="shared" si="45"/>
        <v xml:space="preserve"> </v>
      </c>
      <c r="CG38" s="313">
        <f t="shared" si="45"/>
        <v>1</v>
      </c>
      <c r="CH38" s="313" t="str">
        <f t="shared" si="45"/>
        <v xml:space="preserve"> </v>
      </c>
      <c r="CI38" s="313" t="str">
        <f t="shared" si="45"/>
        <v xml:space="preserve"> </v>
      </c>
      <c r="CJ38" s="313" t="str">
        <f t="shared" si="45"/>
        <v xml:space="preserve"> </v>
      </c>
      <c r="CK38" s="313" t="str">
        <f t="shared" si="45"/>
        <v xml:space="preserve"> </v>
      </c>
      <c r="CL38" s="313" t="str">
        <f t="shared" si="45"/>
        <v xml:space="preserve"> </v>
      </c>
      <c r="CM38" s="313" t="str">
        <f t="shared" si="45"/>
        <v xml:space="preserve"> </v>
      </c>
      <c r="CN38" s="313" t="str">
        <f t="shared" si="45"/>
        <v xml:space="preserve"> </v>
      </c>
      <c r="CO38" s="313" t="str">
        <f t="shared" si="45"/>
        <v xml:space="preserve"> </v>
      </c>
      <c r="CP38" s="313" t="str">
        <f t="shared" si="45"/>
        <v xml:space="preserve"> </v>
      </c>
      <c r="CQ38" s="313" t="str">
        <f t="shared" si="45"/>
        <v xml:space="preserve"> </v>
      </c>
      <c r="CR38" s="313" t="str">
        <f t="shared" si="45"/>
        <v xml:space="preserve"> </v>
      </c>
      <c r="CS38" s="313">
        <f t="shared" si="45"/>
        <v>1</v>
      </c>
      <c r="CT38" s="313" t="str">
        <f t="shared" si="45"/>
        <v xml:space="preserve"> </v>
      </c>
      <c r="CU38" s="313" t="str">
        <f t="shared" si="45"/>
        <v xml:space="preserve"> </v>
      </c>
      <c r="CV38" s="313" t="str">
        <f t="shared" si="45"/>
        <v xml:space="preserve"> </v>
      </c>
      <c r="CW38" s="313" t="str">
        <f t="shared" si="45"/>
        <v xml:space="preserve"> </v>
      </c>
      <c r="CX38" s="313" t="str">
        <f t="shared" si="45"/>
        <v xml:space="preserve"> </v>
      </c>
      <c r="CY38" s="313" t="str">
        <f t="shared" si="45"/>
        <v xml:space="preserve"> </v>
      </c>
      <c r="CZ38" s="313" t="str">
        <f t="shared" si="45"/>
        <v xml:space="preserve"> </v>
      </c>
      <c r="DA38" s="313" t="str">
        <f t="shared" si="45"/>
        <v xml:space="preserve"> </v>
      </c>
      <c r="DB38" s="313" t="str">
        <f t="shared" si="45"/>
        <v xml:space="preserve"> </v>
      </c>
      <c r="DC38" s="313" t="str">
        <f t="shared" si="45"/>
        <v xml:space="preserve"> </v>
      </c>
      <c r="DD38" s="313" t="str">
        <f t="shared" si="45"/>
        <v xml:space="preserve"> </v>
      </c>
      <c r="DE38" s="313">
        <f t="shared" si="45"/>
        <v>1</v>
      </c>
      <c r="DF38" s="313" t="str">
        <f t="shared" si="45"/>
        <v xml:space="preserve"> </v>
      </c>
      <c r="DG38" s="313" t="str">
        <f t="shared" si="45"/>
        <v xml:space="preserve"> </v>
      </c>
      <c r="DH38" s="313" t="str">
        <f t="shared" si="45"/>
        <v xml:space="preserve"> </v>
      </c>
      <c r="DI38" s="313" t="str">
        <f t="shared" si="45"/>
        <v xml:space="preserve"> </v>
      </c>
      <c r="DJ38" s="313" t="str">
        <f t="shared" si="45"/>
        <v xml:space="preserve"> </v>
      </c>
      <c r="DK38" s="313" t="str">
        <f t="shared" si="45"/>
        <v xml:space="preserve"> </v>
      </c>
      <c r="DL38" s="313" t="str">
        <f t="shared" si="45"/>
        <v xml:space="preserve"> </v>
      </c>
      <c r="DM38" s="313" t="str">
        <f t="shared" si="45"/>
        <v xml:space="preserve"> </v>
      </c>
      <c r="DN38" s="313" t="str">
        <f t="shared" si="45"/>
        <v xml:space="preserve"> </v>
      </c>
      <c r="DO38" s="313" t="str">
        <f t="shared" si="45"/>
        <v xml:space="preserve"> </v>
      </c>
      <c r="DP38" s="313" t="str">
        <f t="shared" si="45"/>
        <v xml:space="preserve"> </v>
      </c>
      <c r="DQ38" s="313">
        <f t="shared" si="45"/>
        <v>1</v>
      </c>
      <c r="DR38" s="313" t="str">
        <f t="shared" si="45"/>
        <v xml:space="preserve"> </v>
      </c>
      <c r="DS38" s="313" t="str">
        <f t="shared" si="45"/>
        <v xml:space="preserve"> </v>
      </c>
      <c r="DT38" s="313" t="str">
        <f t="shared" si="45"/>
        <v xml:space="preserve"> </v>
      </c>
      <c r="DU38" s="313" t="str">
        <f t="shared" si="45"/>
        <v xml:space="preserve"> </v>
      </c>
      <c r="DV38" s="313" t="str">
        <f t="shared" si="45"/>
        <v xml:space="preserve"> </v>
      </c>
      <c r="DW38" s="313" t="str">
        <f t="shared" si="45"/>
        <v xml:space="preserve"> </v>
      </c>
      <c r="DX38" s="313" t="str">
        <f t="shared" si="45"/>
        <v xml:space="preserve"> </v>
      </c>
      <c r="DY38" s="313" t="str">
        <f t="shared" si="45"/>
        <v xml:space="preserve"> </v>
      </c>
    </row>
    <row r="39" spans="1:129" ht="15.6">
      <c r="A39" s="298"/>
      <c r="B39" s="312"/>
      <c r="C39" s="22" t="s">
        <v>61</v>
      </c>
      <c r="D39" s="476">
        <f>+'Model Assumptions'!F165</f>
        <v>1</v>
      </c>
      <c r="E39" s="298"/>
      <c r="F39" s="298"/>
      <c r="G39" s="298"/>
      <c r="H39" s="298"/>
      <c r="I39" s="298"/>
      <c r="J39" s="313" t="str">
        <f t="shared" si="41"/>
        <v xml:space="preserve"> </v>
      </c>
      <c r="K39" s="313" t="str">
        <f t="shared" si="41"/>
        <v xml:space="preserve"> </v>
      </c>
      <c r="L39" s="313" t="str">
        <f t="shared" si="41"/>
        <v xml:space="preserve"> </v>
      </c>
      <c r="M39" s="313" t="str">
        <f t="shared" si="41"/>
        <v xml:space="preserve"> </v>
      </c>
      <c r="N39" s="313">
        <f t="shared" si="41"/>
        <v>1</v>
      </c>
      <c r="O39" s="313" t="str">
        <f t="shared" si="41"/>
        <v xml:space="preserve"> </v>
      </c>
      <c r="P39" s="313" t="str">
        <f t="shared" si="41"/>
        <v xml:space="preserve"> </v>
      </c>
      <c r="Q39" s="313" t="str">
        <f t="shared" si="41"/>
        <v xml:space="preserve"> </v>
      </c>
      <c r="R39" s="313" t="str">
        <f t="shared" si="41"/>
        <v xml:space="preserve"> </v>
      </c>
      <c r="S39" s="313" t="str">
        <f t="shared" si="41"/>
        <v xml:space="preserve"> </v>
      </c>
      <c r="T39" s="313" t="str">
        <f t="shared" si="42"/>
        <v xml:space="preserve"> </v>
      </c>
      <c r="U39" s="313" t="str">
        <f t="shared" si="42"/>
        <v xml:space="preserve"> </v>
      </c>
      <c r="V39" s="313" t="str">
        <f t="shared" si="42"/>
        <v xml:space="preserve"> </v>
      </c>
      <c r="W39" s="313" t="str">
        <f t="shared" si="42"/>
        <v xml:space="preserve"> </v>
      </c>
      <c r="X39" s="313" t="str">
        <f t="shared" si="42"/>
        <v xml:space="preserve"> </v>
      </c>
      <c r="Y39" s="313" t="str">
        <f t="shared" si="42"/>
        <v xml:space="preserve"> </v>
      </c>
      <c r="Z39" s="313">
        <f t="shared" si="42"/>
        <v>1</v>
      </c>
      <c r="AA39" s="313" t="str">
        <f t="shared" si="42"/>
        <v xml:space="preserve"> </v>
      </c>
      <c r="AB39" s="313" t="str">
        <f t="shared" si="42"/>
        <v xml:space="preserve"> </v>
      </c>
      <c r="AC39" s="313" t="str">
        <f t="shared" si="42"/>
        <v xml:space="preserve"> </v>
      </c>
      <c r="AD39" s="313" t="str">
        <f t="shared" si="43"/>
        <v xml:space="preserve"> </v>
      </c>
      <c r="AE39" s="313" t="str">
        <f t="shared" si="43"/>
        <v xml:space="preserve"> </v>
      </c>
      <c r="AF39" s="313" t="str">
        <f t="shared" si="43"/>
        <v xml:space="preserve"> </v>
      </c>
      <c r="AG39" s="313" t="str">
        <f t="shared" si="43"/>
        <v xml:space="preserve"> </v>
      </c>
      <c r="AH39" s="313" t="str">
        <f t="shared" si="43"/>
        <v xml:space="preserve"> </v>
      </c>
      <c r="AI39" s="313" t="str">
        <f t="shared" si="43"/>
        <v xml:space="preserve"> </v>
      </c>
      <c r="AJ39" s="313" t="str">
        <f t="shared" si="43"/>
        <v xml:space="preserve"> </v>
      </c>
      <c r="AK39" s="313" t="str">
        <f t="shared" si="43"/>
        <v xml:space="preserve"> </v>
      </c>
      <c r="AL39" s="313">
        <f t="shared" si="43"/>
        <v>1</v>
      </c>
      <c r="AM39" s="313" t="str">
        <f t="shared" si="47"/>
        <v xml:space="preserve"> </v>
      </c>
      <c r="AN39" s="313" t="str">
        <f t="shared" si="47"/>
        <v xml:space="preserve"> </v>
      </c>
      <c r="AO39" s="313" t="str">
        <f t="shared" si="47"/>
        <v xml:space="preserve"> </v>
      </c>
      <c r="AP39" s="313" t="str">
        <f t="shared" si="47"/>
        <v xml:space="preserve"> </v>
      </c>
      <c r="AQ39" s="313" t="str">
        <f t="shared" si="47"/>
        <v xml:space="preserve"> </v>
      </c>
      <c r="AR39" s="313" t="str">
        <f t="shared" si="47"/>
        <v xml:space="preserve"> </v>
      </c>
      <c r="AS39" s="313" t="str">
        <f t="shared" si="47"/>
        <v xml:space="preserve"> </v>
      </c>
      <c r="AT39" s="313" t="str">
        <f t="shared" si="48"/>
        <v xml:space="preserve"> </v>
      </c>
      <c r="AU39" s="313" t="str">
        <f t="shared" si="48"/>
        <v xml:space="preserve"> </v>
      </c>
      <c r="AV39" s="313" t="str">
        <f t="shared" si="48"/>
        <v xml:space="preserve"> </v>
      </c>
      <c r="AW39" s="313" t="str">
        <f t="shared" si="48"/>
        <v xml:space="preserve"> </v>
      </c>
      <c r="AX39" s="313">
        <f t="shared" si="48"/>
        <v>1</v>
      </c>
      <c r="AY39" s="313" t="str">
        <f t="shared" si="48"/>
        <v xml:space="preserve"> </v>
      </c>
      <c r="AZ39" s="313" t="str">
        <f t="shared" si="48"/>
        <v xml:space="preserve"> </v>
      </c>
      <c r="BA39" s="313" t="str">
        <f t="shared" si="48"/>
        <v xml:space="preserve"> </v>
      </c>
      <c r="BB39" s="313" t="str">
        <f t="shared" si="48"/>
        <v xml:space="preserve"> </v>
      </c>
      <c r="BC39" s="313" t="str">
        <f t="shared" si="48"/>
        <v xml:space="preserve"> </v>
      </c>
      <c r="BD39" s="313" t="str">
        <f t="shared" si="48"/>
        <v xml:space="preserve"> </v>
      </c>
      <c r="BE39" s="313" t="str">
        <f t="shared" si="48"/>
        <v xml:space="preserve"> </v>
      </c>
      <c r="BF39" s="313" t="str">
        <f t="shared" si="48"/>
        <v xml:space="preserve"> </v>
      </c>
      <c r="BG39" s="313" t="str">
        <f t="shared" si="48"/>
        <v xml:space="preserve"> </v>
      </c>
      <c r="BH39" s="313" t="str">
        <f t="shared" si="48"/>
        <v xml:space="preserve"> </v>
      </c>
      <c r="BI39" s="313" t="str">
        <f t="shared" si="48"/>
        <v xml:space="preserve"> </v>
      </c>
      <c r="BJ39" s="313">
        <f t="shared" si="48"/>
        <v>1</v>
      </c>
      <c r="BK39" s="313" t="str">
        <f t="shared" si="48"/>
        <v xml:space="preserve"> </v>
      </c>
      <c r="BL39" s="313" t="str">
        <f t="shared" si="48"/>
        <v xml:space="preserve"> </v>
      </c>
      <c r="BM39" s="313" t="str">
        <f t="shared" si="48"/>
        <v xml:space="preserve"> </v>
      </c>
      <c r="BN39" s="313" t="str">
        <f t="shared" si="48"/>
        <v xml:space="preserve"> </v>
      </c>
      <c r="BO39" s="313" t="str">
        <f t="shared" si="48"/>
        <v xml:space="preserve"> </v>
      </c>
      <c r="BP39" s="313" t="str">
        <f t="shared" si="48"/>
        <v xml:space="preserve"> </v>
      </c>
      <c r="BQ39" s="313" t="str">
        <f t="shared" si="48"/>
        <v xml:space="preserve"> </v>
      </c>
      <c r="BR39" s="313" t="str">
        <f t="shared" si="48"/>
        <v xml:space="preserve"> </v>
      </c>
      <c r="BS39" s="313" t="str">
        <f t="shared" si="48"/>
        <v xml:space="preserve"> </v>
      </c>
      <c r="BT39" s="313" t="str">
        <f t="shared" si="48"/>
        <v xml:space="preserve"> </v>
      </c>
      <c r="BU39" s="313" t="str">
        <f t="shared" si="48"/>
        <v xml:space="preserve"> </v>
      </c>
      <c r="BV39" s="313">
        <f t="shared" si="48"/>
        <v>1</v>
      </c>
      <c r="BW39" s="313" t="str">
        <f t="shared" si="48"/>
        <v xml:space="preserve"> </v>
      </c>
      <c r="BX39" s="313" t="str">
        <f t="shared" si="48"/>
        <v xml:space="preserve"> </v>
      </c>
      <c r="BY39" s="313" t="str">
        <f t="shared" si="48"/>
        <v xml:space="preserve"> </v>
      </c>
      <c r="BZ39" s="313" t="str">
        <f t="shared" si="48"/>
        <v xml:space="preserve"> </v>
      </c>
      <c r="CA39" s="313" t="str">
        <f t="shared" si="48"/>
        <v xml:space="preserve"> </v>
      </c>
      <c r="CB39" s="313" t="str">
        <f t="shared" si="48"/>
        <v xml:space="preserve"> </v>
      </c>
      <c r="CC39" s="313" t="str">
        <f t="shared" si="48"/>
        <v xml:space="preserve"> </v>
      </c>
      <c r="CD39" s="313" t="str">
        <f t="shared" si="45"/>
        <v xml:space="preserve"> </v>
      </c>
      <c r="CE39" s="313" t="str">
        <f t="shared" si="45"/>
        <v xml:space="preserve"> </v>
      </c>
      <c r="CF39" s="313" t="str">
        <f t="shared" si="45"/>
        <v xml:space="preserve"> </v>
      </c>
      <c r="CG39" s="313" t="str">
        <f t="shared" si="45"/>
        <v xml:space="preserve"> </v>
      </c>
      <c r="CH39" s="313">
        <f t="shared" si="45"/>
        <v>1</v>
      </c>
      <c r="CI39" s="313" t="str">
        <f t="shared" si="45"/>
        <v xml:space="preserve"> </v>
      </c>
      <c r="CJ39" s="313" t="str">
        <f t="shared" si="45"/>
        <v xml:space="preserve"> </v>
      </c>
      <c r="CK39" s="313" t="str">
        <f t="shared" si="45"/>
        <v xml:space="preserve"> </v>
      </c>
      <c r="CL39" s="313" t="str">
        <f t="shared" si="45"/>
        <v xml:space="preserve"> </v>
      </c>
      <c r="CM39" s="313" t="str">
        <f t="shared" si="45"/>
        <v xml:space="preserve"> </v>
      </c>
      <c r="CN39" s="313" t="str">
        <f t="shared" si="45"/>
        <v xml:space="preserve"> </v>
      </c>
      <c r="CO39" s="313" t="str">
        <f t="shared" si="45"/>
        <v xml:space="preserve"> </v>
      </c>
      <c r="CP39" s="313" t="str">
        <f t="shared" si="45"/>
        <v xml:space="preserve"> </v>
      </c>
      <c r="CQ39" s="313" t="str">
        <f t="shared" si="45"/>
        <v xml:space="preserve"> </v>
      </c>
      <c r="CR39" s="313" t="str">
        <f t="shared" si="45"/>
        <v xml:space="preserve"> </v>
      </c>
      <c r="CS39" s="313" t="str">
        <f t="shared" si="45"/>
        <v xml:space="preserve"> </v>
      </c>
      <c r="CT39" s="313">
        <f t="shared" si="45"/>
        <v>1</v>
      </c>
      <c r="CU39" s="313" t="str">
        <f t="shared" si="45"/>
        <v xml:space="preserve"> </v>
      </c>
      <c r="CV39" s="313" t="str">
        <f t="shared" si="45"/>
        <v xml:space="preserve"> </v>
      </c>
      <c r="CW39" s="313" t="str">
        <f t="shared" si="45"/>
        <v xml:space="preserve"> </v>
      </c>
      <c r="CX39" s="313" t="str">
        <f t="shared" si="45"/>
        <v xml:space="preserve"> </v>
      </c>
      <c r="CY39" s="313" t="str">
        <f t="shared" si="45"/>
        <v xml:space="preserve"> </v>
      </c>
      <c r="CZ39" s="313" t="str">
        <f t="shared" si="45"/>
        <v xml:space="preserve"> </v>
      </c>
      <c r="DA39" s="313" t="str">
        <f t="shared" si="45"/>
        <v xml:space="preserve"> </v>
      </c>
      <c r="DB39" s="313" t="str">
        <f t="shared" si="45"/>
        <v xml:space="preserve"> </v>
      </c>
      <c r="DC39" s="313" t="str">
        <f t="shared" si="45"/>
        <v xml:space="preserve"> </v>
      </c>
      <c r="DD39" s="313" t="str">
        <f t="shared" si="45"/>
        <v xml:space="preserve"> </v>
      </c>
      <c r="DE39" s="313" t="str">
        <f t="shared" si="45"/>
        <v xml:space="preserve"> </v>
      </c>
      <c r="DF39" s="313">
        <f t="shared" si="45"/>
        <v>1</v>
      </c>
      <c r="DG39" s="313" t="str">
        <f t="shared" si="45"/>
        <v xml:space="preserve"> </v>
      </c>
      <c r="DH39" s="313" t="str">
        <f t="shared" si="45"/>
        <v xml:space="preserve"> </v>
      </c>
      <c r="DI39" s="313" t="str">
        <f t="shared" si="45"/>
        <v xml:space="preserve"> </v>
      </c>
      <c r="DJ39" s="313" t="str">
        <f t="shared" si="45"/>
        <v xml:space="preserve"> </v>
      </c>
      <c r="DK39" s="313" t="str">
        <f t="shared" si="45"/>
        <v xml:space="preserve"> </v>
      </c>
      <c r="DL39" s="313" t="str">
        <f t="shared" si="45"/>
        <v xml:space="preserve"> </v>
      </c>
      <c r="DM39" s="313" t="str">
        <f t="shared" si="45"/>
        <v xml:space="preserve"> </v>
      </c>
      <c r="DN39" s="313" t="str">
        <f t="shared" si="45"/>
        <v xml:space="preserve"> </v>
      </c>
      <c r="DO39" s="313" t="str">
        <f t="shared" si="45"/>
        <v xml:space="preserve"> </v>
      </c>
      <c r="DP39" s="313" t="str">
        <f t="shared" si="45"/>
        <v xml:space="preserve"> </v>
      </c>
      <c r="DQ39" s="313" t="str">
        <f t="shared" si="45"/>
        <v xml:space="preserve"> </v>
      </c>
      <c r="DR39" s="313">
        <f t="shared" si="45"/>
        <v>1</v>
      </c>
      <c r="DS39" s="313" t="str">
        <f t="shared" si="45"/>
        <v xml:space="preserve"> </v>
      </c>
      <c r="DT39" s="313" t="str">
        <f t="shared" si="45"/>
        <v xml:space="preserve"> </v>
      </c>
      <c r="DU39" s="313" t="str">
        <f t="shared" si="45"/>
        <v xml:space="preserve"> </v>
      </c>
      <c r="DV39" s="313" t="str">
        <f t="shared" si="45"/>
        <v xml:space="preserve"> </v>
      </c>
      <c r="DW39" s="313" t="str">
        <f t="shared" si="45"/>
        <v xml:space="preserve"> </v>
      </c>
      <c r="DX39" s="313" t="str">
        <f t="shared" si="45"/>
        <v xml:space="preserve"> </v>
      </c>
      <c r="DY39" s="313" t="str">
        <f t="shared" si="45"/>
        <v xml:space="preserve"> </v>
      </c>
    </row>
    <row r="40" spans="1:129" ht="15.6">
      <c r="A40" s="298"/>
      <c r="B40" s="312"/>
      <c r="C40" s="22" t="s">
        <v>62</v>
      </c>
      <c r="D40" s="476">
        <f>+'Model Assumptions'!F166</f>
        <v>1</v>
      </c>
      <c r="E40" s="298"/>
      <c r="F40" s="298"/>
      <c r="G40" s="298"/>
      <c r="H40" s="298"/>
      <c r="I40" s="298"/>
      <c r="J40" s="313" t="str">
        <f t="shared" si="41"/>
        <v xml:space="preserve"> </v>
      </c>
      <c r="K40" s="313" t="str">
        <f t="shared" si="41"/>
        <v xml:space="preserve"> </v>
      </c>
      <c r="L40" s="313" t="str">
        <f t="shared" si="41"/>
        <v xml:space="preserve"> </v>
      </c>
      <c r="M40" s="313" t="str">
        <f t="shared" si="41"/>
        <v xml:space="preserve"> </v>
      </c>
      <c r="N40" s="313" t="str">
        <f t="shared" si="41"/>
        <v xml:space="preserve"> </v>
      </c>
      <c r="O40" s="313">
        <f t="shared" si="41"/>
        <v>1</v>
      </c>
      <c r="P40" s="313" t="str">
        <f t="shared" si="41"/>
        <v xml:space="preserve"> </v>
      </c>
      <c r="Q40" s="313" t="str">
        <f t="shared" si="41"/>
        <v xml:space="preserve"> </v>
      </c>
      <c r="R40" s="313" t="str">
        <f t="shared" si="41"/>
        <v xml:space="preserve"> </v>
      </c>
      <c r="S40" s="313" t="str">
        <f t="shared" si="41"/>
        <v xml:space="preserve"> </v>
      </c>
      <c r="T40" s="313" t="str">
        <f t="shared" si="42"/>
        <v xml:space="preserve"> </v>
      </c>
      <c r="U40" s="313" t="str">
        <f t="shared" si="42"/>
        <v xml:space="preserve"> </v>
      </c>
      <c r="V40" s="313" t="str">
        <f t="shared" si="42"/>
        <v xml:space="preserve"> </v>
      </c>
      <c r="W40" s="313" t="str">
        <f t="shared" si="42"/>
        <v xml:space="preserve"> </v>
      </c>
      <c r="X40" s="313" t="str">
        <f t="shared" si="42"/>
        <v xml:space="preserve"> </v>
      </c>
      <c r="Y40" s="313" t="str">
        <f t="shared" si="42"/>
        <v xml:space="preserve"> </v>
      </c>
      <c r="Z40" s="313" t="str">
        <f t="shared" si="42"/>
        <v xml:space="preserve"> </v>
      </c>
      <c r="AA40" s="313">
        <f t="shared" si="42"/>
        <v>1</v>
      </c>
      <c r="AB40" s="313" t="str">
        <f t="shared" si="42"/>
        <v xml:space="preserve"> </v>
      </c>
      <c r="AC40" s="313" t="str">
        <f t="shared" si="42"/>
        <v xml:space="preserve"> </v>
      </c>
      <c r="AD40" s="313" t="str">
        <f t="shared" si="43"/>
        <v xml:space="preserve"> </v>
      </c>
      <c r="AE40" s="313" t="str">
        <f t="shared" si="43"/>
        <v xml:space="preserve"> </v>
      </c>
      <c r="AF40" s="313" t="str">
        <f t="shared" si="43"/>
        <v xml:space="preserve"> </v>
      </c>
      <c r="AG40" s="313" t="str">
        <f t="shared" si="43"/>
        <v xml:space="preserve"> </v>
      </c>
      <c r="AH40" s="313" t="str">
        <f t="shared" si="43"/>
        <v xml:space="preserve"> </v>
      </c>
      <c r="AI40" s="313" t="str">
        <f t="shared" si="43"/>
        <v xml:space="preserve"> </v>
      </c>
      <c r="AJ40" s="313" t="str">
        <f t="shared" si="43"/>
        <v xml:space="preserve"> </v>
      </c>
      <c r="AK40" s="313" t="str">
        <f t="shared" si="43"/>
        <v xml:space="preserve"> </v>
      </c>
      <c r="AL40" s="313" t="str">
        <f t="shared" si="43"/>
        <v xml:space="preserve"> </v>
      </c>
      <c r="AM40" s="313">
        <f t="shared" si="47"/>
        <v>1</v>
      </c>
      <c r="AN40" s="313" t="str">
        <f t="shared" si="47"/>
        <v xml:space="preserve"> </v>
      </c>
      <c r="AO40" s="313" t="str">
        <f t="shared" si="47"/>
        <v xml:space="preserve"> </v>
      </c>
      <c r="AP40" s="313" t="str">
        <f t="shared" si="47"/>
        <v xml:space="preserve"> </v>
      </c>
      <c r="AQ40" s="313" t="str">
        <f t="shared" si="47"/>
        <v xml:space="preserve"> </v>
      </c>
      <c r="AR40" s="313" t="str">
        <f t="shared" si="47"/>
        <v xml:space="preserve"> </v>
      </c>
      <c r="AS40" s="313" t="str">
        <f t="shared" si="47"/>
        <v xml:space="preserve"> </v>
      </c>
      <c r="AT40" s="313" t="str">
        <f t="shared" si="48"/>
        <v xml:space="preserve"> </v>
      </c>
      <c r="AU40" s="313" t="str">
        <f t="shared" si="48"/>
        <v xml:space="preserve"> </v>
      </c>
      <c r="AV40" s="313" t="str">
        <f t="shared" si="48"/>
        <v xml:space="preserve"> </v>
      </c>
      <c r="AW40" s="313" t="str">
        <f t="shared" si="48"/>
        <v xml:space="preserve"> </v>
      </c>
      <c r="AX40" s="313" t="str">
        <f t="shared" si="48"/>
        <v xml:space="preserve"> </v>
      </c>
      <c r="AY40" s="313">
        <f t="shared" si="48"/>
        <v>1</v>
      </c>
      <c r="AZ40" s="313" t="str">
        <f t="shared" si="48"/>
        <v xml:space="preserve"> </v>
      </c>
      <c r="BA40" s="313" t="str">
        <f t="shared" si="48"/>
        <v xml:space="preserve"> </v>
      </c>
      <c r="BB40" s="313" t="str">
        <f t="shared" si="48"/>
        <v xml:space="preserve"> </v>
      </c>
      <c r="BC40" s="313" t="str">
        <f t="shared" si="48"/>
        <v xml:space="preserve"> </v>
      </c>
      <c r="BD40" s="313" t="str">
        <f t="shared" si="48"/>
        <v xml:space="preserve"> </v>
      </c>
      <c r="BE40" s="313" t="str">
        <f t="shared" si="48"/>
        <v xml:space="preserve"> </v>
      </c>
      <c r="BF40" s="313" t="str">
        <f t="shared" si="48"/>
        <v xml:space="preserve"> </v>
      </c>
      <c r="BG40" s="313" t="str">
        <f t="shared" si="48"/>
        <v xml:space="preserve"> </v>
      </c>
      <c r="BH40" s="313" t="str">
        <f t="shared" si="48"/>
        <v xml:space="preserve"> </v>
      </c>
      <c r="BI40" s="313" t="str">
        <f t="shared" si="48"/>
        <v xml:space="preserve"> </v>
      </c>
      <c r="BJ40" s="313" t="str">
        <f t="shared" si="48"/>
        <v xml:space="preserve"> </v>
      </c>
      <c r="BK40" s="313">
        <f t="shared" si="48"/>
        <v>1</v>
      </c>
      <c r="BL40" s="313" t="str">
        <f t="shared" si="48"/>
        <v xml:space="preserve"> </v>
      </c>
      <c r="BM40" s="313" t="str">
        <f t="shared" si="48"/>
        <v xml:space="preserve"> </v>
      </c>
      <c r="BN40" s="313" t="str">
        <f t="shared" si="48"/>
        <v xml:space="preserve"> </v>
      </c>
      <c r="BO40" s="313" t="str">
        <f t="shared" si="48"/>
        <v xml:space="preserve"> </v>
      </c>
      <c r="BP40" s="313" t="str">
        <f t="shared" si="48"/>
        <v xml:space="preserve"> </v>
      </c>
      <c r="BQ40" s="313" t="str">
        <f t="shared" si="48"/>
        <v xml:space="preserve"> </v>
      </c>
      <c r="BR40" s="313" t="str">
        <f t="shared" si="48"/>
        <v xml:space="preserve"> </v>
      </c>
      <c r="BS40" s="313" t="str">
        <f t="shared" si="48"/>
        <v xml:space="preserve"> </v>
      </c>
      <c r="BT40" s="313" t="str">
        <f t="shared" si="48"/>
        <v xml:space="preserve"> </v>
      </c>
      <c r="BU40" s="313" t="str">
        <f t="shared" si="48"/>
        <v xml:space="preserve"> </v>
      </c>
      <c r="BV40" s="313" t="str">
        <f t="shared" si="48"/>
        <v xml:space="preserve"> </v>
      </c>
      <c r="BW40" s="313">
        <f t="shared" si="48"/>
        <v>1</v>
      </c>
      <c r="BX40" s="313" t="str">
        <f t="shared" si="48"/>
        <v xml:space="preserve"> </v>
      </c>
      <c r="BY40" s="313" t="str">
        <f t="shared" si="48"/>
        <v xml:space="preserve"> </v>
      </c>
      <c r="BZ40" s="313" t="str">
        <f t="shared" si="48"/>
        <v xml:space="preserve"> </v>
      </c>
      <c r="CA40" s="313" t="str">
        <f t="shared" si="48"/>
        <v xml:space="preserve"> </v>
      </c>
      <c r="CB40" s="313" t="str">
        <f t="shared" si="48"/>
        <v xml:space="preserve"> </v>
      </c>
      <c r="CC40" s="313" t="str">
        <f t="shared" si="48"/>
        <v xml:space="preserve"> </v>
      </c>
      <c r="CD40" s="313" t="str">
        <f t="shared" si="45"/>
        <v xml:space="preserve"> </v>
      </c>
      <c r="CE40" s="313" t="str">
        <f t="shared" si="45"/>
        <v xml:space="preserve"> </v>
      </c>
      <c r="CF40" s="313" t="str">
        <f t="shared" si="45"/>
        <v xml:space="preserve"> </v>
      </c>
      <c r="CG40" s="313" t="str">
        <f t="shared" si="45"/>
        <v xml:space="preserve"> </v>
      </c>
      <c r="CH40" s="313" t="str">
        <f t="shared" si="45"/>
        <v xml:space="preserve"> </v>
      </c>
      <c r="CI40" s="313">
        <f t="shared" si="45"/>
        <v>1</v>
      </c>
      <c r="CJ40" s="313" t="str">
        <f t="shared" si="45"/>
        <v xml:space="preserve"> </v>
      </c>
      <c r="CK40" s="313" t="str">
        <f t="shared" si="45"/>
        <v xml:space="preserve"> </v>
      </c>
      <c r="CL40" s="313" t="str">
        <f t="shared" si="45"/>
        <v xml:space="preserve"> </v>
      </c>
      <c r="CM40" s="313" t="str">
        <f t="shared" si="45"/>
        <v xml:space="preserve"> </v>
      </c>
      <c r="CN40" s="313" t="str">
        <f t="shared" si="45"/>
        <v xml:space="preserve"> </v>
      </c>
      <c r="CO40" s="313" t="str">
        <f t="shared" si="45"/>
        <v xml:space="preserve"> </v>
      </c>
      <c r="CP40" s="313" t="str">
        <f t="shared" si="45"/>
        <v xml:space="preserve"> </v>
      </c>
      <c r="CQ40" s="313" t="str">
        <f t="shared" si="45"/>
        <v xml:space="preserve"> </v>
      </c>
      <c r="CR40" s="313" t="str">
        <f t="shared" si="45"/>
        <v xml:space="preserve"> </v>
      </c>
      <c r="CS40" s="313" t="str">
        <f t="shared" si="45"/>
        <v xml:space="preserve"> </v>
      </c>
      <c r="CT40" s="313" t="str">
        <f t="shared" si="45"/>
        <v xml:space="preserve"> </v>
      </c>
      <c r="CU40" s="313">
        <f t="shared" ref="CD40:DY45" si="49">IF(MONTH(DATEVALUE($C40&amp;"1"))=MONTH(CU$22),$D40," ")</f>
        <v>1</v>
      </c>
      <c r="CV40" s="313" t="str">
        <f t="shared" si="49"/>
        <v xml:space="preserve"> </v>
      </c>
      <c r="CW40" s="313" t="str">
        <f t="shared" si="49"/>
        <v xml:space="preserve"> </v>
      </c>
      <c r="CX40" s="313" t="str">
        <f t="shared" si="49"/>
        <v xml:space="preserve"> </v>
      </c>
      <c r="CY40" s="313" t="str">
        <f t="shared" si="49"/>
        <v xml:space="preserve"> </v>
      </c>
      <c r="CZ40" s="313" t="str">
        <f t="shared" si="49"/>
        <v xml:space="preserve"> </v>
      </c>
      <c r="DA40" s="313" t="str">
        <f t="shared" si="49"/>
        <v xml:space="preserve"> </v>
      </c>
      <c r="DB40" s="313" t="str">
        <f t="shared" si="49"/>
        <v xml:space="preserve"> </v>
      </c>
      <c r="DC40" s="313" t="str">
        <f t="shared" si="49"/>
        <v xml:space="preserve"> </v>
      </c>
      <c r="DD40" s="313" t="str">
        <f t="shared" si="49"/>
        <v xml:space="preserve"> </v>
      </c>
      <c r="DE40" s="313" t="str">
        <f t="shared" si="49"/>
        <v xml:space="preserve"> </v>
      </c>
      <c r="DF40" s="313" t="str">
        <f t="shared" si="49"/>
        <v xml:space="preserve"> </v>
      </c>
      <c r="DG40" s="313">
        <f t="shared" si="49"/>
        <v>1</v>
      </c>
      <c r="DH40" s="313" t="str">
        <f t="shared" si="49"/>
        <v xml:space="preserve"> </v>
      </c>
      <c r="DI40" s="313" t="str">
        <f t="shared" si="49"/>
        <v xml:space="preserve"> </v>
      </c>
      <c r="DJ40" s="313" t="str">
        <f t="shared" si="49"/>
        <v xml:space="preserve"> </v>
      </c>
      <c r="DK40" s="313" t="str">
        <f t="shared" si="49"/>
        <v xml:space="preserve"> </v>
      </c>
      <c r="DL40" s="313" t="str">
        <f t="shared" si="49"/>
        <v xml:space="preserve"> </v>
      </c>
      <c r="DM40" s="313" t="str">
        <f t="shared" si="49"/>
        <v xml:space="preserve"> </v>
      </c>
      <c r="DN40" s="313" t="str">
        <f t="shared" si="49"/>
        <v xml:space="preserve"> </v>
      </c>
      <c r="DO40" s="313" t="str">
        <f t="shared" si="49"/>
        <v xml:space="preserve"> </v>
      </c>
      <c r="DP40" s="313" t="str">
        <f t="shared" si="49"/>
        <v xml:space="preserve"> </v>
      </c>
      <c r="DQ40" s="313" t="str">
        <f t="shared" si="49"/>
        <v xml:space="preserve"> </v>
      </c>
      <c r="DR40" s="313" t="str">
        <f t="shared" si="49"/>
        <v xml:space="preserve"> </v>
      </c>
      <c r="DS40" s="313">
        <f t="shared" si="49"/>
        <v>1</v>
      </c>
      <c r="DT40" s="313" t="str">
        <f t="shared" si="49"/>
        <v xml:space="preserve"> </v>
      </c>
      <c r="DU40" s="313" t="str">
        <f t="shared" si="49"/>
        <v xml:space="preserve"> </v>
      </c>
      <c r="DV40" s="313" t="str">
        <f t="shared" si="49"/>
        <v xml:space="preserve"> </v>
      </c>
      <c r="DW40" s="313" t="str">
        <f t="shared" si="49"/>
        <v xml:space="preserve"> </v>
      </c>
      <c r="DX40" s="313" t="str">
        <f t="shared" si="49"/>
        <v xml:space="preserve"> </v>
      </c>
      <c r="DY40" s="313" t="str">
        <f t="shared" si="49"/>
        <v xml:space="preserve"> </v>
      </c>
    </row>
    <row r="41" spans="1:129" ht="15.6">
      <c r="A41" s="298"/>
      <c r="B41" s="312"/>
      <c r="C41" s="22" t="s">
        <v>63</v>
      </c>
      <c r="D41" s="476">
        <f>+'Model Assumptions'!F167</f>
        <v>1</v>
      </c>
      <c r="E41" s="298"/>
      <c r="F41" s="298"/>
      <c r="G41" s="298"/>
      <c r="H41" s="298"/>
      <c r="I41" s="298"/>
      <c r="J41" s="313" t="str">
        <f t="shared" si="41"/>
        <v xml:space="preserve"> </v>
      </c>
      <c r="K41" s="313" t="str">
        <f t="shared" si="41"/>
        <v xml:space="preserve"> </v>
      </c>
      <c r="L41" s="313" t="str">
        <f t="shared" si="41"/>
        <v xml:space="preserve"> </v>
      </c>
      <c r="M41" s="313" t="str">
        <f t="shared" si="41"/>
        <v xml:space="preserve"> </v>
      </c>
      <c r="N41" s="313" t="str">
        <f t="shared" si="41"/>
        <v xml:space="preserve"> </v>
      </c>
      <c r="O41" s="313" t="str">
        <f t="shared" si="41"/>
        <v xml:space="preserve"> </v>
      </c>
      <c r="P41" s="313">
        <f t="shared" si="41"/>
        <v>1</v>
      </c>
      <c r="Q41" s="313" t="str">
        <f t="shared" si="41"/>
        <v xml:space="preserve"> </v>
      </c>
      <c r="R41" s="313" t="str">
        <f t="shared" si="41"/>
        <v xml:space="preserve"> </v>
      </c>
      <c r="S41" s="313" t="str">
        <f t="shared" si="41"/>
        <v xml:space="preserve"> </v>
      </c>
      <c r="T41" s="313" t="str">
        <f t="shared" si="42"/>
        <v xml:space="preserve"> </v>
      </c>
      <c r="U41" s="313" t="str">
        <f t="shared" si="42"/>
        <v xml:space="preserve"> </v>
      </c>
      <c r="V41" s="313" t="str">
        <f t="shared" si="42"/>
        <v xml:space="preserve"> </v>
      </c>
      <c r="W41" s="313" t="str">
        <f t="shared" si="42"/>
        <v xml:space="preserve"> </v>
      </c>
      <c r="X41" s="313" t="str">
        <f t="shared" si="42"/>
        <v xml:space="preserve"> </v>
      </c>
      <c r="Y41" s="313" t="str">
        <f t="shared" si="42"/>
        <v xml:space="preserve"> </v>
      </c>
      <c r="Z41" s="313" t="str">
        <f t="shared" si="42"/>
        <v xml:space="preserve"> </v>
      </c>
      <c r="AA41" s="313" t="str">
        <f t="shared" si="42"/>
        <v xml:space="preserve"> </v>
      </c>
      <c r="AB41" s="313">
        <f t="shared" si="42"/>
        <v>1</v>
      </c>
      <c r="AC41" s="313" t="str">
        <f t="shared" si="42"/>
        <v xml:space="preserve"> </v>
      </c>
      <c r="AD41" s="313" t="str">
        <f t="shared" si="43"/>
        <v xml:space="preserve"> </v>
      </c>
      <c r="AE41" s="313" t="str">
        <f t="shared" si="43"/>
        <v xml:space="preserve"> </v>
      </c>
      <c r="AF41" s="313" t="str">
        <f t="shared" si="43"/>
        <v xml:space="preserve"> </v>
      </c>
      <c r="AG41" s="313" t="str">
        <f t="shared" si="43"/>
        <v xml:space="preserve"> </v>
      </c>
      <c r="AH41" s="313" t="str">
        <f t="shared" si="43"/>
        <v xml:space="preserve"> </v>
      </c>
      <c r="AI41" s="313" t="str">
        <f t="shared" si="43"/>
        <v xml:space="preserve"> </v>
      </c>
      <c r="AJ41" s="313" t="str">
        <f t="shared" si="43"/>
        <v xml:space="preserve"> </v>
      </c>
      <c r="AK41" s="313" t="str">
        <f t="shared" si="43"/>
        <v xml:space="preserve"> </v>
      </c>
      <c r="AL41" s="313" t="str">
        <f t="shared" si="43"/>
        <v xml:space="preserve"> </v>
      </c>
      <c r="AM41" s="313" t="str">
        <f t="shared" si="47"/>
        <v xml:space="preserve"> </v>
      </c>
      <c r="AN41" s="313">
        <f t="shared" si="47"/>
        <v>1</v>
      </c>
      <c r="AO41" s="313" t="str">
        <f t="shared" si="47"/>
        <v xml:space="preserve"> </v>
      </c>
      <c r="AP41" s="313" t="str">
        <f t="shared" si="47"/>
        <v xml:space="preserve"> </v>
      </c>
      <c r="AQ41" s="313" t="str">
        <f t="shared" si="47"/>
        <v xml:space="preserve"> </v>
      </c>
      <c r="AR41" s="313" t="str">
        <f t="shared" si="47"/>
        <v xml:space="preserve"> </v>
      </c>
      <c r="AS41" s="313" t="str">
        <f t="shared" si="47"/>
        <v xml:space="preserve"> </v>
      </c>
      <c r="AT41" s="313" t="str">
        <f t="shared" si="48"/>
        <v xml:space="preserve"> </v>
      </c>
      <c r="AU41" s="313" t="str">
        <f t="shared" si="48"/>
        <v xml:space="preserve"> </v>
      </c>
      <c r="AV41" s="313" t="str">
        <f t="shared" si="48"/>
        <v xml:space="preserve"> </v>
      </c>
      <c r="AW41" s="313" t="str">
        <f t="shared" si="48"/>
        <v xml:space="preserve"> </v>
      </c>
      <c r="AX41" s="313" t="str">
        <f t="shared" si="48"/>
        <v xml:space="preserve"> </v>
      </c>
      <c r="AY41" s="313" t="str">
        <f t="shared" si="48"/>
        <v xml:space="preserve"> </v>
      </c>
      <c r="AZ41" s="313">
        <f t="shared" si="48"/>
        <v>1</v>
      </c>
      <c r="BA41" s="313" t="str">
        <f t="shared" si="48"/>
        <v xml:space="preserve"> </v>
      </c>
      <c r="BB41" s="313" t="str">
        <f t="shared" si="48"/>
        <v xml:space="preserve"> </v>
      </c>
      <c r="BC41" s="313" t="str">
        <f t="shared" si="48"/>
        <v xml:space="preserve"> </v>
      </c>
      <c r="BD41" s="313" t="str">
        <f t="shared" si="48"/>
        <v xml:space="preserve"> </v>
      </c>
      <c r="BE41" s="313" t="str">
        <f t="shared" si="48"/>
        <v xml:space="preserve"> </v>
      </c>
      <c r="BF41" s="313" t="str">
        <f t="shared" si="48"/>
        <v xml:space="preserve"> </v>
      </c>
      <c r="BG41" s="313" t="str">
        <f t="shared" si="48"/>
        <v xml:space="preserve"> </v>
      </c>
      <c r="BH41" s="313" t="str">
        <f t="shared" si="48"/>
        <v xml:space="preserve"> </v>
      </c>
      <c r="BI41" s="313" t="str">
        <f t="shared" si="48"/>
        <v xml:space="preserve"> </v>
      </c>
      <c r="BJ41" s="313" t="str">
        <f t="shared" si="48"/>
        <v xml:space="preserve"> </v>
      </c>
      <c r="BK41" s="313" t="str">
        <f t="shared" si="48"/>
        <v xml:space="preserve"> </v>
      </c>
      <c r="BL41" s="313">
        <f t="shared" si="48"/>
        <v>1</v>
      </c>
      <c r="BM41" s="313" t="str">
        <f t="shared" si="48"/>
        <v xml:space="preserve"> </v>
      </c>
      <c r="BN41" s="313" t="str">
        <f t="shared" si="48"/>
        <v xml:space="preserve"> </v>
      </c>
      <c r="BO41" s="313" t="str">
        <f t="shared" si="48"/>
        <v xml:space="preserve"> </v>
      </c>
      <c r="BP41" s="313" t="str">
        <f t="shared" si="48"/>
        <v xml:space="preserve"> </v>
      </c>
      <c r="BQ41" s="313" t="str">
        <f t="shared" si="48"/>
        <v xml:space="preserve"> </v>
      </c>
      <c r="BR41" s="313" t="str">
        <f t="shared" si="48"/>
        <v xml:space="preserve"> </v>
      </c>
      <c r="BS41" s="313" t="str">
        <f t="shared" si="48"/>
        <v xml:space="preserve"> </v>
      </c>
      <c r="BT41" s="313" t="str">
        <f t="shared" si="48"/>
        <v xml:space="preserve"> </v>
      </c>
      <c r="BU41" s="313" t="str">
        <f t="shared" si="48"/>
        <v xml:space="preserve"> </v>
      </c>
      <c r="BV41" s="313" t="str">
        <f t="shared" si="48"/>
        <v xml:space="preserve"> </v>
      </c>
      <c r="BW41" s="313" t="str">
        <f t="shared" si="48"/>
        <v xml:space="preserve"> </v>
      </c>
      <c r="BX41" s="313">
        <f t="shared" si="48"/>
        <v>1</v>
      </c>
      <c r="BY41" s="313" t="str">
        <f t="shared" si="48"/>
        <v xml:space="preserve"> </v>
      </c>
      <c r="BZ41" s="313" t="str">
        <f t="shared" si="48"/>
        <v xml:space="preserve"> </v>
      </c>
      <c r="CA41" s="313" t="str">
        <f t="shared" si="48"/>
        <v xml:space="preserve"> </v>
      </c>
      <c r="CB41" s="313" t="str">
        <f t="shared" si="48"/>
        <v xml:space="preserve"> </v>
      </c>
      <c r="CC41" s="313" t="str">
        <f t="shared" si="48"/>
        <v xml:space="preserve"> </v>
      </c>
      <c r="CD41" s="313" t="str">
        <f t="shared" si="49"/>
        <v xml:space="preserve"> </v>
      </c>
      <c r="CE41" s="313" t="str">
        <f t="shared" si="49"/>
        <v xml:space="preserve"> </v>
      </c>
      <c r="CF41" s="313" t="str">
        <f t="shared" si="49"/>
        <v xml:space="preserve"> </v>
      </c>
      <c r="CG41" s="313" t="str">
        <f t="shared" si="49"/>
        <v xml:space="preserve"> </v>
      </c>
      <c r="CH41" s="313" t="str">
        <f t="shared" si="49"/>
        <v xml:space="preserve"> </v>
      </c>
      <c r="CI41" s="313" t="str">
        <f t="shared" si="49"/>
        <v xml:space="preserve"> </v>
      </c>
      <c r="CJ41" s="313">
        <f t="shared" si="49"/>
        <v>1</v>
      </c>
      <c r="CK41" s="313" t="str">
        <f t="shared" si="49"/>
        <v xml:space="preserve"> </v>
      </c>
      <c r="CL41" s="313" t="str">
        <f t="shared" si="49"/>
        <v xml:space="preserve"> </v>
      </c>
      <c r="CM41" s="313" t="str">
        <f t="shared" si="49"/>
        <v xml:space="preserve"> </v>
      </c>
      <c r="CN41" s="313" t="str">
        <f t="shared" si="49"/>
        <v xml:space="preserve"> </v>
      </c>
      <c r="CO41" s="313" t="str">
        <f t="shared" si="49"/>
        <v xml:space="preserve"> </v>
      </c>
      <c r="CP41" s="313" t="str">
        <f t="shared" si="49"/>
        <v xml:space="preserve"> </v>
      </c>
      <c r="CQ41" s="313" t="str">
        <f t="shared" si="49"/>
        <v xml:space="preserve"> </v>
      </c>
      <c r="CR41" s="313" t="str">
        <f t="shared" si="49"/>
        <v xml:space="preserve"> </v>
      </c>
      <c r="CS41" s="313" t="str">
        <f t="shared" si="49"/>
        <v xml:space="preserve"> </v>
      </c>
      <c r="CT41" s="313" t="str">
        <f t="shared" si="49"/>
        <v xml:space="preserve"> </v>
      </c>
      <c r="CU41" s="313" t="str">
        <f t="shared" si="49"/>
        <v xml:space="preserve"> </v>
      </c>
      <c r="CV41" s="313">
        <f t="shared" si="49"/>
        <v>1</v>
      </c>
      <c r="CW41" s="313" t="str">
        <f t="shared" si="49"/>
        <v xml:space="preserve"> </v>
      </c>
      <c r="CX41" s="313" t="str">
        <f t="shared" si="49"/>
        <v xml:space="preserve"> </v>
      </c>
      <c r="CY41" s="313" t="str">
        <f t="shared" si="49"/>
        <v xml:space="preserve"> </v>
      </c>
      <c r="CZ41" s="313" t="str">
        <f t="shared" si="49"/>
        <v xml:space="preserve"> </v>
      </c>
      <c r="DA41" s="313" t="str">
        <f t="shared" si="49"/>
        <v xml:space="preserve"> </v>
      </c>
      <c r="DB41" s="313" t="str">
        <f t="shared" si="49"/>
        <v xml:space="preserve"> </v>
      </c>
      <c r="DC41" s="313" t="str">
        <f t="shared" si="49"/>
        <v xml:space="preserve"> </v>
      </c>
      <c r="DD41" s="313" t="str">
        <f t="shared" si="49"/>
        <v xml:space="preserve"> </v>
      </c>
      <c r="DE41" s="313" t="str">
        <f t="shared" si="49"/>
        <v xml:space="preserve"> </v>
      </c>
      <c r="DF41" s="313" t="str">
        <f t="shared" si="49"/>
        <v xml:space="preserve"> </v>
      </c>
      <c r="DG41" s="313" t="str">
        <f t="shared" si="49"/>
        <v xml:space="preserve"> </v>
      </c>
      <c r="DH41" s="313">
        <f t="shared" si="49"/>
        <v>1</v>
      </c>
      <c r="DI41" s="313" t="str">
        <f t="shared" si="49"/>
        <v xml:space="preserve"> </v>
      </c>
      <c r="DJ41" s="313" t="str">
        <f t="shared" si="49"/>
        <v xml:space="preserve"> </v>
      </c>
      <c r="DK41" s="313" t="str">
        <f t="shared" si="49"/>
        <v xml:space="preserve"> </v>
      </c>
      <c r="DL41" s="313" t="str">
        <f t="shared" si="49"/>
        <v xml:space="preserve"> </v>
      </c>
      <c r="DM41" s="313" t="str">
        <f t="shared" si="49"/>
        <v xml:space="preserve"> </v>
      </c>
      <c r="DN41" s="313" t="str">
        <f t="shared" si="49"/>
        <v xml:space="preserve"> </v>
      </c>
      <c r="DO41" s="313" t="str">
        <f t="shared" si="49"/>
        <v xml:space="preserve"> </v>
      </c>
      <c r="DP41" s="313" t="str">
        <f t="shared" si="49"/>
        <v xml:space="preserve"> </v>
      </c>
      <c r="DQ41" s="313" t="str">
        <f t="shared" si="49"/>
        <v xml:space="preserve"> </v>
      </c>
      <c r="DR41" s="313" t="str">
        <f t="shared" si="49"/>
        <v xml:space="preserve"> </v>
      </c>
      <c r="DS41" s="313" t="str">
        <f t="shared" si="49"/>
        <v xml:space="preserve"> </v>
      </c>
      <c r="DT41" s="313">
        <f t="shared" si="49"/>
        <v>1</v>
      </c>
      <c r="DU41" s="313" t="str">
        <f t="shared" si="49"/>
        <v xml:space="preserve"> </v>
      </c>
      <c r="DV41" s="313" t="str">
        <f t="shared" si="49"/>
        <v xml:space="preserve"> </v>
      </c>
      <c r="DW41" s="313" t="str">
        <f t="shared" si="49"/>
        <v xml:space="preserve"> </v>
      </c>
      <c r="DX41" s="313" t="str">
        <f t="shared" si="49"/>
        <v xml:space="preserve"> </v>
      </c>
      <c r="DY41" s="313" t="str">
        <f t="shared" si="49"/>
        <v xml:space="preserve"> </v>
      </c>
    </row>
    <row r="42" spans="1:129" ht="15.6">
      <c r="A42" s="298"/>
      <c r="B42" s="312"/>
      <c r="C42" s="22" t="s">
        <v>64</v>
      </c>
      <c r="D42" s="476">
        <f>+'Model Assumptions'!F168</f>
        <v>1</v>
      </c>
      <c r="E42" s="298"/>
      <c r="F42" s="298"/>
      <c r="G42" s="298"/>
      <c r="H42" s="298"/>
      <c r="I42" s="298"/>
      <c r="J42" s="313" t="str">
        <f t="shared" si="41"/>
        <v xml:space="preserve"> </v>
      </c>
      <c r="K42" s="313" t="str">
        <f t="shared" si="41"/>
        <v xml:space="preserve"> </v>
      </c>
      <c r="L42" s="313" t="str">
        <f t="shared" si="41"/>
        <v xml:space="preserve"> </v>
      </c>
      <c r="M42" s="313" t="str">
        <f t="shared" si="41"/>
        <v xml:space="preserve"> </v>
      </c>
      <c r="N42" s="313" t="str">
        <f t="shared" si="41"/>
        <v xml:space="preserve"> </v>
      </c>
      <c r="O42" s="313" t="str">
        <f t="shared" si="41"/>
        <v xml:space="preserve"> </v>
      </c>
      <c r="P42" s="313" t="str">
        <f t="shared" si="41"/>
        <v xml:space="preserve"> </v>
      </c>
      <c r="Q42" s="313">
        <f t="shared" si="41"/>
        <v>1</v>
      </c>
      <c r="R42" s="313" t="str">
        <f t="shared" si="41"/>
        <v xml:space="preserve"> </v>
      </c>
      <c r="S42" s="313" t="str">
        <f t="shared" si="41"/>
        <v xml:space="preserve"> </v>
      </c>
      <c r="T42" s="313" t="str">
        <f t="shared" si="42"/>
        <v xml:space="preserve"> </v>
      </c>
      <c r="U42" s="313" t="str">
        <f t="shared" si="42"/>
        <v xml:space="preserve"> </v>
      </c>
      <c r="V42" s="313" t="str">
        <f t="shared" si="42"/>
        <v xml:space="preserve"> </v>
      </c>
      <c r="W42" s="313" t="str">
        <f t="shared" si="42"/>
        <v xml:space="preserve"> </v>
      </c>
      <c r="X42" s="313" t="str">
        <f t="shared" si="42"/>
        <v xml:space="preserve"> </v>
      </c>
      <c r="Y42" s="313" t="str">
        <f t="shared" si="42"/>
        <v xml:space="preserve"> </v>
      </c>
      <c r="Z42" s="313" t="str">
        <f t="shared" si="42"/>
        <v xml:space="preserve"> </v>
      </c>
      <c r="AA42" s="313" t="str">
        <f t="shared" si="42"/>
        <v xml:space="preserve"> </v>
      </c>
      <c r="AB42" s="313" t="str">
        <f t="shared" si="42"/>
        <v xml:space="preserve"> </v>
      </c>
      <c r="AC42" s="313">
        <f t="shared" si="42"/>
        <v>1</v>
      </c>
      <c r="AD42" s="313" t="str">
        <f t="shared" si="43"/>
        <v xml:space="preserve"> </v>
      </c>
      <c r="AE42" s="313" t="str">
        <f t="shared" si="43"/>
        <v xml:space="preserve"> </v>
      </c>
      <c r="AF42" s="313" t="str">
        <f t="shared" si="43"/>
        <v xml:space="preserve"> </v>
      </c>
      <c r="AG42" s="313" t="str">
        <f t="shared" si="43"/>
        <v xml:space="preserve"> </v>
      </c>
      <c r="AH42" s="313" t="str">
        <f t="shared" si="43"/>
        <v xml:space="preserve"> </v>
      </c>
      <c r="AI42" s="313" t="str">
        <f t="shared" si="43"/>
        <v xml:space="preserve"> </v>
      </c>
      <c r="AJ42" s="313" t="str">
        <f t="shared" si="43"/>
        <v xml:space="preserve"> </v>
      </c>
      <c r="AK42" s="313" t="str">
        <f t="shared" si="43"/>
        <v xml:space="preserve"> </v>
      </c>
      <c r="AL42" s="313" t="str">
        <f t="shared" si="43"/>
        <v xml:space="preserve"> </v>
      </c>
      <c r="AM42" s="313" t="str">
        <f t="shared" si="47"/>
        <v xml:space="preserve"> </v>
      </c>
      <c r="AN42" s="313" t="str">
        <f t="shared" si="47"/>
        <v xml:space="preserve"> </v>
      </c>
      <c r="AO42" s="313">
        <f t="shared" si="47"/>
        <v>1</v>
      </c>
      <c r="AP42" s="313" t="str">
        <f t="shared" si="47"/>
        <v xml:space="preserve"> </v>
      </c>
      <c r="AQ42" s="313" t="str">
        <f t="shared" si="47"/>
        <v xml:space="preserve"> </v>
      </c>
      <c r="AR42" s="313" t="str">
        <f t="shared" si="47"/>
        <v xml:space="preserve"> </v>
      </c>
      <c r="AS42" s="313" t="str">
        <f t="shared" si="47"/>
        <v xml:space="preserve"> </v>
      </c>
      <c r="AT42" s="313" t="str">
        <f t="shared" si="48"/>
        <v xml:space="preserve"> </v>
      </c>
      <c r="AU42" s="313" t="str">
        <f t="shared" si="48"/>
        <v xml:space="preserve"> </v>
      </c>
      <c r="AV42" s="313" t="str">
        <f t="shared" si="48"/>
        <v xml:space="preserve"> </v>
      </c>
      <c r="AW42" s="313" t="str">
        <f t="shared" si="48"/>
        <v xml:space="preserve"> </v>
      </c>
      <c r="AX42" s="313" t="str">
        <f t="shared" si="48"/>
        <v xml:space="preserve"> </v>
      </c>
      <c r="AY42" s="313" t="str">
        <f t="shared" si="48"/>
        <v xml:space="preserve"> </v>
      </c>
      <c r="AZ42" s="313" t="str">
        <f t="shared" si="48"/>
        <v xml:space="preserve"> </v>
      </c>
      <c r="BA42" s="313">
        <f t="shared" si="48"/>
        <v>1</v>
      </c>
      <c r="BB42" s="313" t="str">
        <f t="shared" si="48"/>
        <v xml:space="preserve"> </v>
      </c>
      <c r="BC42" s="313" t="str">
        <f t="shared" si="48"/>
        <v xml:space="preserve"> </v>
      </c>
      <c r="BD42" s="313" t="str">
        <f t="shared" si="48"/>
        <v xml:space="preserve"> </v>
      </c>
      <c r="BE42" s="313" t="str">
        <f t="shared" si="48"/>
        <v xml:space="preserve"> </v>
      </c>
      <c r="BF42" s="313" t="str">
        <f t="shared" si="48"/>
        <v xml:space="preserve"> </v>
      </c>
      <c r="BG42" s="313" t="str">
        <f t="shared" si="48"/>
        <v xml:space="preserve"> </v>
      </c>
      <c r="BH42" s="313" t="str">
        <f t="shared" si="48"/>
        <v xml:space="preserve"> </v>
      </c>
      <c r="BI42" s="313" t="str">
        <f t="shared" si="48"/>
        <v xml:space="preserve"> </v>
      </c>
      <c r="BJ42" s="313" t="str">
        <f t="shared" si="48"/>
        <v xml:space="preserve"> </v>
      </c>
      <c r="BK42" s="313" t="str">
        <f t="shared" si="48"/>
        <v xml:space="preserve"> </v>
      </c>
      <c r="BL42" s="313" t="str">
        <f t="shared" si="48"/>
        <v xml:space="preserve"> </v>
      </c>
      <c r="BM42" s="313">
        <f t="shared" si="48"/>
        <v>1</v>
      </c>
      <c r="BN42" s="313" t="str">
        <f t="shared" si="48"/>
        <v xml:space="preserve"> </v>
      </c>
      <c r="BO42" s="313" t="str">
        <f t="shared" si="48"/>
        <v xml:space="preserve"> </v>
      </c>
      <c r="BP42" s="313" t="str">
        <f t="shared" si="48"/>
        <v xml:space="preserve"> </v>
      </c>
      <c r="BQ42" s="313" t="str">
        <f t="shared" si="48"/>
        <v xml:space="preserve"> </v>
      </c>
      <c r="BR42" s="313" t="str">
        <f t="shared" si="48"/>
        <v xml:space="preserve"> </v>
      </c>
      <c r="BS42" s="313" t="str">
        <f t="shared" ref="AT42:CD46" si="50">IF(MONTH(DATEVALUE($C42&amp;"1"))=MONTH(BS$22),$D42," ")</f>
        <v xml:space="preserve"> </v>
      </c>
      <c r="BT42" s="313" t="str">
        <f t="shared" si="50"/>
        <v xml:space="preserve"> </v>
      </c>
      <c r="BU42" s="313" t="str">
        <f t="shared" si="50"/>
        <v xml:space="preserve"> </v>
      </c>
      <c r="BV42" s="313" t="str">
        <f t="shared" si="50"/>
        <v xml:space="preserve"> </v>
      </c>
      <c r="BW42" s="313" t="str">
        <f t="shared" si="50"/>
        <v xml:space="preserve"> </v>
      </c>
      <c r="BX42" s="313" t="str">
        <f t="shared" si="50"/>
        <v xml:space="preserve"> </v>
      </c>
      <c r="BY42" s="313">
        <f t="shared" si="50"/>
        <v>1</v>
      </c>
      <c r="BZ42" s="313" t="str">
        <f t="shared" si="50"/>
        <v xml:space="preserve"> </v>
      </c>
      <c r="CA42" s="313" t="str">
        <f t="shared" si="50"/>
        <v xml:space="preserve"> </v>
      </c>
      <c r="CB42" s="313" t="str">
        <f t="shared" si="50"/>
        <v xml:space="preserve"> </v>
      </c>
      <c r="CC42" s="313" t="str">
        <f t="shared" si="50"/>
        <v xml:space="preserve"> </v>
      </c>
      <c r="CD42" s="313" t="str">
        <f t="shared" si="50"/>
        <v xml:space="preserve"> </v>
      </c>
      <c r="CE42" s="313" t="str">
        <f t="shared" si="49"/>
        <v xml:space="preserve"> </v>
      </c>
      <c r="CF42" s="313" t="str">
        <f t="shared" si="49"/>
        <v xml:space="preserve"> </v>
      </c>
      <c r="CG42" s="313" t="str">
        <f t="shared" si="49"/>
        <v xml:space="preserve"> </v>
      </c>
      <c r="CH42" s="313" t="str">
        <f t="shared" si="49"/>
        <v xml:space="preserve"> </v>
      </c>
      <c r="CI42" s="313" t="str">
        <f t="shared" si="49"/>
        <v xml:space="preserve"> </v>
      </c>
      <c r="CJ42" s="313" t="str">
        <f t="shared" si="49"/>
        <v xml:space="preserve"> </v>
      </c>
      <c r="CK42" s="313">
        <f t="shared" si="49"/>
        <v>1</v>
      </c>
      <c r="CL42" s="313" t="str">
        <f t="shared" si="49"/>
        <v xml:space="preserve"> </v>
      </c>
      <c r="CM42" s="313" t="str">
        <f t="shared" si="49"/>
        <v xml:space="preserve"> </v>
      </c>
      <c r="CN42" s="313" t="str">
        <f t="shared" si="49"/>
        <v xml:space="preserve"> </v>
      </c>
      <c r="CO42" s="313" t="str">
        <f t="shared" si="49"/>
        <v xml:space="preserve"> </v>
      </c>
      <c r="CP42" s="313" t="str">
        <f t="shared" si="49"/>
        <v xml:space="preserve"> </v>
      </c>
      <c r="CQ42" s="313" t="str">
        <f t="shared" si="49"/>
        <v xml:space="preserve"> </v>
      </c>
      <c r="CR42" s="313" t="str">
        <f t="shared" si="49"/>
        <v xml:space="preserve"> </v>
      </c>
      <c r="CS42" s="313" t="str">
        <f t="shared" si="49"/>
        <v xml:space="preserve"> </v>
      </c>
      <c r="CT42" s="313" t="str">
        <f t="shared" si="49"/>
        <v xml:space="preserve"> </v>
      </c>
      <c r="CU42" s="313" t="str">
        <f t="shared" si="49"/>
        <v xml:space="preserve"> </v>
      </c>
      <c r="CV42" s="313" t="str">
        <f t="shared" si="49"/>
        <v xml:space="preserve"> </v>
      </c>
      <c r="CW42" s="313">
        <f t="shared" si="49"/>
        <v>1</v>
      </c>
      <c r="CX42" s="313" t="str">
        <f t="shared" si="49"/>
        <v xml:space="preserve"> </v>
      </c>
      <c r="CY42" s="313" t="str">
        <f t="shared" si="49"/>
        <v xml:space="preserve"> </v>
      </c>
      <c r="CZ42" s="313" t="str">
        <f t="shared" si="49"/>
        <v xml:space="preserve"> </v>
      </c>
      <c r="DA42" s="313" t="str">
        <f t="shared" si="49"/>
        <v xml:space="preserve"> </v>
      </c>
      <c r="DB42" s="313" t="str">
        <f t="shared" si="49"/>
        <v xml:space="preserve"> </v>
      </c>
      <c r="DC42" s="313" t="str">
        <f t="shared" si="49"/>
        <v xml:space="preserve"> </v>
      </c>
      <c r="DD42" s="313" t="str">
        <f t="shared" si="49"/>
        <v xml:space="preserve"> </v>
      </c>
      <c r="DE42" s="313" t="str">
        <f t="shared" si="49"/>
        <v xml:space="preserve"> </v>
      </c>
      <c r="DF42" s="313" t="str">
        <f t="shared" si="49"/>
        <v xml:space="preserve"> </v>
      </c>
      <c r="DG42" s="313" t="str">
        <f t="shared" si="49"/>
        <v xml:space="preserve"> </v>
      </c>
      <c r="DH42" s="313" t="str">
        <f t="shared" si="49"/>
        <v xml:space="preserve"> </v>
      </c>
      <c r="DI42" s="313">
        <f t="shared" si="49"/>
        <v>1</v>
      </c>
      <c r="DJ42" s="313" t="str">
        <f t="shared" si="49"/>
        <v xml:space="preserve"> </v>
      </c>
      <c r="DK42" s="313" t="str">
        <f t="shared" si="49"/>
        <v xml:space="preserve"> </v>
      </c>
      <c r="DL42" s="313" t="str">
        <f t="shared" si="49"/>
        <v xml:space="preserve"> </v>
      </c>
      <c r="DM42" s="313" t="str">
        <f t="shared" si="49"/>
        <v xml:space="preserve"> </v>
      </c>
      <c r="DN42" s="313" t="str">
        <f t="shared" si="49"/>
        <v xml:space="preserve"> </v>
      </c>
      <c r="DO42" s="313" t="str">
        <f t="shared" si="49"/>
        <v xml:space="preserve"> </v>
      </c>
      <c r="DP42" s="313" t="str">
        <f t="shared" si="49"/>
        <v xml:space="preserve"> </v>
      </c>
      <c r="DQ42" s="313" t="str">
        <f t="shared" si="49"/>
        <v xml:space="preserve"> </v>
      </c>
      <c r="DR42" s="313" t="str">
        <f t="shared" si="49"/>
        <v xml:space="preserve"> </v>
      </c>
      <c r="DS42" s="313" t="str">
        <f t="shared" si="49"/>
        <v xml:space="preserve"> </v>
      </c>
      <c r="DT42" s="313" t="str">
        <f t="shared" si="49"/>
        <v xml:space="preserve"> </v>
      </c>
      <c r="DU42" s="313">
        <f t="shared" si="49"/>
        <v>1</v>
      </c>
      <c r="DV42" s="313" t="str">
        <f t="shared" si="49"/>
        <v xml:space="preserve"> </v>
      </c>
      <c r="DW42" s="313" t="str">
        <f t="shared" si="49"/>
        <v xml:space="preserve"> </v>
      </c>
      <c r="DX42" s="313" t="str">
        <f t="shared" si="49"/>
        <v xml:space="preserve"> </v>
      </c>
      <c r="DY42" s="313" t="str">
        <f t="shared" si="49"/>
        <v xml:space="preserve"> </v>
      </c>
    </row>
    <row r="43" spans="1:129" ht="15.6">
      <c r="A43" s="298"/>
      <c r="B43" s="312"/>
      <c r="C43" s="22" t="s">
        <v>65</v>
      </c>
      <c r="D43" s="476">
        <f>+'Model Assumptions'!F169</f>
        <v>1</v>
      </c>
      <c r="E43" s="298"/>
      <c r="F43" s="298"/>
      <c r="G43" s="298"/>
      <c r="H43" s="298"/>
      <c r="I43" s="298"/>
      <c r="J43" s="313" t="str">
        <f t="shared" si="41"/>
        <v xml:space="preserve"> </v>
      </c>
      <c r="K43" s="313" t="str">
        <f t="shared" si="41"/>
        <v xml:space="preserve"> </v>
      </c>
      <c r="L43" s="313" t="str">
        <f t="shared" si="41"/>
        <v xml:space="preserve"> </v>
      </c>
      <c r="M43" s="313" t="str">
        <f t="shared" si="41"/>
        <v xml:space="preserve"> </v>
      </c>
      <c r="N43" s="313" t="str">
        <f t="shared" si="41"/>
        <v xml:space="preserve"> </v>
      </c>
      <c r="O43" s="313" t="str">
        <f t="shared" si="41"/>
        <v xml:space="preserve"> </v>
      </c>
      <c r="P43" s="313" t="str">
        <f t="shared" si="41"/>
        <v xml:space="preserve"> </v>
      </c>
      <c r="Q43" s="313" t="str">
        <f t="shared" si="41"/>
        <v xml:space="preserve"> </v>
      </c>
      <c r="R43" s="313">
        <f t="shared" si="41"/>
        <v>1</v>
      </c>
      <c r="S43" s="313" t="str">
        <f t="shared" si="41"/>
        <v xml:space="preserve"> </v>
      </c>
      <c r="T43" s="313" t="str">
        <f t="shared" si="42"/>
        <v xml:space="preserve"> </v>
      </c>
      <c r="U43" s="313" t="str">
        <f t="shared" si="42"/>
        <v xml:space="preserve"> </v>
      </c>
      <c r="V43" s="313" t="str">
        <f t="shared" si="42"/>
        <v xml:space="preserve"> </v>
      </c>
      <c r="W43" s="313" t="str">
        <f t="shared" si="42"/>
        <v xml:space="preserve"> </v>
      </c>
      <c r="X43" s="313" t="str">
        <f t="shared" si="42"/>
        <v xml:space="preserve"> </v>
      </c>
      <c r="Y43" s="313" t="str">
        <f t="shared" si="42"/>
        <v xml:space="preserve"> </v>
      </c>
      <c r="Z43" s="313" t="str">
        <f t="shared" si="42"/>
        <v xml:space="preserve"> </v>
      </c>
      <c r="AA43" s="313" t="str">
        <f t="shared" si="42"/>
        <v xml:space="preserve"> </v>
      </c>
      <c r="AB43" s="313" t="str">
        <f t="shared" si="42"/>
        <v xml:space="preserve"> </v>
      </c>
      <c r="AC43" s="313" t="str">
        <f t="shared" si="42"/>
        <v xml:space="preserve"> </v>
      </c>
      <c r="AD43" s="313">
        <f t="shared" si="43"/>
        <v>1</v>
      </c>
      <c r="AE43" s="313" t="str">
        <f t="shared" si="43"/>
        <v xml:space="preserve"> </v>
      </c>
      <c r="AF43" s="313" t="str">
        <f t="shared" si="43"/>
        <v xml:space="preserve"> </v>
      </c>
      <c r="AG43" s="313" t="str">
        <f t="shared" si="43"/>
        <v xml:space="preserve"> </v>
      </c>
      <c r="AH43" s="313" t="str">
        <f t="shared" si="43"/>
        <v xml:space="preserve"> </v>
      </c>
      <c r="AI43" s="313" t="str">
        <f t="shared" si="43"/>
        <v xml:space="preserve"> </v>
      </c>
      <c r="AJ43" s="313" t="str">
        <f t="shared" si="43"/>
        <v xml:space="preserve"> </v>
      </c>
      <c r="AK43" s="313" t="str">
        <f t="shared" si="43"/>
        <v xml:space="preserve"> </v>
      </c>
      <c r="AL43" s="313" t="str">
        <f t="shared" si="43"/>
        <v xml:space="preserve"> </v>
      </c>
      <c r="AM43" s="313" t="str">
        <f t="shared" si="47"/>
        <v xml:space="preserve"> </v>
      </c>
      <c r="AN43" s="313" t="str">
        <f t="shared" si="47"/>
        <v xml:space="preserve"> </v>
      </c>
      <c r="AO43" s="313" t="str">
        <f t="shared" si="47"/>
        <v xml:space="preserve"> </v>
      </c>
      <c r="AP43" s="313">
        <f t="shared" si="47"/>
        <v>1</v>
      </c>
      <c r="AQ43" s="313" t="str">
        <f t="shared" si="47"/>
        <v xml:space="preserve"> </v>
      </c>
      <c r="AR43" s="313" t="str">
        <f t="shared" si="47"/>
        <v xml:space="preserve"> </v>
      </c>
      <c r="AS43" s="313" t="str">
        <f t="shared" si="47"/>
        <v xml:space="preserve"> </v>
      </c>
      <c r="AT43" s="313" t="str">
        <f t="shared" si="50"/>
        <v xml:space="preserve"> </v>
      </c>
      <c r="AU43" s="313" t="str">
        <f t="shared" si="50"/>
        <v xml:space="preserve"> </v>
      </c>
      <c r="AV43" s="313" t="str">
        <f t="shared" si="50"/>
        <v xml:space="preserve"> </v>
      </c>
      <c r="AW43" s="313" t="str">
        <f t="shared" si="50"/>
        <v xml:space="preserve"> </v>
      </c>
      <c r="AX43" s="313" t="str">
        <f t="shared" si="50"/>
        <v xml:space="preserve"> </v>
      </c>
      <c r="AY43" s="313" t="str">
        <f t="shared" si="50"/>
        <v xml:space="preserve"> </v>
      </c>
      <c r="AZ43" s="313" t="str">
        <f t="shared" si="50"/>
        <v xml:space="preserve"> </v>
      </c>
      <c r="BA43" s="313" t="str">
        <f t="shared" si="50"/>
        <v xml:space="preserve"> </v>
      </c>
      <c r="BB43" s="313">
        <f t="shared" si="50"/>
        <v>1</v>
      </c>
      <c r="BC43" s="313" t="str">
        <f t="shared" si="50"/>
        <v xml:space="preserve"> </v>
      </c>
      <c r="BD43" s="313" t="str">
        <f t="shared" si="50"/>
        <v xml:space="preserve"> </v>
      </c>
      <c r="BE43" s="313" t="str">
        <f t="shared" si="50"/>
        <v xml:space="preserve"> </v>
      </c>
      <c r="BF43" s="313" t="str">
        <f t="shared" si="50"/>
        <v xml:space="preserve"> </v>
      </c>
      <c r="BG43" s="313" t="str">
        <f t="shared" si="50"/>
        <v xml:space="preserve"> </v>
      </c>
      <c r="BH43" s="313" t="str">
        <f t="shared" si="50"/>
        <v xml:space="preserve"> </v>
      </c>
      <c r="BI43" s="313" t="str">
        <f t="shared" si="50"/>
        <v xml:space="preserve"> </v>
      </c>
      <c r="BJ43" s="313" t="str">
        <f t="shared" si="50"/>
        <v xml:space="preserve"> </v>
      </c>
      <c r="BK43" s="313" t="str">
        <f t="shared" si="50"/>
        <v xml:space="preserve"> </v>
      </c>
      <c r="BL43" s="313" t="str">
        <f t="shared" si="50"/>
        <v xml:space="preserve"> </v>
      </c>
      <c r="BM43" s="313" t="str">
        <f t="shared" si="50"/>
        <v xml:space="preserve"> </v>
      </c>
      <c r="BN43" s="313">
        <f t="shared" si="50"/>
        <v>1</v>
      </c>
      <c r="BO43" s="313" t="str">
        <f t="shared" si="50"/>
        <v xml:space="preserve"> </v>
      </c>
      <c r="BP43" s="313" t="str">
        <f t="shared" si="50"/>
        <v xml:space="preserve"> </v>
      </c>
      <c r="BQ43" s="313" t="str">
        <f t="shared" si="50"/>
        <v xml:space="preserve"> </v>
      </c>
      <c r="BR43" s="313" t="str">
        <f t="shared" si="50"/>
        <v xml:space="preserve"> </v>
      </c>
      <c r="BS43" s="313" t="str">
        <f t="shared" si="50"/>
        <v xml:space="preserve"> </v>
      </c>
      <c r="BT43" s="313" t="str">
        <f t="shared" si="50"/>
        <v xml:space="preserve"> </v>
      </c>
      <c r="BU43" s="313" t="str">
        <f t="shared" si="50"/>
        <v xml:space="preserve"> </v>
      </c>
      <c r="BV43" s="313" t="str">
        <f t="shared" si="50"/>
        <v xml:space="preserve"> </v>
      </c>
      <c r="BW43" s="313" t="str">
        <f t="shared" si="50"/>
        <v xml:space="preserve"> </v>
      </c>
      <c r="BX43" s="313" t="str">
        <f t="shared" si="50"/>
        <v xml:space="preserve"> </v>
      </c>
      <c r="BY43" s="313" t="str">
        <f t="shared" si="50"/>
        <v xml:space="preserve"> </v>
      </c>
      <c r="BZ43" s="313">
        <f t="shared" si="50"/>
        <v>1</v>
      </c>
      <c r="CA43" s="313" t="str">
        <f t="shared" si="50"/>
        <v xml:space="preserve"> </v>
      </c>
      <c r="CB43" s="313" t="str">
        <f t="shared" si="50"/>
        <v xml:space="preserve"> </v>
      </c>
      <c r="CC43" s="313" t="str">
        <f t="shared" si="50"/>
        <v xml:space="preserve"> </v>
      </c>
      <c r="CD43" s="313" t="str">
        <f t="shared" si="49"/>
        <v xml:space="preserve"> </v>
      </c>
      <c r="CE43" s="313" t="str">
        <f t="shared" si="49"/>
        <v xml:space="preserve"> </v>
      </c>
      <c r="CF43" s="313" t="str">
        <f t="shared" si="49"/>
        <v xml:space="preserve"> </v>
      </c>
      <c r="CG43" s="313" t="str">
        <f t="shared" si="49"/>
        <v xml:space="preserve"> </v>
      </c>
      <c r="CH43" s="313" t="str">
        <f t="shared" si="49"/>
        <v xml:space="preserve"> </v>
      </c>
      <c r="CI43" s="313" t="str">
        <f t="shared" si="49"/>
        <v xml:space="preserve"> </v>
      </c>
      <c r="CJ43" s="313" t="str">
        <f t="shared" si="49"/>
        <v xml:space="preserve"> </v>
      </c>
      <c r="CK43" s="313" t="str">
        <f t="shared" si="49"/>
        <v xml:space="preserve"> </v>
      </c>
      <c r="CL43" s="313">
        <f t="shared" si="49"/>
        <v>1</v>
      </c>
      <c r="CM43" s="313" t="str">
        <f t="shared" si="49"/>
        <v xml:space="preserve"> </v>
      </c>
      <c r="CN43" s="313" t="str">
        <f t="shared" si="49"/>
        <v xml:space="preserve"> </v>
      </c>
      <c r="CO43" s="313" t="str">
        <f t="shared" si="49"/>
        <v xml:space="preserve"> </v>
      </c>
      <c r="CP43" s="313" t="str">
        <f t="shared" si="49"/>
        <v xml:space="preserve"> </v>
      </c>
      <c r="CQ43" s="313" t="str">
        <f t="shared" si="49"/>
        <v xml:space="preserve"> </v>
      </c>
      <c r="CR43" s="313" t="str">
        <f t="shared" si="49"/>
        <v xml:space="preserve"> </v>
      </c>
      <c r="CS43" s="313" t="str">
        <f t="shared" si="49"/>
        <v xml:space="preserve"> </v>
      </c>
      <c r="CT43" s="313" t="str">
        <f t="shared" si="49"/>
        <v xml:space="preserve"> </v>
      </c>
      <c r="CU43" s="313" t="str">
        <f t="shared" si="49"/>
        <v xml:space="preserve"> </v>
      </c>
      <c r="CV43" s="313" t="str">
        <f t="shared" si="49"/>
        <v xml:space="preserve"> </v>
      </c>
      <c r="CW43" s="313" t="str">
        <f t="shared" si="49"/>
        <v xml:space="preserve"> </v>
      </c>
      <c r="CX43" s="313">
        <f t="shared" si="49"/>
        <v>1</v>
      </c>
      <c r="CY43" s="313" t="str">
        <f t="shared" si="49"/>
        <v xml:space="preserve"> </v>
      </c>
      <c r="CZ43" s="313" t="str">
        <f t="shared" si="49"/>
        <v xml:space="preserve"> </v>
      </c>
      <c r="DA43" s="313" t="str">
        <f t="shared" si="49"/>
        <v xml:space="preserve"> </v>
      </c>
      <c r="DB43" s="313" t="str">
        <f t="shared" si="49"/>
        <v xml:space="preserve"> </v>
      </c>
      <c r="DC43" s="313" t="str">
        <f t="shared" si="49"/>
        <v xml:space="preserve"> </v>
      </c>
      <c r="DD43" s="313" t="str">
        <f t="shared" si="49"/>
        <v xml:space="preserve"> </v>
      </c>
      <c r="DE43" s="313" t="str">
        <f t="shared" si="49"/>
        <v xml:space="preserve"> </v>
      </c>
      <c r="DF43" s="313" t="str">
        <f t="shared" si="49"/>
        <v xml:space="preserve"> </v>
      </c>
      <c r="DG43" s="313" t="str">
        <f t="shared" si="49"/>
        <v xml:space="preserve"> </v>
      </c>
      <c r="DH43" s="313" t="str">
        <f t="shared" si="49"/>
        <v xml:space="preserve"> </v>
      </c>
      <c r="DI43" s="313" t="str">
        <f t="shared" si="49"/>
        <v xml:space="preserve"> </v>
      </c>
      <c r="DJ43" s="313">
        <f t="shared" si="49"/>
        <v>1</v>
      </c>
      <c r="DK43" s="313" t="str">
        <f t="shared" si="49"/>
        <v xml:space="preserve"> </v>
      </c>
      <c r="DL43" s="313" t="str">
        <f t="shared" si="49"/>
        <v xml:space="preserve"> </v>
      </c>
      <c r="DM43" s="313" t="str">
        <f t="shared" si="49"/>
        <v xml:space="preserve"> </v>
      </c>
      <c r="DN43" s="313" t="str">
        <f t="shared" si="49"/>
        <v xml:space="preserve"> </v>
      </c>
      <c r="DO43" s="313" t="str">
        <f t="shared" si="49"/>
        <v xml:space="preserve"> </v>
      </c>
      <c r="DP43" s="313" t="str">
        <f t="shared" si="49"/>
        <v xml:space="preserve"> </v>
      </c>
      <c r="DQ43" s="313" t="str">
        <f t="shared" si="49"/>
        <v xml:space="preserve"> </v>
      </c>
      <c r="DR43" s="313" t="str">
        <f t="shared" si="49"/>
        <v xml:space="preserve"> </v>
      </c>
      <c r="DS43" s="313" t="str">
        <f t="shared" si="49"/>
        <v xml:space="preserve"> </v>
      </c>
      <c r="DT43" s="313" t="str">
        <f t="shared" si="49"/>
        <v xml:space="preserve"> </v>
      </c>
      <c r="DU43" s="313" t="str">
        <f t="shared" si="49"/>
        <v xml:space="preserve"> </v>
      </c>
      <c r="DV43" s="313">
        <f t="shared" si="49"/>
        <v>1</v>
      </c>
      <c r="DW43" s="313" t="str">
        <f t="shared" si="49"/>
        <v xml:space="preserve"> </v>
      </c>
      <c r="DX43" s="313" t="str">
        <f t="shared" si="49"/>
        <v xml:space="preserve"> </v>
      </c>
      <c r="DY43" s="313" t="str">
        <f t="shared" si="49"/>
        <v xml:space="preserve"> </v>
      </c>
    </row>
    <row r="44" spans="1:129" ht="15.6">
      <c r="A44" s="298"/>
      <c r="B44" s="312"/>
      <c r="C44" s="22" t="s">
        <v>66</v>
      </c>
      <c r="D44" s="476">
        <f>+'Model Assumptions'!F170</f>
        <v>1</v>
      </c>
      <c r="E44" s="298"/>
      <c r="F44" s="298"/>
      <c r="G44" s="298"/>
      <c r="H44" s="298"/>
      <c r="I44" s="298"/>
      <c r="J44" s="313" t="str">
        <f t="shared" si="41"/>
        <v xml:space="preserve"> </v>
      </c>
      <c r="K44" s="313" t="str">
        <f t="shared" si="41"/>
        <v xml:space="preserve"> </v>
      </c>
      <c r="L44" s="313" t="str">
        <f t="shared" si="41"/>
        <v xml:space="preserve"> </v>
      </c>
      <c r="M44" s="313" t="str">
        <f t="shared" si="41"/>
        <v xml:space="preserve"> </v>
      </c>
      <c r="N44" s="313" t="str">
        <f t="shared" si="41"/>
        <v xml:space="preserve"> </v>
      </c>
      <c r="O44" s="313" t="str">
        <f t="shared" si="41"/>
        <v xml:space="preserve"> </v>
      </c>
      <c r="P44" s="313" t="str">
        <f t="shared" si="41"/>
        <v xml:space="preserve"> </v>
      </c>
      <c r="Q44" s="313" t="str">
        <f t="shared" si="41"/>
        <v xml:space="preserve"> </v>
      </c>
      <c r="R44" s="313" t="str">
        <f t="shared" si="41"/>
        <v xml:space="preserve"> </v>
      </c>
      <c r="S44" s="313">
        <f t="shared" si="41"/>
        <v>1</v>
      </c>
      <c r="T44" s="313" t="str">
        <f t="shared" si="42"/>
        <v xml:space="preserve"> </v>
      </c>
      <c r="U44" s="313" t="str">
        <f t="shared" si="42"/>
        <v xml:space="preserve"> </v>
      </c>
      <c r="V44" s="313" t="str">
        <f t="shared" si="42"/>
        <v xml:space="preserve"> </v>
      </c>
      <c r="W44" s="313" t="str">
        <f t="shared" si="42"/>
        <v xml:space="preserve"> </v>
      </c>
      <c r="X44" s="313" t="str">
        <f t="shared" si="42"/>
        <v xml:space="preserve"> </v>
      </c>
      <c r="Y44" s="313" t="str">
        <f t="shared" si="42"/>
        <v xml:space="preserve"> </v>
      </c>
      <c r="Z44" s="313" t="str">
        <f t="shared" si="42"/>
        <v xml:space="preserve"> </v>
      </c>
      <c r="AA44" s="313" t="str">
        <f t="shared" si="42"/>
        <v xml:space="preserve"> </v>
      </c>
      <c r="AB44" s="313" t="str">
        <f t="shared" si="42"/>
        <v xml:space="preserve"> </v>
      </c>
      <c r="AC44" s="313" t="str">
        <f t="shared" si="42"/>
        <v xml:space="preserve"> </v>
      </c>
      <c r="AD44" s="313" t="str">
        <f t="shared" si="43"/>
        <v xml:space="preserve"> </v>
      </c>
      <c r="AE44" s="313">
        <f t="shared" si="43"/>
        <v>1</v>
      </c>
      <c r="AF44" s="313" t="str">
        <f t="shared" si="43"/>
        <v xml:space="preserve"> </v>
      </c>
      <c r="AG44" s="313" t="str">
        <f t="shared" si="43"/>
        <v xml:space="preserve"> </v>
      </c>
      <c r="AH44" s="313" t="str">
        <f t="shared" si="43"/>
        <v xml:space="preserve"> </v>
      </c>
      <c r="AI44" s="313" t="str">
        <f t="shared" si="43"/>
        <v xml:space="preserve"> </v>
      </c>
      <c r="AJ44" s="313" t="str">
        <f t="shared" si="43"/>
        <v xml:space="preserve"> </v>
      </c>
      <c r="AK44" s="313" t="str">
        <f t="shared" si="43"/>
        <v xml:space="preserve"> </v>
      </c>
      <c r="AL44" s="313" t="str">
        <f t="shared" si="43"/>
        <v xml:space="preserve"> </v>
      </c>
      <c r="AM44" s="313" t="str">
        <f t="shared" si="47"/>
        <v xml:space="preserve"> </v>
      </c>
      <c r="AN44" s="313" t="str">
        <f t="shared" si="47"/>
        <v xml:space="preserve"> </v>
      </c>
      <c r="AO44" s="313" t="str">
        <f t="shared" si="47"/>
        <v xml:space="preserve"> </v>
      </c>
      <c r="AP44" s="313" t="str">
        <f t="shared" si="47"/>
        <v xml:space="preserve"> </v>
      </c>
      <c r="AQ44" s="313">
        <f t="shared" si="47"/>
        <v>1</v>
      </c>
      <c r="AR44" s="313" t="str">
        <f t="shared" si="47"/>
        <v xml:space="preserve"> </v>
      </c>
      <c r="AS44" s="313" t="str">
        <f t="shared" si="47"/>
        <v xml:space="preserve"> </v>
      </c>
      <c r="AT44" s="313" t="str">
        <f t="shared" si="50"/>
        <v xml:space="preserve"> </v>
      </c>
      <c r="AU44" s="313" t="str">
        <f t="shared" si="50"/>
        <v xml:space="preserve"> </v>
      </c>
      <c r="AV44" s="313" t="str">
        <f t="shared" si="50"/>
        <v xml:space="preserve"> </v>
      </c>
      <c r="AW44" s="313" t="str">
        <f t="shared" si="50"/>
        <v xml:space="preserve"> </v>
      </c>
      <c r="AX44" s="313" t="str">
        <f t="shared" si="50"/>
        <v xml:space="preserve"> </v>
      </c>
      <c r="AY44" s="313" t="str">
        <f t="shared" si="50"/>
        <v xml:space="preserve"> </v>
      </c>
      <c r="AZ44" s="313" t="str">
        <f t="shared" si="50"/>
        <v xml:space="preserve"> </v>
      </c>
      <c r="BA44" s="313" t="str">
        <f t="shared" si="50"/>
        <v xml:space="preserve"> </v>
      </c>
      <c r="BB44" s="313" t="str">
        <f t="shared" si="50"/>
        <v xml:space="preserve"> </v>
      </c>
      <c r="BC44" s="313">
        <f t="shared" si="50"/>
        <v>1</v>
      </c>
      <c r="BD44" s="313" t="str">
        <f t="shared" si="50"/>
        <v xml:space="preserve"> </v>
      </c>
      <c r="BE44" s="313" t="str">
        <f t="shared" si="50"/>
        <v xml:space="preserve"> </v>
      </c>
      <c r="BF44" s="313" t="str">
        <f t="shared" si="50"/>
        <v xml:space="preserve"> </v>
      </c>
      <c r="BG44" s="313" t="str">
        <f t="shared" si="50"/>
        <v xml:space="preserve"> </v>
      </c>
      <c r="BH44" s="313" t="str">
        <f t="shared" si="50"/>
        <v xml:space="preserve"> </v>
      </c>
      <c r="BI44" s="313" t="str">
        <f t="shared" si="50"/>
        <v xml:space="preserve"> </v>
      </c>
      <c r="BJ44" s="313" t="str">
        <f t="shared" si="50"/>
        <v xml:space="preserve"> </v>
      </c>
      <c r="BK44" s="313" t="str">
        <f t="shared" si="50"/>
        <v xml:space="preserve"> </v>
      </c>
      <c r="BL44" s="313" t="str">
        <f t="shared" si="50"/>
        <v xml:space="preserve"> </v>
      </c>
      <c r="BM44" s="313" t="str">
        <f t="shared" si="50"/>
        <v xml:space="preserve"> </v>
      </c>
      <c r="BN44" s="313" t="str">
        <f t="shared" si="50"/>
        <v xml:space="preserve"> </v>
      </c>
      <c r="BO44" s="313">
        <f t="shared" si="50"/>
        <v>1</v>
      </c>
      <c r="BP44" s="313" t="str">
        <f t="shared" si="50"/>
        <v xml:space="preserve"> </v>
      </c>
      <c r="BQ44" s="313" t="str">
        <f t="shared" si="50"/>
        <v xml:space="preserve"> </v>
      </c>
      <c r="BR44" s="313" t="str">
        <f t="shared" si="50"/>
        <v xml:space="preserve"> </v>
      </c>
      <c r="BS44" s="313" t="str">
        <f t="shared" si="50"/>
        <v xml:space="preserve"> </v>
      </c>
      <c r="BT44" s="313" t="str">
        <f t="shared" si="50"/>
        <v xml:space="preserve"> </v>
      </c>
      <c r="BU44" s="313" t="str">
        <f t="shared" si="50"/>
        <v xml:space="preserve"> </v>
      </c>
      <c r="BV44" s="313" t="str">
        <f t="shared" si="50"/>
        <v xml:space="preserve"> </v>
      </c>
      <c r="BW44" s="313" t="str">
        <f t="shared" si="50"/>
        <v xml:space="preserve"> </v>
      </c>
      <c r="BX44" s="313" t="str">
        <f t="shared" si="50"/>
        <v xml:space="preserve"> </v>
      </c>
      <c r="BY44" s="313" t="str">
        <f t="shared" si="50"/>
        <v xml:space="preserve"> </v>
      </c>
      <c r="BZ44" s="313" t="str">
        <f t="shared" si="50"/>
        <v xml:space="preserve"> </v>
      </c>
      <c r="CA44" s="313">
        <f t="shared" si="50"/>
        <v>1</v>
      </c>
      <c r="CB44" s="313" t="str">
        <f t="shared" si="50"/>
        <v xml:space="preserve"> </v>
      </c>
      <c r="CC44" s="313" t="str">
        <f t="shared" si="50"/>
        <v xml:space="preserve"> </v>
      </c>
      <c r="CD44" s="313" t="str">
        <f t="shared" si="49"/>
        <v xml:space="preserve"> </v>
      </c>
      <c r="CE44" s="313" t="str">
        <f t="shared" si="49"/>
        <v xml:space="preserve"> </v>
      </c>
      <c r="CF44" s="313" t="str">
        <f t="shared" si="49"/>
        <v xml:space="preserve"> </v>
      </c>
      <c r="CG44" s="313" t="str">
        <f t="shared" si="49"/>
        <v xml:space="preserve"> </v>
      </c>
      <c r="CH44" s="313" t="str">
        <f t="shared" si="49"/>
        <v xml:space="preserve"> </v>
      </c>
      <c r="CI44" s="313" t="str">
        <f t="shared" si="49"/>
        <v xml:space="preserve"> </v>
      </c>
      <c r="CJ44" s="313" t="str">
        <f t="shared" si="49"/>
        <v xml:space="preserve"> </v>
      </c>
      <c r="CK44" s="313" t="str">
        <f t="shared" si="49"/>
        <v xml:space="preserve"> </v>
      </c>
      <c r="CL44" s="313" t="str">
        <f t="shared" si="49"/>
        <v xml:space="preserve"> </v>
      </c>
      <c r="CM44" s="313">
        <f t="shared" si="49"/>
        <v>1</v>
      </c>
      <c r="CN44" s="313" t="str">
        <f t="shared" si="49"/>
        <v xml:space="preserve"> </v>
      </c>
      <c r="CO44" s="313" t="str">
        <f t="shared" si="49"/>
        <v xml:space="preserve"> </v>
      </c>
      <c r="CP44" s="313" t="str">
        <f t="shared" si="49"/>
        <v xml:space="preserve"> </v>
      </c>
      <c r="CQ44" s="313" t="str">
        <f t="shared" si="49"/>
        <v xml:space="preserve"> </v>
      </c>
      <c r="CR44" s="313" t="str">
        <f t="shared" si="49"/>
        <v xml:space="preserve"> </v>
      </c>
      <c r="CS44" s="313" t="str">
        <f t="shared" si="49"/>
        <v xml:space="preserve"> </v>
      </c>
      <c r="CT44" s="313" t="str">
        <f t="shared" si="49"/>
        <v xml:space="preserve"> </v>
      </c>
      <c r="CU44" s="313" t="str">
        <f t="shared" si="49"/>
        <v xml:space="preserve"> </v>
      </c>
      <c r="CV44" s="313" t="str">
        <f t="shared" si="49"/>
        <v xml:space="preserve"> </v>
      </c>
      <c r="CW44" s="313" t="str">
        <f t="shared" si="49"/>
        <v xml:space="preserve"> </v>
      </c>
      <c r="CX44" s="313" t="str">
        <f t="shared" si="49"/>
        <v xml:space="preserve"> </v>
      </c>
      <c r="CY44" s="313">
        <f t="shared" si="49"/>
        <v>1</v>
      </c>
      <c r="CZ44" s="313" t="str">
        <f t="shared" si="49"/>
        <v xml:space="preserve"> </v>
      </c>
      <c r="DA44" s="313" t="str">
        <f t="shared" si="49"/>
        <v xml:space="preserve"> </v>
      </c>
      <c r="DB44" s="313" t="str">
        <f t="shared" si="49"/>
        <v xml:space="preserve"> </v>
      </c>
      <c r="DC44" s="313" t="str">
        <f t="shared" si="49"/>
        <v xml:space="preserve"> </v>
      </c>
      <c r="DD44" s="313" t="str">
        <f t="shared" si="49"/>
        <v xml:space="preserve"> </v>
      </c>
      <c r="DE44" s="313" t="str">
        <f t="shared" si="49"/>
        <v xml:space="preserve"> </v>
      </c>
      <c r="DF44" s="313" t="str">
        <f t="shared" si="49"/>
        <v xml:space="preserve"> </v>
      </c>
      <c r="DG44" s="313" t="str">
        <f t="shared" si="49"/>
        <v xml:space="preserve"> </v>
      </c>
      <c r="DH44" s="313" t="str">
        <f t="shared" si="49"/>
        <v xml:space="preserve"> </v>
      </c>
      <c r="DI44" s="313" t="str">
        <f t="shared" si="49"/>
        <v xml:space="preserve"> </v>
      </c>
      <c r="DJ44" s="313" t="str">
        <f t="shared" si="49"/>
        <v xml:space="preserve"> </v>
      </c>
      <c r="DK44" s="313">
        <f t="shared" si="49"/>
        <v>1</v>
      </c>
      <c r="DL44" s="313" t="str">
        <f t="shared" si="49"/>
        <v xml:space="preserve"> </v>
      </c>
      <c r="DM44" s="313" t="str">
        <f t="shared" si="49"/>
        <v xml:space="preserve"> </v>
      </c>
      <c r="DN44" s="313" t="str">
        <f t="shared" si="49"/>
        <v xml:space="preserve"> </v>
      </c>
      <c r="DO44" s="313" t="str">
        <f t="shared" si="49"/>
        <v xml:space="preserve"> </v>
      </c>
      <c r="DP44" s="313" t="str">
        <f t="shared" si="49"/>
        <v xml:space="preserve"> </v>
      </c>
      <c r="DQ44" s="313" t="str">
        <f t="shared" si="49"/>
        <v xml:space="preserve"> </v>
      </c>
      <c r="DR44" s="313" t="str">
        <f t="shared" si="49"/>
        <v xml:space="preserve"> </v>
      </c>
      <c r="DS44" s="313" t="str">
        <f t="shared" si="49"/>
        <v xml:space="preserve"> </v>
      </c>
      <c r="DT44" s="313" t="str">
        <f t="shared" si="49"/>
        <v xml:space="preserve"> </v>
      </c>
      <c r="DU44" s="313" t="str">
        <f t="shared" si="49"/>
        <v xml:space="preserve"> </v>
      </c>
      <c r="DV44" s="313" t="str">
        <f t="shared" si="49"/>
        <v xml:space="preserve"> </v>
      </c>
      <c r="DW44" s="313">
        <f t="shared" si="49"/>
        <v>1</v>
      </c>
      <c r="DX44" s="313" t="str">
        <f t="shared" si="49"/>
        <v xml:space="preserve"> </v>
      </c>
      <c r="DY44" s="313" t="str">
        <f t="shared" si="49"/>
        <v xml:space="preserve"> </v>
      </c>
    </row>
    <row r="45" spans="1:129" ht="15.6">
      <c r="A45" s="298"/>
      <c r="B45" s="312"/>
      <c r="C45" s="22" t="s">
        <v>67</v>
      </c>
      <c r="D45" s="476">
        <f>+'Model Assumptions'!F171</f>
        <v>1</v>
      </c>
      <c r="E45" s="298"/>
      <c r="F45" s="298"/>
      <c r="G45" s="298"/>
      <c r="H45" s="298"/>
      <c r="I45" s="298"/>
      <c r="J45" s="313" t="str">
        <f t="shared" si="41"/>
        <v xml:space="preserve"> </v>
      </c>
      <c r="K45" s="313" t="str">
        <f t="shared" si="41"/>
        <v xml:space="preserve"> </v>
      </c>
      <c r="L45" s="313" t="str">
        <f t="shared" si="41"/>
        <v xml:space="preserve"> </v>
      </c>
      <c r="M45" s="313" t="str">
        <f t="shared" si="41"/>
        <v xml:space="preserve"> </v>
      </c>
      <c r="N45" s="313" t="str">
        <f t="shared" si="41"/>
        <v xml:space="preserve"> </v>
      </c>
      <c r="O45" s="313" t="str">
        <f t="shared" si="41"/>
        <v xml:space="preserve"> </v>
      </c>
      <c r="P45" s="313" t="str">
        <f t="shared" si="41"/>
        <v xml:space="preserve"> </v>
      </c>
      <c r="Q45" s="313" t="str">
        <f t="shared" si="41"/>
        <v xml:space="preserve"> </v>
      </c>
      <c r="R45" s="313" t="str">
        <f t="shared" si="41"/>
        <v xml:space="preserve"> </v>
      </c>
      <c r="S45" s="313" t="str">
        <f t="shared" si="41"/>
        <v xml:space="preserve"> </v>
      </c>
      <c r="T45" s="313">
        <f t="shared" si="42"/>
        <v>1</v>
      </c>
      <c r="U45" s="313" t="str">
        <f t="shared" si="42"/>
        <v xml:space="preserve"> </v>
      </c>
      <c r="V45" s="313" t="str">
        <f t="shared" si="42"/>
        <v xml:space="preserve"> </v>
      </c>
      <c r="W45" s="313" t="str">
        <f t="shared" si="42"/>
        <v xml:space="preserve"> </v>
      </c>
      <c r="X45" s="313" t="str">
        <f t="shared" si="42"/>
        <v xml:space="preserve"> </v>
      </c>
      <c r="Y45" s="313" t="str">
        <f t="shared" si="42"/>
        <v xml:space="preserve"> </v>
      </c>
      <c r="Z45" s="313" t="str">
        <f t="shared" si="42"/>
        <v xml:space="preserve"> </v>
      </c>
      <c r="AA45" s="313" t="str">
        <f t="shared" si="42"/>
        <v xml:space="preserve"> </v>
      </c>
      <c r="AB45" s="313" t="str">
        <f t="shared" si="42"/>
        <v xml:space="preserve"> </v>
      </c>
      <c r="AC45" s="313" t="str">
        <f t="shared" si="42"/>
        <v xml:space="preserve"> </v>
      </c>
      <c r="AD45" s="313" t="str">
        <f t="shared" si="43"/>
        <v xml:space="preserve"> </v>
      </c>
      <c r="AE45" s="313" t="str">
        <f t="shared" si="43"/>
        <v xml:space="preserve"> </v>
      </c>
      <c r="AF45" s="313">
        <f t="shared" si="43"/>
        <v>1</v>
      </c>
      <c r="AG45" s="313" t="str">
        <f t="shared" si="43"/>
        <v xml:space="preserve"> </v>
      </c>
      <c r="AH45" s="313" t="str">
        <f t="shared" si="43"/>
        <v xml:space="preserve"> </v>
      </c>
      <c r="AI45" s="313" t="str">
        <f t="shared" si="43"/>
        <v xml:space="preserve"> </v>
      </c>
      <c r="AJ45" s="313" t="str">
        <f t="shared" si="43"/>
        <v xml:space="preserve"> </v>
      </c>
      <c r="AK45" s="313" t="str">
        <f t="shared" si="43"/>
        <v xml:space="preserve"> </v>
      </c>
      <c r="AL45" s="313" t="str">
        <f t="shared" si="43"/>
        <v xml:space="preserve"> </v>
      </c>
      <c r="AM45" s="313" t="str">
        <f t="shared" si="47"/>
        <v xml:space="preserve"> </v>
      </c>
      <c r="AN45" s="313" t="str">
        <f t="shared" si="47"/>
        <v xml:space="preserve"> </v>
      </c>
      <c r="AO45" s="313" t="str">
        <f t="shared" si="47"/>
        <v xml:space="preserve"> </v>
      </c>
      <c r="AP45" s="313" t="str">
        <f t="shared" si="47"/>
        <v xml:space="preserve"> </v>
      </c>
      <c r="AQ45" s="313" t="str">
        <f t="shared" si="47"/>
        <v xml:space="preserve"> </v>
      </c>
      <c r="AR45" s="313">
        <f t="shared" si="47"/>
        <v>1</v>
      </c>
      <c r="AS45" s="313" t="str">
        <f t="shared" si="47"/>
        <v xml:space="preserve"> </v>
      </c>
      <c r="AT45" s="313" t="str">
        <f t="shared" si="50"/>
        <v xml:space="preserve"> </v>
      </c>
      <c r="AU45" s="313" t="str">
        <f t="shared" si="50"/>
        <v xml:space="preserve"> </v>
      </c>
      <c r="AV45" s="313" t="str">
        <f t="shared" si="50"/>
        <v xml:space="preserve"> </v>
      </c>
      <c r="AW45" s="313" t="str">
        <f t="shared" si="50"/>
        <v xml:space="preserve"> </v>
      </c>
      <c r="AX45" s="313" t="str">
        <f t="shared" si="50"/>
        <v xml:space="preserve"> </v>
      </c>
      <c r="AY45" s="313" t="str">
        <f t="shared" si="50"/>
        <v xml:space="preserve"> </v>
      </c>
      <c r="AZ45" s="313" t="str">
        <f t="shared" si="50"/>
        <v xml:space="preserve"> </v>
      </c>
      <c r="BA45" s="313" t="str">
        <f t="shared" si="50"/>
        <v xml:space="preserve"> </v>
      </c>
      <c r="BB45" s="313" t="str">
        <f t="shared" si="50"/>
        <v xml:space="preserve"> </v>
      </c>
      <c r="BC45" s="313" t="str">
        <f t="shared" si="50"/>
        <v xml:space="preserve"> </v>
      </c>
      <c r="BD45" s="313">
        <f t="shared" si="50"/>
        <v>1</v>
      </c>
      <c r="BE45" s="313" t="str">
        <f t="shared" si="50"/>
        <v xml:space="preserve"> </v>
      </c>
      <c r="BF45" s="313" t="str">
        <f t="shared" si="50"/>
        <v xml:space="preserve"> </v>
      </c>
      <c r="BG45" s="313" t="str">
        <f t="shared" si="50"/>
        <v xml:space="preserve"> </v>
      </c>
      <c r="BH45" s="313" t="str">
        <f t="shared" si="50"/>
        <v xml:space="preserve"> </v>
      </c>
      <c r="BI45" s="313" t="str">
        <f t="shared" si="50"/>
        <v xml:space="preserve"> </v>
      </c>
      <c r="BJ45" s="313" t="str">
        <f t="shared" si="50"/>
        <v xml:space="preserve"> </v>
      </c>
      <c r="BK45" s="313" t="str">
        <f t="shared" si="50"/>
        <v xml:space="preserve"> </v>
      </c>
      <c r="BL45" s="313" t="str">
        <f t="shared" si="50"/>
        <v xml:space="preserve"> </v>
      </c>
      <c r="BM45" s="313" t="str">
        <f t="shared" si="50"/>
        <v xml:space="preserve"> </v>
      </c>
      <c r="BN45" s="313" t="str">
        <f t="shared" si="50"/>
        <v xml:space="preserve"> </v>
      </c>
      <c r="BO45" s="313" t="str">
        <f t="shared" si="50"/>
        <v xml:space="preserve"> </v>
      </c>
      <c r="BP45" s="313">
        <f t="shared" si="50"/>
        <v>1</v>
      </c>
      <c r="BQ45" s="313" t="str">
        <f t="shared" si="50"/>
        <v xml:space="preserve"> </v>
      </c>
      <c r="BR45" s="313" t="str">
        <f t="shared" si="50"/>
        <v xml:space="preserve"> </v>
      </c>
      <c r="BS45" s="313" t="str">
        <f t="shared" si="50"/>
        <v xml:space="preserve"> </v>
      </c>
      <c r="BT45" s="313" t="str">
        <f t="shared" si="50"/>
        <v xml:space="preserve"> </v>
      </c>
      <c r="BU45" s="313" t="str">
        <f t="shared" si="50"/>
        <v xml:space="preserve"> </v>
      </c>
      <c r="BV45" s="313" t="str">
        <f t="shared" si="50"/>
        <v xml:space="preserve"> </v>
      </c>
      <c r="BW45" s="313" t="str">
        <f t="shared" si="50"/>
        <v xml:space="preserve"> </v>
      </c>
      <c r="BX45" s="313" t="str">
        <f t="shared" si="50"/>
        <v xml:space="preserve"> </v>
      </c>
      <c r="BY45" s="313" t="str">
        <f t="shared" si="50"/>
        <v xml:space="preserve"> </v>
      </c>
      <c r="BZ45" s="313" t="str">
        <f t="shared" si="50"/>
        <v xml:space="preserve"> </v>
      </c>
      <c r="CA45" s="313" t="str">
        <f t="shared" si="50"/>
        <v xml:space="preserve"> </v>
      </c>
      <c r="CB45" s="313">
        <f t="shared" si="50"/>
        <v>1</v>
      </c>
      <c r="CC45" s="313" t="str">
        <f t="shared" si="50"/>
        <v xml:space="preserve"> </v>
      </c>
      <c r="CD45" s="313" t="str">
        <f t="shared" si="49"/>
        <v xml:space="preserve"> </v>
      </c>
      <c r="CE45" s="313" t="str">
        <f t="shared" si="49"/>
        <v xml:space="preserve"> </v>
      </c>
      <c r="CF45" s="313" t="str">
        <f t="shared" si="49"/>
        <v xml:space="preserve"> </v>
      </c>
      <c r="CG45" s="313" t="str">
        <f t="shared" si="49"/>
        <v xml:space="preserve"> </v>
      </c>
      <c r="CH45" s="313" t="str">
        <f t="shared" si="49"/>
        <v xml:space="preserve"> </v>
      </c>
      <c r="CI45" s="313" t="str">
        <f t="shared" si="49"/>
        <v xml:space="preserve"> </v>
      </c>
      <c r="CJ45" s="313" t="str">
        <f t="shared" si="49"/>
        <v xml:space="preserve"> </v>
      </c>
      <c r="CK45" s="313" t="str">
        <f t="shared" si="49"/>
        <v xml:space="preserve"> </v>
      </c>
      <c r="CL45" s="313" t="str">
        <f t="shared" si="49"/>
        <v xml:space="preserve"> </v>
      </c>
      <c r="CM45" s="313" t="str">
        <f t="shared" si="49"/>
        <v xml:space="preserve"> </v>
      </c>
      <c r="CN45" s="313">
        <f t="shared" si="49"/>
        <v>1</v>
      </c>
      <c r="CO45" s="313" t="str">
        <f t="shared" si="49"/>
        <v xml:space="preserve"> </v>
      </c>
      <c r="CP45" s="313" t="str">
        <f t="shared" si="49"/>
        <v xml:space="preserve"> </v>
      </c>
      <c r="CQ45" s="313" t="str">
        <f t="shared" si="49"/>
        <v xml:space="preserve"> </v>
      </c>
      <c r="CR45" s="313" t="str">
        <f t="shared" si="49"/>
        <v xml:space="preserve"> </v>
      </c>
      <c r="CS45" s="313" t="str">
        <f t="shared" si="49"/>
        <v xml:space="preserve"> </v>
      </c>
      <c r="CT45" s="313" t="str">
        <f t="shared" si="49"/>
        <v xml:space="preserve"> </v>
      </c>
      <c r="CU45" s="313" t="str">
        <f t="shared" si="49"/>
        <v xml:space="preserve"> </v>
      </c>
      <c r="CV45" s="313" t="str">
        <f t="shared" si="49"/>
        <v xml:space="preserve"> </v>
      </c>
      <c r="CW45" s="313" t="str">
        <f t="shared" si="49"/>
        <v xml:space="preserve"> </v>
      </c>
      <c r="CX45" s="313" t="str">
        <f t="shared" si="49"/>
        <v xml:space="preserve"> </v>
      </c>
      <c r="CY45" s="313" t="str">
        <f t="shared" si="49"/>
        <v xml:space="preserve"> </v>
      </c>
      <c r="CZ45" s="313">
        <f t="shared" si="49"/>
        <v>1</v>
      </c>
      <c r="DA45" s="313" t="str">
        <f t="shared" si="49"/>
        <v xml:space="preserve"> </v>
      </c>
      <c r="DB45" s="313" t="str">
        <f t="shared" si="49"/>
        <v xml:space="preserve"> </v>
      </c>
      <c r="DC45" s="313" t="str">
        <f t="shared" si="49"/>
        <v xml:space="preserve"> </v>
      </c>
      <c r="DD45" s="313" t="str">
        <f t="shared" si="49"/>
        <v xml:space="preserve"> </v>
      </c>
      <c r="DE45" s="313" t="str">
        <f t="shared" si="49"/>
        <v xml:space="preserve"> </v>
      </c>
      <c r="DF45" s="313" t="str">
        <f t="shared" si="49"/>
        <v xml:space="preserve"> </v>
      </c>
      <c r="DG45" s="313" t="str">
        <f t="shared" si="49"/>
        <v xml:space="preserve"> </v>
      </c>
      <c r="DH45" s="313" t="str">
        <f t="shared" si="49"/>
        <v xml:space="preserve"> </v>
      </c>
      <c r="DI45" s="313" t="str">
        <f t="shared" si="49"/>
        <v xml:space="preserve"> </v>
      </c>
      <c r="DJ45" s="313" t="str">
        <f t="shared" si="49"/>
        <v xml:space="preserve"> </v>
      </c>
      <c r="DK45" s="313" t="str">
        <f t="shared" ref="CD45:DY46" si="51">IF(MONTH(DATEVALUE($C45&amp;"1"))=MONTH(DK$22),$D45," ")</f>
        <v xml:space="preserve"> </v>
      </c>
      <c r="DL45" s="313">
        <f t="shared" si="51"/>
        <v>1</v>
      </c>
      <c r="DM45" s="313" t="str">
        <f t="shared" si="51"/>
        <v xml:space="preserve"> </v>
      </c>
      <c r="DN45" s="313" t="str">
        <f t="shared" si="51"/>
        <v xml:space="preserve"> </v>
      </c>
      <c r="DO45" s="313" t="str">
        <f t="shared" si="51"/>
        <v xml:space="preserve"> </v>
      </c>
      <c r="DP45" s="313" t="str">
        <f t="shared" si="51"/>
        <v xml:space="preserve"> </v>
      </c>
      <c r="DQ45" s="313" t="str">
        <f t="shared" si="51"/>
        <v xml:space="preserve"> </v>
      </c>
      <c r="DR45" s="313" t="str">
        <f t="shared" si="51"/>
        <v xml:space="preserve"> </v>
      </c>
      <c r="DS45" s="313" t="str">
        <f t="shared" si="51"/>
        <v xml:space="preserve"> </v>
      </c>
      <c r="DT45" s="313" t="str">
        <f t="shared" si="51"/>
        <v xml:space="preserve"> </v>
      </c>
      <c r="DU45" s="313" t="str">
        <f t="shared" si="51"/>
        <v xml:space="preserve"> </v>
      </c>
      <c r="DV45" s="313" t="str">
        <f t="shared" si="51"/>
        <v xml:space="preserve"> </v>
      </c>
      <c r="DW45" s="313" t="str">
        <f t="shared" si="51"/>
        <v xml:space="preserve"> </v>
      </c>
      <c r="DX45" s="313">
        <f t="shared" si="51"/>
        <v>1</v>
      </c>
      <c r="DY45" s="313" t="str">
        <f t="shared" si="51"/>
        <v xml:space="preserve"> </v>
      </c>
    </row>
    <row r="46" spans="1:129" ht="15.6">
      <c r="A46" s="298"/>
      <c r="B46" s="312"/>
      <c r="C46" s="22" t="s">
        <v>68</v>
      </c>
      <c r="D46" s="476">
        <f>+'Model Assumptions'!F172</f>
        <v>1</v>
      </c>
      <c r="E46" s="298"/>
      <c r="F46" s="298"/>
      <c r="G46" s="298"/>
      <c r="H46" s="298"/>
      <c r="I46" s="298"/>
      <c r="J46" s="313" t="str">
        <f t="shared" si="41"/>
        <v xml:space="preserve"> </v>
      </c>
      <c r="K46" s="313" t="str">
        <f t="shared" si="41"/>
        <v xml:space="preserve"> </v>
      </c>
      <c r="L46" s="313" t="str">
        <f t="shared" si="41"/>
        <v xml:space="preserve"> </v>
      </c>
      <c r="M46" s="313" t="str">
        <f t="shared" si="41"/>
        <v xml:space="preserve"> </v>
      </c>
      <c r="N46" s="313" t="str">
        <f t="shared" si="41"/>
        <v xml:space="preserve"> </v>
      </c>
      <c r="O46" s="313" t="str">
        <f t="shared" si="41"/>
        <v xml:space="preserve"> </v>
      </c>
      <c r="P46" s="313" t="str">
        <f t="shared" si="41"/>
        <v xml:space="preserve"> </v>
      </c>
      <c r="Q46" s="313" t="str">
        <f t="shared" si="41"/>
        <v xml:space="preserve"> </v>
      </c>
      <c r="R46" s="313" t="str">
        <f t="shared" si="41"/>
        <v xml:space="preserve"> </v>
      </c>
      <c r="S46" s="313" t="str">
        <f t="shared" si="41"/>
        <v xml:space="preserve"> </v>
      </c>
      <c r="T46" s="313" t="str">
        <f t="shared" si="42"/>
        <v xml:space="preserve"> </v>
      </c>
      <c r="U46" s="313">
        <f t="shared" si="42"/>
        <v>1</v>
      </c>
      <c r="V46" s="313" t="str">
        <f t="shared" si="42"/>
        <v xml:space="preserve"> </v>
      </c>
      <c r="W46" s="313" t="str">
        <f t="shared" si="42"/>
        <v xml:space="preserve"> </v>
      </c>
      <c r="X46" s="313" t="str">
        <f t="shared" si="42"/>
        <v xml:space="preserve"> </v>
      </c>
      <c r="Y46" s="313" t="str">
        <f t="shared" si="42"/>
        <v xml:space="preserve"> </v>
      </c>
      <c r="Z46" s="313" t="str">
        <f t="shared" si="42"/>
        <v xml:space="preserve"> </v>
      </c>
      <c r="AA46" s="313" t="str">
        <f t="shared" si="42"/>
        <v xml:space="preserve"> </v>
      </c>
      <c r="AB46" s="313" t="str">
        <f t="shared" si="42"/>
        <v xml:space="preserve"> </v>
      </c>
      <c r="AC46" s="313" t="str">
        <f t="shared" si="42"/>
        <v xml:space="preserve"> </v>
      </c>
      <c r="AD46" s="313" t="str">
        <f t="shared" si="43"/>
        <v xml:space="preserve"> </v>
      </c>
      <c r="AE46" s="313" t="str">
        <f t="shared" si="43"/>
        <v xml:space="preserve"> </v>
      </c>
      <c r="AF46" s="313" t="str">
        <f t="shared" si="43"/>
        <v xml:space="preserve"> </v>
      </c>
      <c r="AG46" s="313">
        <f t="shared" si="43"/>
        <v>1</v>
      </c>
      <c r="AH46" s="313" t="str">
        <f t="shared" si="43"/>
        <v xml:space="preserve"> </v>
      </c>
      <c r="AI46" s="313" t="str">
        <f t="shared" si="43"/>
        <v xml:space="preserve"> </v>
      </c>
      <c r="AJ46" s="313" t="str">
        <f t="shared" si="43"/>
        <v xml:space="preserve"> </v>
      </c>
      <c r="AK46" s="313" t="str">
        <f t="shared" si="43"/>
        <v xml:space="preserve"> </v>
      </c>
      <c r="AL46" s="313" t="str">
        <f t="shared" si="43"/>
        <v xml:space="preserve"> </v>
      </c>
      <c r="AM46" s="313" t="str">
        <f t="shared" si="47"/>
        <v xml:space="preserve"> </v>
      </c>
      <c r="AN46" s="313" t="str">
        <f t="shared" si="47"/>
        <v xml:space="preserve"> </v>
      </c>
      <c r="AO46" s="313" t="str">
        <f t="shared" si="47"/>
        <v xml:space="preserve"> </v>
      </c>
      <c r="AP46" s="313" t="str">
        <f t="shared" si="47"/>
        <v xml:space="preserve"> </v>
      </c>
      <c r="AQ46" s="313" t="str">
        <f t="shared" si="47"/>
        <v xml:space="preserve"> </v>
      </c>
      <c r="AR46" s="313" t="str">
        <f t="shared" si="47"/>
        <v xml:space="preserve"> </v>
      </c>
      <c r="AS46" s="313">
        <f t="shared" si="47"/>
        <v>1</v>
      </c>
      <c r="AT46" s="313" t="str">
        <f t="shared" si="50"/>
        <v xml:space="preserve"> </v>
      </c>
      <c r="AU46" s="313" t="str">
        <f t="shared" si="50"/>
        <v xml:space="preserve"> </v>
      </c>
      <c r="AV46" s="313" t="str">
        <f t="shared" si="50"/>
        <v xml:space="preserve"> </v>
      </c>
      <c r="AW46" s="313" t="str">
        <f t="shared" si="50"/>
        <v xml:space="preserve"> </v>
      </c>
      <c r="AX46" s="313" t="str">
        <f t="shared" si="50"/>
        <v xml:space="preserve"> </v>
      </c>
      <c r="AY46" s="313" t="str">
        <f t="shared" si="50"/>
        <v xml:space="preserve"> </v>
      </c>
      <c r="AZ46" s="313" t="str">
        <f t="shared" si="50"/>
        <v xml:space="preserve"> </v>
      </c>
      <c r="BA46" s="313" t="str">
        <f t="shared" si="50"/>
        <v xml:space="preserve"> </v>
      </c>
      <c r="BB46" s="313" t="str">
        <f t="shared" si="50"/>
        <v xml:space="preserve"> </v>
      </c>
      <c r="BC46" s="313" t="str">
        <f t="shared" si="50"/>
        <v xml:space="preserve"> </v>
      </c>
      <c r="BD46" s="313" t="str">
        <f t="shared" si="50"/>
        <v xml:space="preserve"> </v>
      </c>
      <c r="BE46" s="313">
        <f t="shared" si="50"/>
        <v>1</v>
      </c>
      <c r="BF46" s="313" t="str">
        <f t="shared" si="50"/>
        <v xml:space="preserve"> </v>
      </c>
      <c r="BG46" s="313" t="str">
        <f t="shared" si="50"/>
        <v xml:space="preserve"> </v>
      </c>
      <c r="BH46" s="313" t="str">
        <f t="shared" si="50"/>
        <v xml:space="preserve"> </v>
      </c>
      <c r="BI46" s="313" t="str">
        <f t="shared" si="50"/>
        <v xml:space="preserve"> </v>
      </c>
      <c r="BJ46" s="313" t="str">
        <f t="shared" si="50"/>
        <v xml:space="preserve"> </v>
      </c>
      <c r="BK46" s="313" t="str">
        <f t="shared" si="50"/>
        <v xml:space="preserve"> </v>
      </c>
      <c r="BL46" s="313" t="str">
        <f t="shared" si="50"/>
        <v xml:space="preserve"> </v>
      </c>
      <c r="BM46" s="313" t="str">
        <f t="shared" si="50"/>
        <v xml:space="preserve"> </v>
      </c>
      <c r="BN46" s="313" t="str">
        <f t="shared" si="50"/>
        <v xml:space="preserve"> </v>
      </c>
      <c r="BO46" s="313" t="str">
        <f t="shared" si="50"/>
        <v xml:space="preserve"> </v>
      </c>
      <c r="BP46" s="313" t="str">
        <f t="shared" si="50"/>
        <v xml:space="preserve"> </v>
      </c>
      <c r="BQ46" s="313">
        <f t="shared" si="50"/>
        <v>1</v>
      </c>
      <c r="BR46" s="313" t="str">
        <f t="shared" si="50"/>
        <v xml:space="preserve"> </v>
      </c>
      <c r="BS46" s="313" t="str">
        <f t="shared" si="50"/>
        <v xml:space="preserve"> </v>
      </c>
      <c r="BT46" s="313" t="str">
        <f t="shared" si="50"/>
        <v xml:space="preserve"> </v>
      </c>
      <c r="BU46" s="313" t="str">
        <f t="shared" si="50"/>
        <v xml:space="preserve"> </v>
      </c>
      <c r="BV46" s="313" t="str">
        <f t="shared" si="50"/>
        <v xml:space="preserve"> </v>
      </c>
      <c r="BW46" s="313" t="str">
        <f t="shared" si="50"/>
        <v xml:space="preserve"> </v>
      </c>
      <c r="BX46" s="313" t="str">
        <f t="shared" si="50"/>
        <v xml:space="preserve"> </v>
      </c>
      <c r="BY46" s="313" t="str">
        <f t="shared" si="50"/>
        <v xml:space="preserve"> </v>
      </c>
      <c r="BZ46" s="313" t="str">
        <f t="shared" si="50"/>
        <v xml:space="preserve"> </v>
      </c>
      <c r="CA46" s="313" t="str">
        <f t="shared" si="50"/>
        <v xml:space="preserve"> </v>
      </c>
      <c r="CB46" s="313" t="str">
        <f t="shared" si="50"/>
        <v xml:space="preserve"> </v>
      </c>
      <c r="CC46" s="313">
        <f t="shared" si="50"/>
        <v>1</v>
      </c>
      <c r="CD46" s="313" t="str">
        <f t="shared" si="51"/>
        <v xml:space="preserve"> </v>
      </c>
      <c r="CE46" s="313" t="str">
        <f t="shared" si="51"/>
        <v xml:space="preserve"> </v>
      </c>
      <c r="CF46" s="313" t="str">
        <f t="shared" si="51"/>
        <v xml:space="preserve"> </v>
      </c>
      <c r="CG46" s="313" t="str">
        <f t="shared" si="51"/>
        <v xml:space="preserve"> </v>
      </c>
      <c r="CH46" s="313" t="str">
        <f t="shared" si="51"/>
        <v xml:space="preserve"> </v>
      </c>
      <c r="CI46" s="313" t="str">
        <f t="shared" si="51"/>
        <v xml:space="preserve"> </v>
      </c>
      <c r="CJ46" s="313" t="str">
        <f t="shared" si="51"/>
        <v xml:space="preserve"> </v>
      </c>
      <c r="CK46" s="313" t="str">
        <f t="shared" si="51"/>
        <v xml:space="preserve"> </v>
      </c>
      <c r="CL46" s="313" t="str">
        <f t="shared" si="51"/>
        <v xml:space="preserve"> </v>
      </c>
      <c r="CM46" s="313" t="str">
        <f t="shared" si="51"/>
        <v xml:space="preserve"> </v>
      </c>
      <c r="CN46" s="313" t="str">
        <f t="shared" si="51"/>
        <v xml:space="preserve"> </v>
      </c>
      <c r="CO46" s="313">
        <f t="shared" si="51"/>
        <v>1</v>
      </c>
      <c r="CP46" s="313" t="str">
        <f t="shared" si="51"/>
        <v xml:space="preserve"> </v>
      </c>
      <c r="CQ46" s="313" t="str">
        <f t="shared" si="51"/>
        <v xml:space="preserve"> </v>
      </c>
      <c r="CR46" s="313" t="str">
        <f t="shared" si="51"/>
        <v xml:space="preserve"> </v>
      </c>
      <c r="CS46" s="313" t="str">
        <f t="shared" si="51"/>
        <v xml:space="preserve"> </v>
      </c>
      <c r="CT46" s="313" t="str">
        <f t="shared" si="51"/>
        <v xml:space="preserve"> </v>
      </c>
      <c r="CU46" s="313" t="str">
        <f t="shared" si="51"/>
        <v xml:space="preserve"> </v>
      </c>
      <c r="CV46" s="313" t="str">
        <f t="shared" si="51"/>
        <v xml:space="preserve"> </v>
      </c>
      <c r="CW46" s="313" t="str">
        <f t="shared" si="51"/>
        <v xml:space="preserve"> </v>
      </c>
      <c r="CX46" s="313" t="str">
        <f t="shared" si="51"/>
        <v xml:space="preserve"> </v>
      </c>
      <c r="CY46" s="313" t="str">
        <f t="shared" si="51"/>
        <v xml:space="preserve"> </v>
      </c>
      <c r="CZ46" s="313" t="str">
        <f t="shared" si="51"/>
        <v xml:space="preserve"> </v>
      </c>
      <c r="DA46" s="313">
        <f t="shared" si="51"/>
        <v>1</v>
      </c>
      <c r="DB46" s="313" t="str">
        <f t="shared" si="51"/>
        <v xml:space="preserve"> </v>
      </c>
      <c r="DC46" s="313" t="str">
        <f t="shared" si="51"/>
        <v xml:space="preserve"> </v>
      </c>
      <c r="DD46" s="313" t="str">
        <f t="shared" si="51"/>
        <v xml:space="preserve"> </v>
      </c>
      <c r="DE46" s="313" t="str">
        <f t="shared" si="51"/>
        <v xml:space="preserve"> </v>
      </c>
      <c r="DF46" s="313" t="str">
        <f t="shared" si="51"/>
        <v xml:space="preserve"> </v>
      </c>
      <c r="DG46" s="313" t="str">
        <f t="shared" si="51"/>
        <v xml:space="preserve"> </v>
      </c>
      <c r="DH46" s="313" t="str">
        <f t="shared" si="51"/>
        <v xml:space="preserve"> </v>
      </c>
      <c r="DI46" s="313" t="str">
        <f t="shared" si="51"/>
        <v xml:space="preserve"> </v>
      </c>
      <c r="DJ46" s="313" t="str">
        <f t="shared" si="51"/>
        <v xml:space="preserve"> </v>
      </c>
      <c r="DK46" s="313" t="str">
        <f t="shared" si="51"/>
        <v xml:space="preserve"> </v>
      </c>
      <c r="DL46" s="313" t="str">
        <f t="shared" si="51"/>
        <v xml:space="preserve"> </v>
      </c>
      <c r="DM46" s="313">
        <f t="shared" si="51"/>
        <v>1</v>
      </c>
      <c r="DN46" s="313" t="str">
        <f t="shared" si="51"/>
        <v xml:space="preserve"> </v>
      </c>
      <c r="DO46" s="313" t="str">
        <f t="shared" si="51"/>
        <v xml:space="preserve"> </v>
      </c>
      <c r="DP46" s="313" t="str">
        <f t="shared" si="51"/>
        <v xml:space="preserve"> </v>
      </c>
      <c r="DQ46" s="313" t="str">
        <f t="shared" si="51"/>
        <v xml:space="preserve"> </v>
      </c>
      <c r="DR46" s="313" t="str">
        <f t="shared" si="51"/>
        <v xml:space="preserve"> </v>
      </c>
      <c r="DS46" s="313" t="str">
        <f t="shared" si="51"/>
        <v xml:space="preserve"> </v>
      </c>
      <c r="DT46" s="313" t="str">
        <f t="shared" si="51"/>
        <v xml:space="preserve"> </v>
      </c>
      <c r="DU46" s="313" t="str">
        <f t="shared" si="51"/>
        <v xml:space="preserve"> </v>
      </c>
      <c r="DV46" s="313" t="str">
        <f t="shared" si="51"/>
        <v xml:space="preserve"> </v>
      </c>
      <c r="DW46" s="313" t="str">
        <f t="shared" si="51"/>
        <v xml:space="preserve"> </v>
      </c>
      <c r="DX46" s="313" t="str">
        <f t="shared" si="51"/>
        <v xml:space="preserve"> </v>
      </c>
      <c r="DY46" s="313">
        <f t="shared" si="51"/>
        <v>1</v>
      </c>
    </row>
    <row r="47" spans="1:129" ht="15.6">
      <c r="A47" s="298"/>
      <c r="B47" s="312"/>
      <c r="C47" s="298"/>
      <c r="D47" s="298"/>
      <c r="E47" s="298"/>
      <c r="F47" s="298"/>
      <c r="G47" s="298"/>
      <c r="H47" s="298"/>
      <c r="I47" s="298"/>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c r="DY47" s="314"/>
    </row>
    <row r="48" spans="1:129" ht="15.6">
      <c r="A48" s="298"/>
      <c r="B48" s="312"/>
      <c r="C48" s="315" t="s">
        <v>69</v>
      </c>
      <c r="D48" s="298"/>
      <c r="E48" s="298"/>
      <c r="F48" s="298"/>
      <c r="G48" s="298"/>
      <c r="H48" s="298"/>
      <c r="I48" s="298"/>
      <c r="J48" s="313">
        <f t="shared" ref="J48:AL48" si="52">SUM(J35:J46)</f>
        <v>1</v>
      </c>
      <c r="K48" s="313">
        <f t="shared" si="52"/>
        <v>1</v>
      </c>
      <c r="L48" s="313">
        <f t="shared" si="52"/>
        <v>1</v>
      </c>
      <c r="M48" s="313">
        <f t="shared" si="52"/>
        <v>1</v>
      </c>
      <c r="N48" s="313">
        <f t="shared" si="52"/>
        <v>1</v>
      </c>
      <c r="O48" s="313">
        <f t="shared" si="52"/>
        <v>1</v>
      </c>
      <c r="P48" s="313">
        <f t="shared" si="52"/>
        <v>1</v>
      </c>
      <c r="Q48" s="313">
        <f t="shared" si="52"/>
        <v>1</v>
      </c>
      <c r="R48" s="313">
        <f t="shared" si="52"/>
        <v>1</v>
      </c>
      <c r="S48" s="313">
        <f t="shared" si="52"/>
        <v>1</v>
      </c>
      <c r="T48" s="313">
        <f t="shared" si="52"/>
        <v>1</v>
      </c>
      <c r="U48" s="313">
        <f t="shared" si="52"/>
        <v>1</v>
      </c>
      <c r="V48" s="313">
        <f t="shared" si="52"/>
        <v>1</v>
      </c>
      <c r="W48" s="313">
        <f t="shared" si="52"/>
        <v>1</v>
      </c>
      <c r="X48" s="313">
        <f t="shared" si="52"/>
        <v>1</v>
      </c>
      <c r="Y48" s="313">
        <f t="shared" si="52"/>
        <v>1</v>
      </c>
      <c r="Z48" s="313">
        <f t="shared" si="52"/>
        <v>1</v>
      </c>
      <c r="AA48" s="313">
        <f t="shared" si="52"/>
        <v>1</v>
      </c>
      <c r="AB48" s="313">
        <f t="shared" si="52"/>
        <v>1</v>
      </c>
      <c r="AC48" s="313">
        <f t="shared" si="52"/>
        <v>1</v>
      </c>
      <c r="AD48" s="313">
        <f t="shared" si="52"/>
        <v>1</v>
      </c>
      <c r="AE48" s="313">
        <f t="shared" si="52"/>
        <v>1</v>
      </c>
      <c r="AF48" s="313">
        <f t="shared" si="52"/>
        <v>1</v>
      </c>
      <c r="AG48" s="313">
        <f t="shared" si="52"/>
        <v>1</v>
      </c>
      <c r="AH48" s="313">
        <f t="shared" si="52"/>
        <v>1</v>
      </c>
      <c r="AI48" s="314">
        <f t="shared" si="52"/>
        <v>1</v>
      </c>
      <c r="AJ48" s="313">
        <f t="shared" si="52"/>
        <v>1</v>
      </c>
      <c r="AK48" s="313">
        <f t="shared" si="52"/>
        <v>1</v>
      </c>
      <c r="AL48" s="313">
        <f t="shared" si="52"/>
        <v>1</v>
      </c>
      <c r="AM48" s="313">
        <f t="shared" ref="AM48:AS48" si="53">SUM(AM35:AM46)</f>
        <v>1</v>
      </c>
      <c r="AN48" s="313">
        <f t="shared" si="53"/>
        <v>1</v>
      </c>
      <c r="AO48" s="313">
        <f t="shared" si="53"/>
        <v>1</v>
      </c>
      <c r="AP48" s="313">
        <f t="shared" si="53"/>
        <v>1</v>
      </c>
      <c r="AQ48" s="313">
        <f t="shared" si="53"/>
        <v>1</v>
      </c>
      <c r="AR48" s="313">
        <f t="shared" si="53"/>
        <v>1</v>
      </c>
      <c r="AS48" s="313">
        <f t="shared" si="53"/>
        <v>1</v>
      </c>
      <c r="AT48" s="313">
        <f t="shared" ref="AT48:CC48" si="54">SUM(AT35:AT46)</f>
        <v>1</v>
      </c>
      <c r="AU48" s="313">
        <f t="shared" si="54"/>
        <v>1</v>
      </c>
      <c r="AV48" s="313">
        <f t="shared" si="54"/>
        <v>1</v>
      </c>
      <c r="AW48" s="313">
        <f t="shared" si="54"/>
        <v>1</v>
      </c>
      <c r="AX48" s="313">
        <f t="shared" si="54"/>
        <v>1</v>
      </c>
      <c r="AY48" s="313">
        <f t="shared" si="54"/>
        <v>1</v>
      </c>
      <c r="AZ48" s="313">
        <f t="shared" si="54"/>
        <v>1</v>
      </c>
      <c r="BA48" s="313">
        <f t="shared" si="54"/>
        <v>1</v>
      </c>
      <c r="BB48" s="313">
        <f t="shared" si="54"/>
        <v>1</v>
      </c>
      <c r="BC48" s="313">
        <f t="shared" si="54"/>
        <v>1</v>
      </c>
      <c r="BD48" s="313">
        <f t="shared" si="54"/>
        <v>1</v>
      </c>
      <c r="BE48" s="313">
        <f t="shared" si="54"/>
        <v>1</v>
      </c>
      <c r="BF48" s="313">
        <f t="shared" si="54"/>
        <v>1</v>
      </c>
      <c r="BG48" s="313">
        <f t="shared" si="54"/>
        <v>1</v>
      </c>
      <c r="BH48" s="313">
        <f t="shared" si="54"/>
        <v>1</v>
      </c>
      <c r="BI48" s="313">
        <f t="shared" si="54"/>
        <v>1</v>
      </c>
      <c r="BJ48" s="313">
        <f t="shared" si="54"/>
        <v>1</v>
      </c>
      <c r="BK48" s="313">
        <f t="shared" si="54"/>
        <v>1</v>
      </c>
      <c r="BL48" s="313">
        <f t="shared" si="54"/>
        <v>1</v>
      </c>
      <c r="BM48" s="313">
        <f t="shared" si="54"/>
        <v>1</v>
      </c>
      <c r="BN48" s="313">
        <f t="shared" si="54"/>
        <v>1</v>
      </c>
      <c r="BO48" s="313">
        <f t="shared" si="54"/>
        <v>1</v>
      </c>
      <c r="BP48" s="313">
        <f t="shared" si="54"/>
        <v>1</v>
      </c>
      <c r="BQ48" s="313">
        <f t="shared" si="54"/>
        <v>1</v>
      </c>
      <c r="BR48" s="313">
        <f t="shared" si="54"/>
        <v>1</v>
      </c>
      <c r="BS48" s="313">
        <f t="shared" si="54"/>
        <v>1</v>
      </c>
      <c r="BT48" s="313">
        <f t="shared" si="54"/>
        <v>1</v>
      </c>
      <c r="BU48" s="313">
        <f t="shared" si="54"/>
        <v>1</v>
      </c>
      <c r="BV48" s="313">
        <f t="shared" si="54"/>
        <v>1</v>
      </c>
      <c r="BW48" s="313">
        <f t="shared" si="54"/>
        <v>1</v>
      </c>
      <c r="BX48" s="313">
        <f t="shared" si="54"/>
        <v>1</v>
      </c>
      <c r="BY48" s="313">
        <f t="shared" si="54"/>
        <v>1</v>
      </c>
      <c r="BZ48" s="313">
        <f t="shared" si="54"/>
        <v>1</v>
      </c>
      <c r="CA48" s="313">
        <f t="shared" si="54"/>
        <v>1</v>
      </c>
      <c r="CB48" s="313">
        <f t="shared" si="54"/>
        <v>1</v>
      </c>
      <c r="CC48" s="313">
        <f t="shared" si="54"/>
        <v>1</v>
      </c>
      <c r="CD48" s="313">
        <f t="shared" ref="CD48:DY48" si="55">SUM(CD35:CD46)</f>
        <v>1</v>
      </c>
      <c r="CE48" s="313">
        <f t="shared" si="55"/>
        <v>1</v>
      </c>
      <c r="CF48" s="313">
        <f t="shared" si="55"/>
        <v>1</v>
      </c>
      <c r="CG48" s="313">
        <f t="shared" si="55"/>
        <v>1</v>
      </c>
      <c r="CH48" s="313">
        <f t="shared" si="55"/>
        <v>1</v>
      </c>
      <c r="CI48" s="313">
        <f t="shared" si="55"/>
        <v>1</v>
      </c>
      <c r="CJ48" s="313">
        <f t="shared" si="55"/>
        <v>1</v>
      </c>
      <c r="CK48" s="313">
        <f t="shared" si="55"/>
        <v>1</v>
      </c>
      <c r="CL48" s="313">
        <f t="shared" si="55"/>
        <v>1</v>
      </c>
      <c r="CM48" s="313">
        <f t="shared" si="55"/>
        <v>1</v>
      </c>
      <c r="CN48" s="313">
        <f t="shared" si="55"/>
        <v>1</v>
      </c>
      <c r="CO48" s="313">
        <f t="shared" si="55"/>
        <v>1</v>
      </c>
      <c r="CP48" s="313">
        <f t="shared" si="55"/>
        <v>1</v>
      </c>
      <c r="CQ48" s="313">
        <f t="shared" si="55"/>
        <v>1</v>
      </c>
      <c r="CR48" s="313">
        <f t="shared" si="55"/>
        <v>1</v>
      </c>
      <c r="CS48" s="313">
        <f t="shared" si="55"/>
        <v>1</v>
      </c>
      <c r="CT48" s="313">
        <f t="shared" si="55"/>
        <v>1</v>
      </c>
      <c r="CU48" s="313">
        <f t="shared" si="55"/>
        <v>1</v>
      </c>
      <c r="CV48" s="313">
        <f t="shared" si="55"/>
        <v>1</v>
      </c>
      <c r="CW48" s="313">
        <f t="shared" si="55"/>
        <v>1</v>
      </c>
      <c r="CX48" s="313">
        <f t="shared" si="55"/>
        <v>1</v>
      </c>
      <c r="CY48" s="313">
        <f t="shared" si="55"/>
        <v>1</v>
      </c>
      <c r="CZ48" s="313">
        <f t="shared" si="55"/>
        <v>1</v>
      </c>
      <c r="DA48" s="313">
        <f t="shared" si="55"/>
        <v>1</v>
      </c>
      <c r="DB48" s="313">
        <f t="shared" si="55"/>
        <v>1</v>
      </c>
      <c r="DC48" s="313">
        <f t="shared" si="55"/>
        <v>1</v>
      </c>
      <c r="DD48" s="313">
        <f t="shared" si="55"/>
        <v>1</v>
      </c>
      <c r="DE48" s="313">
        <f t="shared" si="55"/>
        <v>1</v>
      </c>
      <c r="DF48" s="313">
        <f t="shared" si="55"/>
        <v>1</v>
      </c>
      <c r="DG48" s="313">
        <f t="shared" si="55"/>
        <v>1</v>
      </c>
      <c r="DH48" s="313">
        <f t="shared" si="55"/>
        <v>1</v>
      </c>
      <c r="DI48" s="313">
        <f t="shared" si="55"/>
        <v>1</v>
      </c>
      <c r="DJ48" s="313">
        <f t="shared" si="55"/>
        <v>1</v>
      </c>
      <c r="DK48" s="313">
        <f t="shared" si="55"/>
        <v>1</v>
      </c>
      <c r="DL48" s="313">
        <f t="shared" si="55"/>
        <v>1</v>
      </c>
      <c r="DM48" s="313">
        <f t="shared" si="55"/>
        <v>1</v>
      </c>
      <c r="DN48" s="313">
        <f t="shared" si="55"/>
        <v>1</v>
      </c>
      <c r="DO48" s="313">
        <f t="shared" si="55"/>
        <v>1</v>
      </c>
      <c r="DP48" s="313">
        <f t="shared" si="55"/>
        <v>1</v>
      </c>
      <c r="DQ48" s="313">
        <f t="shared" si="55"/>
        <v>1</v>
      </c>
      <c r="DR48" s="313">
        <f t="shared" si="55"/>
        <v>1</v>
      </c>
      <c r="DS48" s="313">
        <f t="shared" si="55"/>
        <v>1</v>
      </c>
      <c r="DT48" s="313">
        <f t="shared" si="55"/>
        <v>1</v>
      </c>
      <c r="DU48" s="313">
        <f t="shared" si="55"/>
        <v>1</v>
      </c>
      <c r="DV48" s="313">
        <f t="shared" si="55"/>
        <v>1</v>
      </c>
      <c r="DW48" s="313">
        <f t="shared" si="55"/>
        <v>1</v>
      </c>
      <c r="DX48" s="313">
        <f t="shared" si="55"/>
        <v>1</v>
      </c>
      <c r="DY48" s="313">
        <f t="shared" si="55"/>
        <v>1</v>
      </c>
    </row>
    <row r="49" spans="1:81" ht="15.6">
      <c r="A49" s="298"/>
      <c r="B49" s="312"/>
      <c r="C49" s="315"/>
      <c r="D49" s="298"/>
      <c r="E49" s="298"/>
      <c r="F49" s="298"/>
      <c r="G49" s="298"/>
      <c r="H49" s="298"/>
      <c r="I49" s="298"/>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4"/>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row>
    <row r="51" spans="1:81" s="291" customFormat="1">
      <c r="A51" s="316" t="s">
        <v>40</v>
      </c>
      <c r="B51" s="276"/>
      <c r="C51" s="277"/>
      <c r="D51" s="277"/>
      <c r="E51" s="277"/>
      <c r="F51" s="277"/>
      <c r="G51" s="277"/>
      <c r="H51" s="277"/>
      <c r="I51" s="277"/>
      <c r="J51" s="290"/>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7"/>
      <c r="CA51" s="277"/>
      <c r="CB51" s="277"/>
      <c r="CC51" s="277"/>
    </row>
  </sheetData>
  <sheetProtection sheet="1" objects="1" scenarios="1"/>
  <conditionalFormatting sqref="J3">
    <cfRule type="colorScale" priority="3">
      <colorScale>
        <cfvo type="num" val="0"/>
        <cfvo type="num" val="1"/>
        <color rgb="FF00B050"/>
        <color rgb="FFFFC000"/>
      </colorScale>
    </cfRule>
  </conditionalFormatting>
  <conditionalFormatting sqref="J1">
    <cfRule type="colorScale" priority="4">
      <colorScale>
        <cfvo type="num" val="0"/>
        <cfvo type="num" val="1"/>
        <color rgb="FF00B050"/>
        <color rgb="FFFFC000"/>
      </colorScale>
    </cfRule>
  </conditionalFormatting>
  <conditionalFormatting sqref="J2">
    <cfRule type="colorScale" priority="2">
      <colorScale>
        <cfvo type="num" val="0"/>
        <cfvo type="num" val="1"/>
        <color rgb="FF00B050"/>
        <color rgb="FFFFC000"/>
      </colorScale>
    </cfRule>
  </conditionalFormatting>
  <conditionalFormatting sqref="J51">
    <cfRule type="colorScale" priority="1">
      <colorScale>
        <cfvo type="num" val="0"/>
        <cfvo type="num" val="1"/>
        <color rgb="FF00B050"/>
        <color rgb="FFFFC000"/>
      </colorScale>
    </cfRule>
  </conditionalFormatting>
  <hyperlinks>
    <hyperlink ref="B3" location="'Cover page'!A1" display="Cover page" xr:uid="{00000000-0004-0000-0300-000000000000}"/>
  </hyperlinks>
  <pageMargins left="0.7" right="0.7" top="0.75" bottom="0.75" header="0.3" footer="0.3"/>
  <pageSetup paperSize="9" scale="26" orientation="portrait" horizontalDpi="300" verticalDpi="300" r:id="rId1"/>
  <colBreaks count="2" manualBreakCount="2">
    <brk id="23" max="51" man="1"/>
    <brk id="50" max="51"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DY180"/>
  <sheetViews>
    <sheetView showGridLines="0" zoomScale="80" zoomScaleNormal="80" zoomScaleSheetLayoutView="55" workbookViewId="0">
      <selection activeCell="M14" sqref="M14"/>
    </sheetView>
  </sheetViews>
  <sheetFormatPr defaultColWidth="11.44140625" defaultRowHeight="14.4" outlineLevelCol="1"/>
  <cols>
    <col min="1" max="1" width="6" customWidth="1"/>
    <col min="2" max="2" width="12.77734375" customWidth="1"/>
    <col min="3" max="3" width="2.77734375" customWidth="1"/>
    <col min="4" max="4" width="25.21875" customWidth="1"/>
    <col min="5" max="5" width="13.21875" style="487" customWidth="1"/>
    <col min="6" max="6" width="5.44140625" style="124" hidden="1" customWidth="1" outlineLevel="1"/>
    <col min="7" max="8" width="4.44140625" style="124" hidden="1" customWidth="1" outlineLevel="1"/>
    <col min="9" max="9" width="16" customWidth="1" collapsed="1"/>
    <col min="10" max="10" width="13.77734375" style="2" customWidth="1"/>
    <col min="11" max="11" width="11.77734375" style="2" customWidth="1"/>
    <col min="12" max="13" width="12.44140625" style="2" customWidth="1"/>
    <col min="14" max="14" width="14.21875" style="2" customWidth="1"/>
    <col min="15" max="15" width="12.21875" style="2" customWidth="1"/>
    <col min="16" max="16" width="13.44140625" style="2" customWidth="1"/>
    <col min="17" max="17" width="12.44140625" style="2" customWidth="1"/>
    <col min="18" max="19" width="14.21875" style="2" customWidth="1"/>
    <col min="20" max="20" width="11.77734375" style="2" customWidth="1"/>
    <col min="21" max="21" width="13.44140625" style="2" customWidth="1"/>
    <col min="22" max="22" width="15.21875" style="2" bestFit="1" customWidth="1"/>
    <col min="23" max="23" width="14.21875" style="2" bestFit="1" customWidth="1"/>
    <col min="24" max="26" width="13.77734375" style="2" bestFit="1" customWidth="1"/>
    <col min="27" max="27" width="15.21875" style="2" bestFit="1" customWidth="1"/>
    <col min="28" max="30" width="14.21875" style="2" bestFit="1" customWidth="1"/>
    <col min="31" max="31" width="15.21875" style="2" bestFit="1" customWidth="1"/>
    <col min="32" max="32" width="13.77734375" style="2" bestFit="1" customWidth="1"/>
    <col min="33" max="33" width="15.21875" style="2" bestFit="1" customWidth="1"/>
    <col min="34" max="34" width="13.77734375" style="2" bestFit="1" customWidth="1"/>
    <col min="35" max="35" width="14.21875" style="2" bestFit="1" customWidth="1"/>
    <col min="36" max="39" width="12.77734375" style="2" bestFit="1" customWidth="1"/>
    <col min="40" max="41" width="12.44140625" style="2" bestFit="1" customWidth="1"/>
    <col min="42" max="42" width="12.77734375" style="2" bestFit="1" customWidth="1"/>
    <col min="43" max="44" width="16.21875" style="2" bestFit="1" customWidth="1"/>
    <col min="45" max="45" width="15.21875" style="2" bestFit="1" customWidth="1"/>
    <col min="46" max="46" width="14.77734375" style="2" bestFit="1" customWidth="1"/>
    <col min="47" max="47" width="15.21875" style="2" bestFit="1" customWidth="1"/>
    <col min="48" max="49" width="15.77734375" style="2" bestFit="1" customWidth="1"/>
    <col min="50" max="50" width="15.21875" style="2" bestFit="1" customWidth="1"/>
    <col min="51" max="51" width="15.77734375" style="2" bestFit="1" customWidth="1"/>
    <col min="52" max="52" width="15.21875" style="2" bestFit="1" customWidth="1"/>
    <col min="53" max="53" width="16.21875" style="2" bestFit="1" customWidth="1"/>
    <col min="54" max="55" width="15.77734375" style="2" bestFit="1" customWidth="1"/>
    <col min="56" max="56" width="15.21875" style="2" bestFit="1" customWidth="1"/>
    <col min="57" max="58" width="15.77734375" style="2" bestFit="1" customWidth="1"/>
    <col min="59" max="69" width="11.21875" style="2" customWidth="1"/>
    <col min="70" max="70" width="15.77734375" style="2" bestFit="1" customWidth="1"/>
    <col min="71" max="71" width="11.77734375" style="2" bestFit="1" customWidth="1"/>
    <col min="72" max="80" width="11.21875" style="2" customWidth="1"/>
    <col min="81" max="81" width="11.77734375" style="2" bestFit="1" customWidth="1"/>
  </cols>
  <sheetData>
    <row r="1" spans="1:129" s="163" customFormat="1" ht="13.8">
      <c r="A1" s="160"/>
      <c r="B1" s="160" t="str">
        <f>+Flags!B1</f>
        <v>[Company name]</v>
      </c>
      <c r="C1" s="160"/>
      <c r="D1" s="161"/>
      <c r="E1" s="477"/>
      <c r="F1" s="161"/>
      <c r="G1" s="161"/>
      <c r="H1" s="161"/>
      <c r="I1" s="162" t="str">
        <f>+Flags!C21</f>
        <v>Period Start date</v>
      </c>
      <c r="J1" s="162">
        <f>+Flags!J21</f>
        <v>44927</v>
      </c>
      <c r="K1" s="162">
        <f>+Flags!K21</f>
        <v>44958</v>
      </c>
      <c r="L1" s="162">
        <f>+Flags!L21</f>
        <v>44986</v>
      </c>
      <c r="M1" s="162">
        <f>+Flags!M21</f>
        <v>45017</v>
      </c>
      <c r="N1" s="162">
        <f>+Flags!N21</f>
        <v>45047</v>
      </c>
      <c r="O1" s="162">
        <f>+Flags!O21</f>
        <v>45078</v>
      </c>
      <c r="P1" s="162">
        <f>+Flags!P21</f>
        <v>45108</v>
      </c>
      <c r="Q1" s="162">
        <f>+Flags!Q21</f>
        <v>45139</v>
      </c>
      <c r="R1" s="162">
        <f>+Flags!R21</f>
        <v>45170</v>
      </c>
      <c r="S1" s="162">
        <f>+Flags!S21</f>
        <v>45200</v>
      </c>
      <c r="T1" s="162">
        <f>+Flags!T21</f>
        <v>45231</v>
      </c>
      <c r="U1" s="162">
        <f>+Flags!U21</f>
        <v>45261</v>
      </c>
      <c r="V1" s="162">
        <f>+Flags!V21</f>
        <v>45292</v>
      </c>
      <c r="W1" s="162">
        <f>+Flags!W21</f>
        <v>45323</v>
      </c>
      <c r="X1" s="162">
        <f>+Flags!X21</f>
        <v>45352</v>
      </c>
      <c r="Y1" s="162">
        <f>+Flags!Y21</f>
        <v>45383</v>
      </c>
      <c r="Z1" s="162">
        <f>+Flags!Z21</f>
        <v>45413</v>
      </c>
      <c r="AA1" s="162">
        <f>+Flags!AA21</f>
        <v>45444</v>
      </c>
      <c r="AB1" s="162">
        <f>+Flags!AB21</f>
        <v>45474</v>
      </c>
      <c r="AC1" s="162">
        <f>+Flags!AC21</f>
        <v>45505</v>
      </c>
      <c r="AD1" s="162">
        <f>+Flags!AD21</f>
        <v>45536</v>
      </c>
      <c r="AE1" s="162">
        <f>+Flags!AE21</f>
        <v>45566</v>
      </c>
      <c r="AF1" s="162">
        <f>+Flags!AF21</f>
        <v>45597</v>
      </c>
      <c r="AG1" s="162">
        <f>+Flags!AG21</f>
        <v>45627</v>
      </c>
      <c r="AH1" s="162">
        <f>+Flags!AH21</f>
        <v>45658</v>
      </c>
      <c r="AI1" s="162">
        <f>+Flags!AI21</f>
        <v>45689</v>
      </c>
      <c r="AJ1" s="162">
        <f>+Flags!AJ21</f>
        <v>45717</v>
      </c>
      <c r="AK1" s="162">
        <f>+Flags!AK21</f>
        <v>45748</v>
      </c>
      <c r="AL1" s="162">
        <f>+Flags!AL21</f>
        <v>45778</v>
      </c>
      <c r="AM1" s="162">
        <f>+Flags!AM21</f>
        <v>45809</v>
      </c>
      <c r="AN1" s="162">
        <f>+Flags!AN21</f>
        <v>45839</v>
      </c>
      <c r="AO1" s="162">
        <f>+Flags!AO21</f>
        <v>45870</v>
      </c>
      <c r="AP1" s="162">
        <f>+Flags!AP21</f>
        <v>45901</v>
      </c>
      <c r="AQ1" s="162">
        <f>+Flags!AQ21</f>
        <v>45931</v>
      </c>
      <c r="AR1" s="162">
        <f>+Flags!AR21</f>
        <v>45962</v>
      </c>
      <c r="AS1" s="162">
        <f>+Flags!AS21</f>
        <v>45992</v>
      </c>
      <c r="AT1" s="162">
        <f>+Flags!AT21</f>
        <v>46023</v>
      </c>
      <c r="AU1" s="162">
        <f>+Flags!AU21</f>
        <v>46054</v>
      </c>
      <c r="AV1" s="162">
        <f>+Flags!AV21</f>
        <v>46082</v>
      </c>
      <c r="AW1" s="162">
        <f>+Flags!AW21</f>
        <v>46113</v>
      </c>
      <c r="AX1" s="162">
        <f>+Flags!AX21</f>
        <v>46143</v>
      </c>
      <c r="AY1" s="162">
        <f>+Flags!AY21</f>
        <v>46174</v>
      </c>
      <c r="AZ1" s="162">
        <f>+Flags!AZ21</f>
        <v>46204</v>
      </c>
      <c r="BA1" s="162">
        <f>+Flags!BA21</f>
        <v>46235</v>
      </c>
      <c r="BB1" s="162">
        <f>+Flags!BB21</f>
        <v>46266</v>
      </c>
      <c r="BC1" s="162">
        <f>+Flags!BC21</f>
        <v>46296</v>
      </c>
      <c r="BD1" s="162">
        <f>+Flags!BD21</f>
        <v>46327</v>
      </c>
      <c r="BE1" s="162">
        <f>+Flags!BE21</f>
        <v>46357</v>
      </c>
      <c r="BF1" s="162">
        <f>+Flags!BF21</f>
        <v>46388</v>
      </c>
      <c r="BG1" s="162">
        <f>+Flags!BG21</f>
        <v>46419</v>
      </c>
      <c r="BH1" s="162">
        <f>+Flags!BH21</f>
        <v>46447</v>
      </c>
      <c r="BI1" s="162">
        <f>+Flags!BI21</f>
        <v>46478</v>
      </c>
      <c r="BJ1" s="162">
        <f>+Flags!BJ21</f>
        <v>46508</v>
      </c>
      <c r="BK1" s="162">
        <f>+Flags!BK21</f>
        <v>46539</v>
      </c>
      <c r="BL1" s="162">
        <f>+Flags!BL21</f>
        <v>46569</v>
      </c>
      <c r="BM1" s="162">
        <f>+Flags!BM21</f>
        <v>46600</v>
      </c>
      <c r="BN1" s="162">
        <f>+Flags!BN21</f>
        <v>46631</v>
      </c>
      <c r="BO1" s="162">
        <f>+Flags!BO21</f>
        <v>46661</v>
      </c>
      <c r="BP1" s="162">
        <f>+Flags!BP21</f>
        <v>46692</v>
      </c>
      <c r="BQ1" s="162">
        <f>+Flags!BQ21</f>
        <v>46722</v>
      </c>
      <c r="BR1" s="162">
        <f>+Flags!BR21</f>
        <v>46753</v>
      </c>
      <c r="BS1" s="162">
        <f>+Flags!BS21</f>
        <v>46784</v>
      </c>
      <c r="BT1" s="162">
        <f>+Flags!BT21</f>
        <v>46813</v>
      </c>
      <c r="BU1" s="162">
        <f>+Flags!BU21</f>
        <v>46844</v>
      </c>
      <c r="BV1" s="162">
        <f>+Flags!BV21</f>
        <v>46874</v>
      </c>
      <c r="BW1" s="162">
        <f>+Flags!BW21</f>
        <v>46905</v>
      </c>
      <c r="BX1" s="162">
        <f>+Flags!BX21</f>
        <v>46935</v>
      </c>
      <c r="BY1" s="162">
        <f>+Flags!BY21</f>
        <v>46966</v>
      </c>
      <c r="BZ1" s="162">
        <f>+Flags!BZ21</f>
        <v>46997</v>
      </c>
      <c r="CA1" s="162">
        <f>+Flags!CA21</f>
        <v>47027</v>
      </c>
      <c r="CB1" s="162">
        <f>+Flags!CB21</f>
        <v>47058</v>
      </c>
      <c r="CC1" s="162">
        <f>+Flags!CC21</f>
        <v>47088</v>
      </c>
      <c r="CD1" s="162">
        <f>+Flags!CD21</f>
        <v>47119</v>
      </c>
      <c r="CE1" s="162">
        <f>+Flags!CE21</f>
        <v>47150</v>
      </c>
      <c r="CF1" s="162">
        <f>+Flags!CF21</f>
        <v>47178</v>
      </c>
      <c r="CG1" s="162">
        <f>+Flags!CG21</f>
        <v>47209</v>
      </c>
      <c r="CH1" s="162">
        <f>+Flags!CH21</f>
        <v>47239</v>
      </c>
      <c r="CI1" s="162">
        <f>+Flags!CI21</f>
        <v>47270</v>
      </c>
      <c r="CJ1" s="162">
        <f>+Flags!CJ21</f>
        <v>47300</v>
      </c>
      <c r="CK1" s="162">
        <f>+Flags!CK21</f>
        <v>47331</v>
      </c>
      <c r="CL1" s="162">
        <f>+Flags!CL21</f>
        <v>47362</v>
      </c>
      <c r="CM1" s="162">
        <f>+Flags!CM21</f>
        <v>47392</v>
      </c>
      <c r="CN1" s="162">
        <f>+Flags!CN21</f>
        <v>47423</v>
      </c>
      <c r="CO1" s="162">
        <f>+Flags!CO21</f>
        <v>47453</v>
      </c>
      <c r="CP1" s="162">
        <f>+Flags!CP21</f>
        <v>47484</v>
      </c>
      <c r="CQ1" s="162">
        <f>+Flags!CQ21</f>
        <v>47515</v>
      </c>
      <c r="CR1" s="162">
        <f>+Flags!CR21</f>
        <v>47543</v>
      </c>
      <c r="CS1" s="162">
        <f>+Flags!CS21</f>
        <v>47574</v>
      </c>
      <c r="CT1" s="162">
        <f>+Flags!CT21</f>
        <v>47604</v>
      </c>
      <c r="CU1" s="162">
        <f>+Flags!CU21</f>
        <v>47635</v>
      </c>
      <c r="CV1" s="162">
        <f>+Flags!CV21</f>
        <v>47665</v>
      </c>
      <c r="CW1" s="162">
        <f>+Flags!CW21</f>
        <v>47696</v>
      </c>
      <c r="CX1" s="162">
        <f>+Flags!CX21</f>
        <v>47727</v>
      </c>
      <c r="CY1" s="162">
        <f>+Flags!CY21</f>
        <v>47757</v>
      </c>
      <c r="CZ1" s="162">
        <f>+Flags!CZ21</f>
        <v>47788</v>
      </c>
      <c r="DA1" s="162">
        <f>+Flags!DA21</f>
        <v>47818</v>
      </c>
      <c r="DB1" s="162">
        <f>+Flags!DB21</f>
        <v>47849</v>
      </c>
      <c r="DC1" s="162">
        <f>+Flags!DC21</f>
        <v>47880</v>
      </c>
      <c r="DD1" s="162">
        <f>+Flags!DD21</f>
        <v>47908</v>
      </c>
      <c r="DE1" s="162">
        <f>+Flags!DE21</f>
        <v>47939</v>
      </c>
      <c r="DF1" s="162">
        <f>+Flags!DF21</f>
        <v>47969</v>
      </c>
      <c r="DG1" s="162">
        <f>+Flags!DG21</f>
        <v>48000</v>
      </c>
      <c r="DH1" s="162">
        <f>+Flags!DH21</f>
        <v>48030</v>
      </c>
      <c r="DI1" s="162">
        <f>+Flags!DI21</f>
        <v>48061</v>
      </c>
      <c r="DJ1" s="162">
        <f>+Flags!DJ21</f>
        <v>48092</v>
      </c>
      <c r="DK1" s="162">
        <f>+Flags!DK21</f>
        <v>48122</v>
      </c>
      <c r="DL1" s="162">
        <f>+Flags!DL21</f>
        <v>48153</v>
      </c>
      <c r="DM1" s="162">
        <f>+Flags!DM21</f>
        <v>48183</v>
      </c>
      <c r="DN1" s="162">
        <f>+Flags!DN21</f>
        <v>48214</v>
      </c>
      <c r="DO1" s="162">
        <f>+Flags!DO21</f>
        <v>48245</v>
      </c>
      <c r="DP1" s="162">
        <f>+Flags!DP21</f>
        <v>48274</v>
      </c>
      <c r="DQ1" s="162">
        <f>+Flags!DQ21</f>
        <v>48305</v>
      </c>
      <c r="DR1" s="162">
        <f>+Flags!DR21</f>
        <v>48335</v>
      </c>
      <c r="DS1" s="162">
        <f>+Flags!DS21</f>
        <v>48366</v>
      </c>
      <c r="DT1" s="162">
        <f>+Flags!DT21</f>
        <v>48396</v>
      </c>
      <c r="DU1" s="162">
        <f>+Flags!DU21</f>
        <v>48427</v>
      </c>
      <c r="DV1" s="162">
        <f>+Flags!DV21</f>
        <v>48458</v>
      </c>
      <c r="DW1" s="162">
        <f>+Flags!DW21</f>
        <v>48488</v>
      </c>
      <c r="DX1" s="162">
        <f>+Flags!DX21</f>
        <v>48519</v>
      </c>
      <c r="DY1" s="162">
        <f>+Flags!DY21</f>
        <v>48549</v>
      </c>
    </row>
    <row r="2" spans="1:129" s="163" customFormat="1" ht="13.8">
      <c r="A2" s="160"/>
      <c r="B2" s="160" t="str">
        <f ca="1">RIGHT(CELL("filename",$B$1),LEN(CELL("filename",$B$1))-SEARCH("]",CELL("filename",$B$1)))</f>
        <v>Financing</v>
      </c>
      <c r="C2" s="160"/>
      <c r="D2" s="161"/>
      <c r="E2" s="477"/>
      <c r="F2" s="161"/>
      <c r="G2" s="161"/>
      <c r="H2" s="161"/>
      <c r="I2" s="162" t="str">
        <f>+Flags!C22</f>
        <v>Period End date</v>
      </c>
      <c r="J2" s="162">
        <f>+Flags!J22</f>
        <v>44957</v>
      </c>
      <c r="K2" s="162">
        <f>+Flags!K22</f>
        <v>44985</v>
      </c>
      <c r="L2" s="162">
        <f>+Flags!L22</f>
        <v>45016</v>
      </c>
      <c r="M2" s="162">
        <f>+Flags!M22</f>
        <v>45046</v>
      </c>
      <c r="N2" s="162">
        <f>+Flags!N22</f>
        <v>45077</v>
      </c>
      <c r="O2" s="162">
        <f>+Flags!O22</f>
        <v>45107</v>
      </c>
      <c r="P2" s="162">
        <f>+Flags!P22</f>
        <v>45138</v>
      </c>
      <c r="Q2" s="162">
        <f>+Flags!Q22</f>
        <v>45169</v>
      </c>
      <c r="R2" s="162">
        <f>+Flags!R22</f>
        <v>45199</v>
      </c>
      <c r="S2" s="162">
        <f>+Flags!S22</f>
        <v>45230</v>
      </c>
      <c r="T2" s="162">
        <f>+Flags!T22</f>
        <v>45260</v>
      </c>
      <c r="U2" s="162">
        <f>+Flags!U22</f>
        <v>45291</v>
      </c>
      <c r="V2" s="162">
        <f>+Flags!V22</f>
        <v>45322</v>
      </c>
      <c r="W2" s="162">
        <f>+Flags!W22</f>
        <v>45351</v>
      </c>
      <c r="X2" s="162">
        <f>+Flags!X22</f>
        <v>45382</v>
      </c>
      <c r="Y2" s="162">
        <f>+Flags!Y22</f>
        <v>45412</v>
      </c>
      <c r="Z2" s="162">
        <f>+Flags!Z22</f>
        <v>45443</v>
      </c>
      <c r="AA2" s="162">
        <f>+Flags!AA22</f>
        <v>45473</v>
      </c>
      <c r="AB2" s="162">
        <f>+Flags!AB22</f>
        <v>45504</v>
      </c>
      <c r="AC2" s="162">
        <f>+Flags!AC22</f>
        <v>45535</v>
      </c>
      <c r="AD2" s="162">
        <f>+Flags!AD22</f>
        <v>45565</v>
      </c>
      <c r="AE2" s="162">
        <f>+Flags!AE22</f>
        <v>45596</v>
      </c>
      <c r="AF2" s="162">
        <f>+Flags!AF22</f>
        <v>45626</v>
      </c>
      <c r="AG2" s="162">
        <f>+Flags!AG22</f>
        <v>45657</v>
      </c>
      <c r="AH2" s="162">
        <f>+Flags!AH22</f>
        <v>45688</v>
      </c>
      <c r="AI2" s="162">
        <f>+Flags!AI22</f>
        <v>45716</v>
      </c>
      <c r="AJ2" s="162">
        <f>+Flags!AJ22</f>
        <v>45747</v>
      </c>
      <c r="AK2" s="162">
        <f>+Flags!AK22</f>
        <v>45777</v>
      </c>
      <c r="AL2" s="162">
        <f>+Flags!AL22</f>
        <v>45808</v>
      </c>
      <c r="AM2" s="162">
        <f>+Flags!AM22</f>
        <v>45838</v>
      </c>
      <c r="AN2" s="162">
        <f>+Flags!AN22</f>
        <v>45869</v>
      </c>
      <c r="AO2" s="162">
        <f>+Flags!AO22</f>
        <v>45900</v>
      </c>
      <c r="AP2" s="162">
        <f>+Flags!AP22</f>
        <v>45930</v>
      </c>
      <c r="AQ2" s="162">
        <f>+Flags!AQ22</f>
        <v>45961</v>
      </c>
      <c r="AR2" s="162">
        <f>+Flags!AR22</f>
        <v>45991</v>
      </c>
      <c r="AS2" s="162">
        <f>+Flags!AS22</f>
        <v>46022</v>
      </c>
      <c r="AT2" s="162">
        <f>+Flags!AT22</f>
        <v>46053</v>
      </c>
      <c r="AU2" s="162">
        <f>+Flags!AU22</f>
        <v>46081</v>
      </c>
      <c r="AV2" s="162">
        <f>+Flags!AV22</f>
        <v>46112</v>
      </c>
      <c r="AW2" s="162">
        <f>+Flags!AW22</f>
        <v>46142</v>
      </c>
      <c r="AX2" s="162">
        <f>+Flags!AX22</f>
        <v>46173</v>
      </c>
      <c r="AY2" s="162">
        <f>+Flags!AY22</f>
        <v>46203</v>
      </c>
      <c r="AZ2" s="162">
        <f>+Flags!AZ22</f>
        <v>46234</v>
      </c>
      <c r="BA2" s="162">
        <f>+Flags!BA22</f>
        <v>46265</v>
      </c>
      <c r="BB2" s="162">
        <f>+Flags!BB22</f>
        <v>46295</v>
      </c>
      <c r="BC2" s="162">
        <f>+Flags!BC22</f>
        <v>46326</v>
      </c>
      <c r="BD2" s="162">
        <f>+Flags!BD22</f>
        <v>46356</v>
      </c>
      <c r="BE2" s="162">
        <f>+Flags!BE22</f>
        <v>46387</v>
      </c>
      <c r="BF2" s="162">
        <f>+Flags!BF22</f>
        <v>46418</v>
      </c>
      <c r="BG2" s="162">
        <f>+Flags!BG22</f>
        <v>46446</v>
      </c>
      <c r="BH2" s="162">
        <f>+Flags!BH22</f>
        <v>46477</v>
      </c>
      <c r="BI2" s="162">
        <f>+Flags!BI22</f>
        <v>46507</v>
      </c>
      <c r="BJ2" s="162">
        <f>+Flags!BJ22</f>
        <v>46538</v>
      </c>
      <c r="BK2" s="162">
        <f>+Flags!BK22</f>
        <v>46568</v>
      </c>
      <c r="BL2" s="162">
        <f>+Flags!BL22</f>
        <v>46599</v>
      </c>
      <c r="BM2" s="162">
        <f>+Flags!BM22</f>
        <v>46630</v>
      </c>
      <c r="BN2" s="162">
        <f>+Flags!BN22</f>
        <v>46660</v>
      </c>
      <c r="BO2" s="162">
        <f>+Flags!BO22</f>
        <v>46691</v>
      </c>
      <c r="BP2" s="162">
        <f>+Flags!BP22</f>
        <v>46721</v>
      </c>
      <c r="BQ2" s="162">
        <f>+Flags!BQ22</f>
        <v>46752</v>
      </c>
      <c r="BR2" s="162">
        <f>+Flags!BR22</f>
        <v>46783</v>
      </c>
      <c r="BS2" s="162">
        <f>+Flags!BS22</f>
        <v>46812</v>
      </c>
      <c r="BT2" s="162">
        <f>+Flags!BT22</f>
        <v>46843</v>
      </c>
      <c r="BU2" s="162">
        <f>+Flags!BU22</f>
        <v>46873</v>
      </c>
      <c r="BV2" s="162">
        <f>+Flags!BV22</f>
        <v>46904</v>
      </c>
      <c r="BW2" s="162">
        <f>+Flags!BW22</f>
        <v>46934</v>
      </c>
      <c r="BX2" s="162">
        <f>+Flags!BX22</f>
        <v>46965</v>
      </c>
      <c r="BY2" s="162">
        <f>+Flags!BY22</f>
        <v>46996</v>
      </c>
      <c r="BZ2" s="162">
        <f>+Flags!BZ22</f>
        <v>47026</v>
      </c>
      <c r="CA2" s="162">
        <f>+Flags!CA22</f>
        <v>47057</v>
      </c>
      <c r="CB2" s="162">
        <f>+Flags!CB22</f>
        <v>47087</v>
      </c>
      <c r="CC2" s="162">
        <f>+Flags!CC22</f>
        <v>47118</v>
      </c>
      <c r="CD2" s="162">
        <f>+Flags!CD22</f>
        <v>47149</v>
      </c>
      <c r="CE2" s="162">
        <f>+Flags!CE22</f>
        <v>47177</v>
      </c>
      <c r="CF2" s="162">
        <f>+Flags!CF22</f>
        <v>47208</v>
      </c>
      <c r="CG2" s="162">
        <f>+Flags!CG22</f>
        <v>47238</v>
      </c>
      <c r="CH2" s="162">
        <f>+Flags!CH22</f>
        <v>47269</v>
      </c>
      <c r="CI2" s="162">
        <f>+Flags!CI22</f>
        <v>47299</v>
      </c>
      <c r="CJ2" s="162">
        <f>+Flags!CJ22</f>
        <v>47330</v>
      </c>
      <c r="CK2" s="162">
        <f>+Flags!CK22</f>
        <v>47361</v>
      </c>
      <c r="CL2" s="162">
        <f>+Flags!CL22</f>
        <v>47391</v>
      </c>
      <c r="CM2" s="162">
        <f>+Flags!CM22</f>
        <v>47422</v>
      </c>
      <c r="CN2" s="162">
        <f>+Flags!CN22</f>
        <v>47452</v>
      </c>
      <c r="CO2" s="162">
        <f>+Flags!CO22</f>
        <v>47483</v>
      </c>
      <c r="CP2" s="162">
        <f>+Flags!CP22</f>
        <v>47514</v>
      </c>
      <c r="CQ2" s="162">
        <f>+Flags!CQ22</f>
        <v>47542</v>
      </c>
      <c r="CR2" s="162">
        <f>+Flags!CR22</f>
        <v>47573</v>
      </c>
      <c r="CS2" s="162">
        <f>+Flags!CS22</f>
        <v>47603</v>
      </c>
      <c r="CT2" s="162">
        <f>+Flags!CT22</f>
        <v>47634</v>
      </c>
      <c r="CU2" s="162">
        <f>+Flags!CU22</f>
        <v>47664</v>
      </c>
      <c r="CV2" s="162">
        <f>+Flags!CV22</f>
        <v>47695</v>
      </c>
      <c r="CW2" s="162">
        <f>+Flags!CW22</f>
        <v>47726</v>
      </c>
      <c r="CX2" s="162">
        <f>+Flags!CX22</f>
        <v>47756</v>
      </c>
      <c r="CY2" s="162">
        <f>+Flags!CY22</f>
        <v>47787</v>
      </c>
      <c r="CZ2" s="162">
        <f>+Flags!CZ22</f>
        <v>47817</v>
      </c>
      <c r="DA2" s="162">
        <f>+Flags!DA22</f>
        <v>47848</v>
      </c>
      <c r="DB2" s="162">
        <f>+Flags!DB22</f>
        <v>47879</v>
      </c>
      <c r="DC2" s="162">
        <f>+Flags!DC22</f>
        <v>47907</v>
      </c>
      <c r="DD2" s="162">
        <f>+Flags!DD22</f>
        <v>47938</v>
      </c>
      <c r="DE2" s="162">
        <f>+Flags!DE22</f>
        <v>47968</v>
      </c>
      <c r="DF2" s="162">
        <f>+Flags!DF22</f>
        <v>47999</v>
      </c>
      <c r="DG2" s="162">
        <f>+Flags!DG22</f>
        <v>48029</v>
      </c>
      <c r="DH2" s="162">
        <f>+Flags!DH22</f>
        <v>48060</v>
      </c>
      <c r="DI2" s="162">
        <f>+Flags!DI22</f>
        <v>48091</v>
      </c>
      <c r="DJ2" s="162">
        <f>+Flags!DJ22</f>
        <v>48121</v>
      </c>
      <c r="DK2" s="162">
        <f>+Flags!DK22</f>
        <v>48152</v>
      </c>
      <c r="DL2" s="162">
        <f>+Flags!DL22</f>
        <v>48182</v>
      </c>
      <c r="DM2" s="162">
        <f>+Flags!DM22</f>
        <v>48213</v>
      </c>
      <c r="DN2" s="162">
        <f>+Flags!DN22</f>
        <v>48244</v>
      </c>
      <c r="DO2" s="162">
        <f>+Flags!DO22</f>
        <v>48273</v>
      </c>
      <c r="DP2" s="162">
        <f>+Flags!DP22</f>
        <v>48304</v>
      </c>
      <c r="DQ2" s="162">
        <f>+Flags!DQ22</f>
        <v>48334</v>
      </c>
      <c r="DR2" s="162">
        <f>+Flags!DR22</f>
        <v>48365</v>
      </c>
      <c r="DS2" s="162">
        <f>+Flags!DS22</f>
        <v>48395</v>
      </c>
      <c r="DT2" s="162">
        <f>+Flags!DT22</f>
        <v>48426</v>
      </c>
      <c r="DU2" s="162">
        <f>+Flags!DU22</f>
        <v>48457</v>
      </c>
      <c r="DV2" s="162">
        <f>+Flags!DV22</f>
        <v>48487</v>
      </c>
      <c r="DW2" s="162">
        <f>+Flags!DW22</f>
        <v>48518</v>
      </c>
      <c r="DX2" s="162">
        <f>+Flags!DX22</f>
        <v>48548</v>
      </c>
      <c r="DY2" s="162">
        <f>+Flags!DY22</f>
        <v>48579</v>
      </c>
    </row>
    <row r="3" spans="1:129" s="163" customFormat="1" ht="13.8">
      <c r="A3" s="160"/>
      <c r="B3" s="164" t="s">
        <v>72</v>
      </c>
      <c r="C3" s="160"/>
      <c r="D3" s="161"/>
      <c r="E3" s="477"/>
      <c r="F3" s="161"/>
      <c r="G3" s="161"/>
      <c r="H3" s="161"/>
      <c r="I3" s="162" t="str">
        <f>+Flags!C20</f>
        <v>Period # (month)</v>
      </c>
      <c r="J3" s="165">
        <f>+Flags!J20</f>
        <v>1</v>
      </c>
      <c r="K3" s="165">
        <f>+Flags!K20</f>
        <v>2</v>
      </c>
      <c r="L3" s="165">
        <f>+Flags!L20</f>
        <v>3</v>
      </c>
      <c r="M3" s="165">
        <f>+Flags!M20</f>
        <v>4</v>
      </c>
      <c r="N3" s="165">
        <f>+Flags!N20</f>
        <v>5</v>
      </c>
      <c r="O3" s="165">
        <f>+Flags!O20</f>
        <v>6</v>
      </c>
      <c r="P3" s="165">
        <f>+Flags!P20</f>
        <v>7</v>
      </c>
      <c r="Q3" s="165">
        <f>+Flags!Q20</f>
        <v>8</v>
      </c>
      <c r="R3" s="165">
        <f>+Flags!R20</f>
        <v>9</v>
      </c>
      <c r="S3" s="165">
        <f>+Flags!S20</f>
        <v>10</v>
      </c>
      <c r="T3" s="165">
        <f>+Flags!T20</f>
        <v>11</v>
      </c>
      <c r="U3" s="165">
        <f>+Flags!U20</f>
        <v>12</v>
      </c>
      <c r="V3" s="165">
        <f>+Flags!V20</f>
        <v>13</v>
      </c>
      <c r="W3" s="165">
        <f>+Flags!W20</f>
        <v>14</v>
      </c>
      <c r="X3" s="165">
        <f>+Flags!X20</f>
        <v>15</v>
      </c>
      <c r="Y3" s="165">
        <f>+Flags!Y20</f>
        <v>16</v>
      </c>
      <c r="Z3" s="165">
        <f>+Flags!Z20</f>
        <v>17</v>
      </c>
      <c r="AA3" s="165">
        <f>+Flags!AA20</f>
        <v>18</v>
      </c>
      <c r="AB3" s="165">
        <f>+Flags!AB20</f>
        <v>19</v>
      </c>
      <c r="AC3" s="165">
        <f>+Flags!AC20</f>
        <v>20</v>
      </c>
      <c r="AD3" s="165">
        <f>+Flags!AD20</f>
        <v>21</v>
      </c>
      <c r="AE3" s="165">
        <f>+Flags!AE20</f>
        <v>22</v>
      </c>
      <c r="AF3" s="165">
        <f>+Flags!AF20</f>
        <v>23</v>
      </c>
      <c r="AG3" s="165">
        <f>+Flags!AG20</f>
        <v>24</v>
      </c>
      <c r="AH3" s="165">
        <f>+Flags!AH20</f>
        <v>25</v>
      </c>
      <c r="AI3" s="165">
        <f>+Flags!AI20</f>
        <v>26</v>
      </c>
      <c r="AJ3" s="165">
        <f>+Flags!AJ20</f>
        <v>27</v>
      </c>
      <c r="AK3" s="165">
        <f>+Flags!AK20</f>
        <v>28</v>
      </c>
      <c r="AL3" s="165">
        <f>+Flags!AL20</f>
        <v>29</v>
      </c>
      <c r="AM3" s="165">
        <f>+Flags!AM20</f>
        <v>30</v>
      </c>
      <c r="AN3" s="165">
        <f>+Flags!AN20</f>
        <v>31</v>
      </c>
      <c r="AO3" s="165">
        <f>+Flags!AO20</f>
        <v>32</v>
      </c>
      <c r="AP3" s="165">
        <f>+Flags!AP20</f>
        <v>33</v>
      </c>
      <c r="AQ3" s="165">
        <f>+Flags!AQ20</f>
        <v>34</v>
      </c>
      <c r="AR3" s="165">
        <f>+Flags!AR20</f>
        <v>35</v>
      </c>
      <c r="AS3" s="165">
        <f>+Flags!AS20</f>
        <v>36</v>
      </c>
      <c r="AT3" s="165">
        <f>+Flags!AT20</f>
        <v>37</v>
      </c>
      <c r="AU3" s="165">
        <f>+Flags!AU20</f>
        <v>38</v>
      </c>
      <c r="AV3" s="165">
        <f>+Flags!AV20</f>
        <v>39</v>
      </c>
      <c r="AW3" s="165">
        <f>+Flags!AW20</f>
        <v>40</v>
      </c>
      <c r="AX3" s="165">
        <f>+Flags!AX20</f>
        <v>41</v>
      </c>
      <c r="AY3" s="165">
        <f>+Flags!AY20</f>
        <v>42</v>
      </c>
      <c r="AZ3" s="165">
        <f>+Flags!AZ20</f>
        <v>43</v>
      </c>
      <c r="BA3" s="165">
        <f>+Flags!BA20</f>
        <v>44</v>
      </c>
      <c r="BB3" s="165">
        <f>+Flags!BB20</f>
        <v>45</v>
      </c>
      <c r="BC3" s="165">
        <f>+Flags!BC20</f>
        <v>46</v>
      </c>
      <c r="BD3" s="165">
        <f>+Flags!BD20</f>
        <v>47</v>
      </c>
      <c r="BE3" s="165">
        <f>+Flags!BE20</f>
        <v>48</v>
      </c>
      <c r="BF3" s="165">
        <f>+Flags!BF20</f>
        <v>49</v>
      </c>
      <c r="BG3" s="165">
        <f>+Flags!BG20</f>
        <v>50</v>
      </c>
      <c r="BH3" s="165">
        <f>+Flags!BH20</f>
        <v>51</v>
      </c>
      <c r="BI3" s="165">
        <f>+Flags!BI20</f>
        <v>52</v>
      </c>
      <c r="BJ3" s="165">
        <f>+Flags!BJ20</f>
        <v>53</v>
      </c>
      <c r="BK3" s="165">
        <f>+Flags!BK20</f>
        <v>54</v>
      </c>
      <c r="BL3" s="165">
        <f>+Flags!BL20</f>
        <v>55</v>
      </c>
      <c r="BM3" s="165">
        <f>+Flags!BM20</f>
        <v>56</v>
      </c>
      <c r="BN3" s="165">
        <f>+Flags!BN20</f>
        <v>57</v>
      </c>
      <c r="BO3" s="165">
        <f>+Flags!BO20</f>
        <v>58</v>
      </c>
      <c r="BP3" s="165">
        <f>+Flags!BP20</f>
        <v>59</v>
      </c>
      <c r="BQ3" s="165">
        <f>+Flags!BQ20</f>
        <v>60</v>
      </c>
      <c r="BR3" s="165">
        <f>+Flags!BR20</f>
        <v>61</v>
      </c>
      <c r="BS3" s="165">
        <f>+Flags!BS20</f>
        <v>62</v>
      </c>
      <c r="BT3" s="165">
        <f>+Flags!BT20</f>
        <v>63</v>
      </c>
      <c r="BU3" s="165">
        <f>+Flags!BU20</f>
        <v>64</v>
      </c>
      <c r="BV3" s="165">
        <f>+Flags!BV20</f>
        <v>65</v>
      </c>
      <c r="BW3" s="165">
        <f>+Flags!BW20</f>
        <v>66</v>
      </c>
      <c r="BX3" s="165">
        <f>+Flags!BX20</f>
        <v>67</v>
      </c>
      <c r="BY3" s="165">
        <f>+Flags!BY20</f>
        <v>68</v>
      </c>
      <c r="BZ3" s="165">
        <f>+Flags!BZ20</f>
        <v>69</v>
      </c>
      <c r="CA3" s="165">
        <f>+Flags!CA20</f>
        <v>70</v>
      </c>
      <c r="CB3" s="165">
        <f>+Flags!CB20</f>
        <v>71</v>
      </c>
      <c r="CC3" s="165">
        <f>+Flags!CC20</f>
        <v>72</v>
      </c>
      <c r="CD3" s="165">
        <f>+Flags!CD20</f>
        <v>73</v>
      </c>
      <c r="CE3" s="165">
        <f>+Flags!CE20</f>
        <v>74</v>
      </c>
      <c r="CF3" s="165">
        <f>+Flags!CF20</f>
        <v>75</v>
      </c>
      <c r="CG3" s="165">
        <f>+Flags!CG20</f>
        <v>76</v>
      </c>
      <c r="CH3" s="165">
        <f>+Flags!CH20</f>
        <v>77</v>
      </c>
      <c r="CI3" s="165">
        <f>+Flags!CI20</f>
        <v>78</v>
      </c>
      <c r="CJ3" s="165">
        <f>+Flags!CJ20</f>
        <v>79</v>
      </c>
      <c r="CK3" s="165">
        <f>+Flags!CK20</f>
        <v>80</v>
      </c>
      <c r="CL3" s="165">
        <f>+Flags!CL20</f>
        <v>81</v>
      </c>
      <c r="CM3" s="165">
        <f>+Flags!CM20</f>
        <v>82</v>
      </c>
      <c r="CN3" s="165">
        <f>+Flags!CN20</f>
        <v>83</v>
      </c>
      <c r="CO3" s="165">
        <f>+Flags!CO20</f>
        <v>84</v>
      </c>
      <c r="CP3" s="165">
        <f>+Flags!CP20</f>
        <v>85</v>
      </c>
      <c r="CQ3" s="165">
        <f>+Flags!CQ20</f>
        <v>86</v>
      </c>
      <c r="CR3" s="165">
        <f>+Flags!CR20</f>
        <v>87</v>
      </c>
      <c r="CS3" s="165">
        <f>+Flags!CS20</f>
        <v>88</v>
      </c>
      <c r="CT3" s="165">
        <f>+Flags!CT20</f>
        <v>89</v>
      </c>
      <c r="CU3" s="165">
        <f>+Flags!CU20</f>
        <v>90</v>
      </c>
      <c r="CV3" s="165">
        <f>+Flags!CV20</f>
        <v>91</v>
      </c>
      <c r="CW3" s="165">
        <f>+Flags!CW20</f>
        <v>92</v>
      </c>
      <c r="CX3" s="165">
        <f>+Flags!CX20</f>
        <v>93</v>
      </c>
      <c r="CY3" s="165">
        <f>+Flags!CY20</f>
        <v>94</v>
      </c>
      <c r="CZ3" s="165">
        <f>+Flags!CZ20</f>
        <v>95</v>
      </c>
      <c r="DA3" s="165">
        <f>+Flags!DA20</f>
        <v>96</v>
      </c>
      <c r="DB3" s="165">
        <f>+Flags!DB20</f>
        <v>97</v>
      </c>
      <c r="DC3" s="165">
        <f>+Flags!DC20</f>
        <v>98</v>
      </c>
      <c r="DD3" s="165">
        <f>+Flags!DD20</f>
        <v>99</v>
      </c>
      <c r="DE3" s="165">
        <f>+Flags!DE20</f>
        <v>100</v>
      </c>
      <c r="DF3" s="165">
        <f>+Flags!DF20</f>
        <v>101</v>
      </c>
      <c r="DG3" s="165">
        <f>+Flags!DG20</f>
        <v>102</v>
      </c>
      <c r="DH3" s="165">
        <f>+Flags!DH20</f>
        <v>103</v>
      </c>
      <c r="DI3" s="165">
        <f>+Flags!DI20</f>
        <v>104</v>
      </c>
      <c r="DJ3" s="165">
        <f>+Flags!DJ20</f>
        <v>105</v>
      </c>
      <c r="DK3" s="165">
        <f>+Flags!DK20</f>
        <v>106</v>
      </c>
      <c r="DL3" s="165">
        <f>+Flags!DL20</f>
        <v>107</v>
      </c>
      <c r="DM3" s="165">
        <f>+Flags!DM20</f>
        <v>108</v>
      </c>
      <c r="DN3" s="165">
        <f>+Flags!DN20</f>
        <v>109</v>
      </c>
      <c r="DO3" s="165">
        <f>+Flags!DO20</f>
        <v>110</v>
      </c>
      <c r="DP3" s="165">
        <f>+Flags!DP20</f>
        <v>111</v>
      </c>
      <c r="DQ3" s="165">
        <f>+Flags!DQ20</f>
        <v>112</v>
      </c>
      <c r="DR3" s="165">
        <f>+Flags!DR20</f>
        <v>113</v>
      </c>
      <c r="DS3" s="165">
        <f>+Flags!DS20</f>
        <v>114</v>
      </c>
      <c r="DT3" s="165">
        <f>+Flags!DT20</f>
        <v>115</v>
      </c>
      <c r="DU3" s="165">
        <f>+Flags!DU20</f>
        <v>116</v>
      </c>
      <c r="DV3" s="165">
        <f>+Flags!DV20</f>
        <v>117</v>
      </c>
      <c r="DW3" s="165">
        <f>+Flags!DW20</f>
        <v>118</v>
      </c>
      <c r="DX3" s="165">
        <f>+Flags!DX20</f>
        <v>119</v>
      </c>
      <c r="DY3" s="165">
        <f>+Flags!DY20</f>
        <v>120</v>
      </c>
    </row>
    <row r="4" spans="1:129" s="163" customFormat="1" ht="13.8">
      <c r="A4" s="160"/>
      <c r="B4" s="544" t="str">
        <f ca="1">IF(MasterCheck=0,"All checks are OK","There are "&amp;MasterCheck&amp;" errors!")</f>
        <v>All checks are OK</v>
      </c>
      <c r="C4" s="160"/>
      <c r="D4" s="161"/>
      <c r="E4" s="477"/>
      <c r="F4" s="161"/>
      <c r="G4" s="161"/>
      <c r="H4" s="161"/>
      <c r="I4" s="162" t="str">
        <f>+Flags!C23</f>
        <v>Year Ending</v>
      </c>
      <c r="J4" s="165">
        <f>+Flags!J23</f>
        <v>2023</v>
      </c>
      <c r="K4" s="165">
        <f>+Flags!K23</f>
        <v>2023</v>
      </c>
      <c r="L4" s="165">
        <f>+Flags!L23</f>
        <v>2023</v>
      </c>
      <c r="M4" s="165">
        <f>+Flags!M23</f>
        <v>2023</v>
      </c>
      <c r="N4" s="165">
        <f>+Flags!N23</f>
        <v>2023</v>
      </c>
      <c r="O4" s="165">
        <f>+Flags!O23</f>
        <v>2023</v>
      </c>
      <c r="P4" s="165">
        <f>+Flags!P23</f>
        <v>2023</v>
      </c>
      <c r="Q4" s="165">
        <f>+Flags!Q23</f>
        <v>2023</v>
      </c>
      <c r="R4" s="165">
        <f>+Flags!R23</f>
        <v>2023</v>
      </c>
      <c r="S4" s="165">
        <f>+Flags!S23</f>
        <v>2023</v>
      </c>
      <c r="T4" s="165">
        <f>+Flags!T23</f>
        <v>2023</v>
      </c>
      <c r="U4" s="165">
        <f>+Flags!U23</f>
        <v>2023</v>
      </c>
      <c r="V4" s="165">
        <f>+Flags!V23</f>
        <v>2024</v>
      </c>
      <c r="W4" s="165">
        <f>+Flags!W23</f>
        <v>2024</v>
      </c>
      <c r="X4" s="165">
        <f>+Flags!X23</f>
        <v>2024</v>
      </c>
      <c r="Y4" s="165">
        <f>+Flags!Y23</f>
        <v>2024</v>
      </c>
      <c r="Z4" s="165">
        <f>+Flags!Z23</f>
        <v>2024</v>
      </c>
      <c r="AA4" s="165">
        <f>+Flags!AA23</f>
        <v>2024</v>
      </c>
      <c r="AB4" s="165">
        <f>+Flags!AB23</f>
        <v>2024</v>
      </c>
      <c r="AC4" s="165">
        <f>+Flags!AC23</f>
        <v>2024</v>
      </c>
      <c r="AD4" s="165">
        <f>+Flags!AD23</f>
        <v>2024</v>
      </c>
      <c r="AE4" s="165">
        <f>+Flags!AE23</f>
        <v>2024</v>
      </c>
      <c r="AF4" s="165">
        <f>+Flags!AF23</f>
        <v>2024</v>
      </c>
      <c r="AG4" s="165">
        <f>+Flags!AG23</f>
        <v>2024</v>
      </c>
      <c r="AH4" s="165">
        <f>+Flags!AH23</f>
        <v>2025</v>
      </c>
      <c r="AI4" s="165">
        <f>+Flags!AI23</f>
        <v>2025</v>
      </c>
      <c r="AJ4" s="165">
        <f>+Flags!AJ23</f>
        <v>2025</v>
      </c>
      <c r="AK4" s="165">
        <f>+Flags!AK23</f>
        <v>2025</v>
      </c>
      <c r="AL4" s="165">
        <f>+Flags!AL23</f>
        <v>2025</v>
      </c>
      <c r="AM4" s="165">
        <f>+Flags!AM23</f>
        <v>2025</v>
      </c>
      <c r="AN4" s="165">
        <f>+Flags!AN23</f>
        <v>2025</v>
      </c>
      <c r="AO4" s="165">
        <f>+Flags!AO23</f>
        <v>2025</v>
      </c>
      <c r="AP4" s="165">
        <f>+Flags!AP23</f>
        <v>2025</v>
      </c>
      <c r="AQ4" s="165">
        <f>+Flags!AQ23</f>
        <v>2025</v>
      </c>
      <c r="AR4" s="165">
        <f>+Flags!AR23</f>
        <v>2025</v>
      </c>
      <c r="AS4" s="165">
        <f>+Flags!AS23</f>
        <v>2025</v>
      </c>
      <c r="AT4" s="165">
        <f>+Flags!AT23</f>
        <v>2026</v>
      </c>
      <c r="AU4" s="165">
        <f>+Flags!AU23</f>
        <v>2026</v>
      </c>
      <c r="AV4" s="165">
        <f>+Flags!AV23</f>
        <v>2026</v>
      </c>
      <c r="AW4" s="165">
        <f>+Flags!AW23</f>
        <v>2026</v>
      </c>
      <c r="AX4" s="165">
        <f>+Flags!AX23</f>
        <v>2026</v>
      </c>
      <c r="AY4" s="165">
        <f>+Flags!AY23</f>
        <v>2026</v>
      </c>
      <c r="AZ4" s="165">
        <f>+Flags!AZ23</f>
        <v>2026</v>
      </c>
      <c r="BA4" s="165">
        <f>+Flags!BA23</f>
        <v>2026</v>
      </c>
      <c r="BB4" s="165">
        <f>+Flags!BB23</f>
        <v>2026</v>
      </c>
      <c r="BC4" s="165">
        <f>+Flags!BC23</f>
        <v>2026</v>
      </c>
      <c r="BD4" s="165">
        <f>+Flags!BD23</f>
        <v>2026</v>
      </c>
      <c r="BE4" s="165">
        <f>+Flags!BE23</f>
        <v>2026</v>
      </c>
      <c r="BF4" s="165">
        <f>+Flags!BF23</f>
        <v>2027</v>
      </c>
      <c r="BG4" s="165">
        <f>+Flags!BG23</f>
        <v>2027</v>
      </c>
      <c r="BH4" s="165">
        <f>+Flags!BH23</f>
        <v>2027</v>
      </c>
      <c r="BI4" s="165">
        <f>+Flags!BI23</f>
        <v>2027</v>
      </c>
      <c r="BJ4" s="165">
        <f>+Flags!BJ23</f>
        <v>2027</v>
      </c>
      <c r="BK4" s="165">
        <f>+Flags!BK23</f>
        <v>2027</v>
      </c>
      <c r="BL4" s="165">
        <f>+Flags!BL23</f>
        <v>2027</v>
      </c>
      <c r="BM4" s="165">
        <f>+Flags!BM23</f>
        <v>2027</v>
      </c>
      <c r="BN4" s="165">
        <f>+Flags!BN23</f>
        <v>2027</v>
      </c>
      <c r="BO4" s="165">
        <f>+Flags!BO23</f>
        <v>2027</v>
      </c>
      <c r="BP4" s="165">
        <f>+Flags!BP23</f>
        <v>2027</v>
      </c>
      <c r="BQ4" s="165">
        <f>+Flags!BQ23</f>
        <v>2027</v>
      </c>
      <c r="BR4" s="165">
        <f>+Flags!BR23</f>
        <v>2028</v>
      </c>
      <c r="BS4" s="165">
        <f>+Flags!BS23</f>
        <v>2028</v>
      </c>
      <c r="BT4" s="165">
        <f>+Flags!BT23</f>
        <v>2028</v>
      </c>
      <c r="BU4" s="165">
        <f>+Flags!BU23</f>
        <v>2028</v>
      </c>
      <c r="BV4" s="165">
        <f>+Flags!BV23</f>
        <v>2028</v>
      </c>
      <c r="BW4" s="165">
        <f>+Flags!BW23</f>
        <v>2028</v>
      </c>
      <c r="BX4" s="165">
        <f>+Flags!BX23</f>
        <v>2028</v>
      </c>
      <c r="BY4" s="165">
        <f>+Flags!BY23</f>
        <v>2028</v>
      </c>
      <c r="BZ4" s="165">
        <f>+Flags!BZ23</f>
        <v>2028</v>
      </c>
      <c r="CA4" s="165">
        <f>+Flags!CA23</f>
        <v>2028</v>
      </c>
      <c r="CB4" s="165">
        <f>+Flags!CB23</f>
        <v>2028</v>
      </c>
      <c r="CC4" s="165">
        <f>+Flags!CC23</f>
        <v>2028</v>
      </c>
      <c r="CD4" s="165">
        <f>+Flags!CD23</f>
        <v>2029</v>
      </c>
      <c r="CE4" s="165">
        <f>+Flags!CE23</f>
        <v>2029</v>
      </c>
      <c r="CF4" s="165">
        <f>+Flags!CF23</f>
        <v>2029</v>
      </c>
      <c r="CG4" s="165">
        <f>+Flags!CG23</f>
        <v>2029</v>
      </c>
      <c r="CH4" s="165">
        <f>+Flags!CH23</f>
        <v>2029</v>
      </c>
      <c r="CI4" s="165">
        <f>+Flags!CI23</f>
        <v>2029</v>
      </c>
      <c r="CJ4" s="165">
        <f>+Flags!CJ23</f>
        <v>2029</v>
      </c>
      <c r="CK4" s="165">
        <f>+Flags!CK23</f>
        <v>2029</v>
      </c>
      <c r="CL4" s="165">
        <f>+Flags!CL23</f>
        <v>2029</v>
      </c>
      <c r="CM4" s="165">
        <f>+Flags!CM23</f>
        <v>2029</v>
      </c>
      <c r="CN4" s="165">
        <f>+Flags!CN23</f>
        <v>2029</v>
      </c>
      <c r="CO4" s="165">
        <f>+Flags!CO23</f>
        <v>2029</v>
      </c>
      <c r="CP4" s="165">
        <f>+Flags!CP23</f>
        <v>2030</v>
      </c>
      <c r="CQ4" s="165">
        <f>+Flags!CQ23</f>
        <v>2030</v>
      </c>
      <c r="CR4" s="165">
        <f>+Flags!CR23</f>
        <v>2030</v>
      </c>
      <c r="CS4" s="165">
        <f>+Flags!CS23</f>
        <v>2030</v>
      </c>
      <c r="CT4" s="165">
        <f>+Flags!CT23</f>
        <v>2030</v>
      </c>
      <c r="CU4" s="165">
        <f>+Flags!CU23</f>
        <v>2030</v>
      </c>
      <c r="CV4" s="165">
        <f>+Flags!CV23</f>
        <v>2030</v>
      </c>
      <c r="CW4" s="165">
        <f>+Flags!CW23</f>
        <v>2030</v>
      </c>
      <c r="CX4" s="165">
        <f>+Flags!CX23</f>
        <v>2030</v>
      </c>
      <c r="CY4" s="165">
        <f>+Flags!CY23</f>
        <v>2030</v>
      </c>
      <c r="CZ4" s="165">
        <f>+Flags!CZ23</f>
        <v>2030</v>
      </c>
      <c r="DA4" s="165">
        <f>+Flags!DA23</f>
        <v>2030</v>
      </c>
      <c r="DB4" s="165">
        <f>+Flags!DB23</f>
        <v>2031</v>
      </c>
      <c r="DC4" s="165">
        <f>+Flags!DC23</f>
        <v>2031</v>
      </c>
      <c r="DD4" s="165">
        <f>+Flags!DD23</f>
        <v>2031</v>
      </c>
      <c r="DE4" s="165">
        <f>+Flags!DE23</f>
        <v>2031</v>
      </c>
      <c r="DF4" s="165">
        <f>+Flags!DF23</f>
        <v>2031</v>
      </c>
      <c r="DG4" s="165">
        <f>+Flags!DG23</f>
        <v>2031</v>
      </c>
      <c r="DH4" s="165">
        <f>+Flags!DH23</f>
        <v>2031</v>
      </c>
      <c r="DI4" s="165">
        <f>+Flags!DI23</f>
        <v>2031</v>
      </c>
      <c r="DJ4" s="165">
        <f>+Flags!DJ23</f>
        <v>2031</v>
      </c>
      <c r="DK4" s="165">
        <f>+Flags!DK23</f>
        <v>2031</v>
      </c>
      <c r="DL4" s="165">
        <f>+Flags!DL23</f>
        <v>2031</v>
      </c>
      <c r="DM4" s="165">
        <f>+Flags!DM23</f>
        <v>2031</v>
      </c>
      <c r="DN4" s="165">
        <f>+Flags!DN23</f>
        <v>2032</v>
      </c>
      <c r="DO4" s="165">
        <f>+Flags!DO23</f>
        <v>2032</v>
      </c>
      <c r="DP4" s="165">
        <f>+Flags!DP23</f>
        <v>2032</v>
      </c>
      <c r="DQ4" s="165">
        <f>+Flags!DQ23</f>
        <v>2032</v>
      </c>
      <c r="DR4" s="165">
        <f>+Flags!DR23</f>
        <v>2032</v>
      </c>
      <c r="DS4" s="165">
        <f>+Flags!DS23</f>
        <v>2032</v>
      </c>
      <c r="DT4" s="165">
        <f>+Flags!DT23</f>
        <v>2032</v>
      </c>
      <c r="DU4" s="165">
        <f>+Flags!DU23</f>
        <v>2032</v>
      </c>
      <c r="DV4" s="165">
        <f>+Flags!DV23</f>
        <v>2032</v>
      </c>
      <c r="DW4" s="165">
        <f>+Flags!DW23</f>
        <v>2032</v>
      </c>
      <c r="DX4" s="165">
        <f>+Flags!DX23</f>
        <v>2032</v>
      </c>
      <c r="DY4" s="165">
        <f>+Flags!DY23</f>
        <v>2032</v>
      </c>
    </row>
    <row r="5" spans="1:129">
      <c r="A5" s="4"/>
      <c r="B5" s="4"/>
      <c r="C5" s="4"/>
      <c r="D5" s="4"/>
      <c r="E5" s="478"/>
      <c r="F5" s="478"/>
      <c r="G5" s="478"/>
      <c r="H5" s="478"/>
      <c r="I5" s="40"/>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row>
    <row r="6" spans="1:129" s="41" customFormat="1">
      <c r="A6" s="39"/>
      <c r="B6" s="561" t="s">
        <v>78</v>
      </c>
      <c r="C6" s="39"/>
      <c r="D6" s="39"/>
      <c r="E6" s="478"/>
      <c r="F6" s="123"/>
      <c r="G6" s="123"/>
      <c r="H6" s="123"/>
      <c r="I6" s="40"/>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row>
    <row r="7" spans="1:129" s="41" customFormat="1">
      <c r="A7" s="39"/>
      <c r="B7" s="39"/>
      <c r="C7" s="42" t="s">
        <v>5</v>
      </c>
      <c r="D7" s="42" t="s">
        <v>12</v>
      </c>
      <c r="E7" s="478"/>
      <c r="F7" s="123"/>
      <c r="G7" s="123"/>
      <c r="H7" s="123"/>
      <c r="I7" s="40">
        <f>'Model Assumptions'!E150</f>
        <v>2000000</v>
      </c>
      <c r="J7" s="40">
        <f>+IFERROR(INDEX('Model Assumptions'!$F$149:$K$150,2,MATCH(J1,'Model Assumptions'!$F$149:$K$149,0)),0)</f>
        <v>5000000</v>
      </c>
      <c r="K7" s="40">
        <f>+IFERROR(INDEX('Model Assumptions'!$F$149:$K$150,2,MATCH(K1,'Model Assumptions'!$F$149:$K$149,0)),0)</f>
        <v>0</v>
      </c>
      <c r="L7" s="40">
        <f>+IFERROR(INDEX('Model Assumptions'!$F$149:$K$150,2,MATCH(L1,'Model Assumptions'!$F$149:$K$149,0)),0)</f>
        <v>0</v>
      </c>
      <c r="M7" s="40">
        <f>+IFERROR(INDEX('Model Assumptions'!$F$149:$K$150,2,MATCH(M1,'Model Assumptions'!$F$149:$K$149,0)),0)</f>
        <v>0</v>
      </c>
      <c r="N7" s="40">
        <f>+IFERROR(INDEX('Model Assumptions'!$F$149:$K$150,2,MATCH(N1,'Model Assumptions'!$F$149:$K$149,0)),0)</f>
        <v>0</v>
      </c>
      <c r="O7" s="40">
        <f>+IFERROR(INDEX('Model Assumptions'!$F$149:$K$150,2,MATCH(O1,'Model Assumptions'!$F$149:$K$149,0)),0)</f>
        <v>0</v>
      </c>
      <c r="P7" s="40">
        <f>+IFERROR(INDEX('Model Assumptions'!$F$149:$K$150,2,MATCH(P1,'Model Assumptions'!$F$149:$K$149,0)),0)</f>
        <v>0</v>
      </c>
      <c r="Q7" s="40">
        <f>+IFERROR(INDEX('Model Assumptions'!$F$149:$K$150,2,MATCH(Q1,'Model Assumptions'!$F$149:$K$149,0)),0)</f>
        <v>0</v>
      </c>
      <c r="R7" s="40">
        <f>+IFERROR(INDEX('Model Assumptions'!$F$149:$K$150,2,MATCH(R1,'Model Assumptions'!$F$149:$K$149,0)),0)</f>
        <v>0</v>
      </c>
      <c r="S7" s="40">
        <f>+IFERROR(INDEX('Model Assumptions'!$F$149:$K$150,2,MATCH(S1,'Model Assumptions'!$F$149:$K$149,0)),0)</f>
        <v>0</v>
      </c>
      <c r="T7" s="40">
        <f>+IFERROR(INDEX('Model Assumptions'!$F$149:$K$150,2,MATCH(T1,'Model Assumptions'!$F$149:$K$149,0)),0)</f>
        <v>0</v>
      </c>
      <c r="U7" s="40">
        <f>+IFERROR(INDEX('Model Assumptions'!$F$149:$K$150,2,MATCH(U1,'Model Assumptions'!$F$149:$K$149,0)),0)</f>
        <v>0</v>
      </c>
      <c r="V7" s="40">
        <f>+IFERROR(INDEX('Model Assumptions'!$F$149:$K$150,2,MATCH(V1,'Model Assumptions'!$F$149:$K$149,0)),0)</f>
        <v>0</v>
      </c>
      <c r="W7" s="40">
        <f>+IFERROR(INDEX('Model Assumptions'!$F$149:$K$150,2,MATCH(W1,'Model Assumptions'!$F$149:$K$149,0)),0)</f>
        <v>0</v>
      </c>
      <c r="X7" s="40">
        <f>+IFERROR(INDEX('Model Assumptions'!$F$149:$K$150,2,MATCH(X1,'Model Assumptions'!$F$149:$K$149,0)),0)</f>
        <v>0</v>
      </c>
      <c r="Y7" s="40">
        <f>+IFERROR(INDEX('Model Assumptions'!$F$149:$K$150,2,MATCH(Y1,'Model Assumptions'!$F$149:$K$149,0)),0)</f>
        <v>0</v>
      </c>
      <c r="Z7" s="40">
        <f>+IFERROR(INDEX('Model Assumptions'!$F$149:$K$150,2,MATCH(Z1,'Model Assumptions'!$F$149:$K$149,0)),0)</f>
        <v>0</v>
      </c>
      <c r="AA7" s="40">
        <f>+IFERROR(INDEX('Model Assumptions'!$F$149:$K$150,2,MATCH(AA1,'Model Assumptions'!$F$149:$K$149,0)),0)</f>
        <v>0</v>
      </c>
      <c r="AB7" s="40">
        <f>+IFERROR(INDEX('Model Assumptions'!$F$149:$K$150,2,MATCH(AB1,'Model Assumptions'!$F$149:$K$149,0)),0)</f>
        <v>3000000</v>
      </c>
      <c r="AC7" s="40">
        <f>+IFERROR(INDEX('Model Assumptions'!$F$149:$K$150,2,MATCH(AC1,'Model Assumptions'!$F$149:$K$149,0)),0)</f>
        <v>0</v>
      </c>
      <c r="AD7" s="40">
        <f>+IFERROR(INDEX('Model Assumptions'!$F$149:$K$150,2,MATCH(AD1,'Model Assumptions'!$F$149:$K$149,0)),0)</f>
        <v>0</v>
      </c>
      <c r="AE7" s="40">
        <f>+IFERROR(INDEX('Model Assumptions'!$F$149:$K$150,2,MATCH(AE1,'Model Assumptions'!$F$149:$K$149,0)),0)</f>
        <v>0</v>
      </c>
      <c r="AF7" s="40">
        <f>+IFERROR(INDEX('Model Assumptions'!$F$149:$K$150,2,MATCH(AF1,'Model Assumptions'!$F$149:$K$149,0)),0)</f>
        <v>0</v>
      </c>
      <c r="AG7" s="40">
        <f>+IFERROR(INDEX('Model Assumptions'!$F$149:$K$150,2,MATCH(AG1,'Model Assumptions'!$F$149:$K$149,0)),0)</f>
        <v>0</v>
      </c>
      <c r="AH7" s="40">
        <f>+IFERROR(INDEX('Model Assumptions'!$F$149:$K$150,2,MATCH(AH1,'Model Assumptions'!$F$149:$K$149,0)),0)</f>
        <v>0</v>
      </c>
      <c r="AI7" s="40">
        <f>+IFERROR(INDEX('Model Assumptions'!$F$149:$K$150,2,MATCH(AI1,'Model Assumptions'!$F$149:$K$149,0)),0)</f>
        <v>0</v>
      </c>
      <c r="AJ7" s="40">
        <f>+IFERROR(INDEX('Model Assumptions'!$F$149:$K$150,2,MATCH(AJ1,'Model Assumptions'!$F$149:$K$149,0)),0)</f>
        <v>0</v>
      </c>
      <c r="AK7" s="40">
        <f>+IFERROR(INDEX('Model Assumptions'!$F$149:$K$150,2,MATCH(AK1,'Model Assumptions'!$F$149:$K$149,0)),0)</f>
        <v>0</v>
      </c>
      <c r="AL7" s="40">
        <f>+IFERROR(INDEX('Model Assumptions'!$F$149:$K$150,2,MATCH(AL1,'Model Assumptions'!$F$149:$K$149,0)),0)</f>
        <v>0</v>
      </c>
      <c r="AM7" s="40">
        <f>+IFERROR(INDEX('Model Assumptions'!$F$149:$K$150,2,MATCH(AM1,'Model Assumptions'!$F$149:$K$149,0)),0)</f>
        <v>0</v>
      </c>
      <c r="AN7" s="40">
        <f>+IFERROR(INDEX('Model Assumptions'!$F$149:$K$150,2,MATCH(AN1,'Model Assumptions'!$F$149:$K$149,0)),0)</f>
        <v>0</v>
      </c>
      <c r="AO7" s="40">
        <f>+IFERROR(INDEX('Model Assumptions'!$F$149:$K$150,2,MATCH(AO1,'Model Assumptions'!$F$149:$K$149,0)),0)</f>
        <v>0</v>
      </c>
      <c r="AP7" s="40">
        <f>+IFERROR(INDEX('Model Assumptions'!$F$149:$K$150,2,MATCH(AP1,'Model Assumptions'!$F$149:$K$149,0)),0)</f>
        <v>0</v>
      </c>
      <c r="AQ7" s="40">
        <f>+IFERROR(INDEX('Model Assumptions'!$F$149:$K$150,2,MATCH(AQ1,'Model Assumptions'!$F$149:$K$149,0)),0)</f>
        <v>0</v>
      </c>
      <c r="AR7" s="40">
        <f>+IFERROR(INDEX('Model Assumptions'!$F$149:$K$150,2,MATCH(AR1,'Model Assumptions'!$F$149:$K$149,0)),0)</f>
        <v>0</v>
      </c>
      <c r="AS7" s="40">
        <f>+IFERROR(INDEX('Model Assumptions'!$F$149:$K$150,2,MATCH(AS1,'Model Assumptions'!$F$149:$K$149,0)),0)</f>
        <v>0</v>
      </c>
      <c r="AT7" s="40">
        <f>+IFERROR(INDEX('Model Assumptions'!$F$149:$K$150,2,MATCH(AT1,'Model Assumptions'!$F$149:$K$149,0)),0)</f>
        <v>0</v>
      </c>
      <c r="AU7" s="40">
        <f>+IFERROR(INDEX('Model Assumptions'!$F$149:$K$150,2,MATCH(AU1,'Model Assumptions'!$F$149:$K$149,0)),0)</f>
        <v>0</v>
      </c>
      <c r="AV7" s="40">
        <f>+IFERROR(INDEX('Model Assumptions'!$F$149:$K$150,2,MATCH(AV1,'Model Assumptions'!$F$149:$K$149,0)),0)</f>
        <v>0</v>
      </c>
      <c r="AW7" s="40">
        <f>+IFERROR(INDEX('Model Assumptions'!$F$149:$K$150,2,MATCH(AW1,'Model Assumptions'!$F$149:$K$149,0)),0)</f>
        <v>0</v>
      </c>
      <c r="AX7" s="40">
        <f>+IFERROR(INDEX('Model Assumptions'!$F$149:$K$150,2,MATCH(AX1,'Model Assumptions'!$F$149:$K$149,0)),0)</f>
        <v>0</v>
      </c>
      <c r="AY7" s="40">
        <f>+IFERROR(INDEX('Model Assumptions'!$F$149:$K$150,2,MATCH(AY1,'Model Assumptions'!$F$149:$K$149,0)),0)</f>
        <v>0</v>
      </c>
      <c r="AZ7" s="40">
        <f>+IFERROR(INDEX('Model Assumptions'!$F$149:$K$150,2,MATCH(AZ1,'Model Assumptions'!$F$149:$K$149,0)),0)</f>
        <v>0</v>
      </c>
      <c r="BA7" s="40">
        <f>+IFERROR(INDEX('Model Assumptions'!$F$149:$K$150,2,MATCH(BA1,'Model Assumptions'!$F$149:$K$149,0)),0)</f>
        <v>0</v>
      </c>
      <c r="BB7" s="40">
        <f>+IFERROR(INDEX('Model Assumptions'!$F$149:$K$150,2,MATCH(BB1,'Model Assumptions'!$F$149:$K$149,0)),0)</f>
        <v>0</v>
      </c>
      <c r="BC7" s="40">
        <f>+IFERROR(INDEX('Model Assumptions'!$F$149:$K$150,2,MATCH(BC1,'Model Assumptions'!$F$149:$K$149,0)),0)</f>
        <v>0</v>
      </c>
      <c r="BD7" s="40">
        <f>+IFERROR(INDEX('Model Assumptions'!$F$149:$K$150,2,MATCH(BD1,'Model Assumptions'!$F$149:$K$149,0)),0)</f>
        <v>0</v>
      </c>
      <c r="BE7" s="40">
        <f>+IFERROR(INDEX('Model Assumptions'!$F$149:$K$150,2,MATCH(BE1,'Model Assumptions'!$F$149:$K$149,0)),0)</f>
        <v>0</v>
      </c>
      <c r="BF7" s="40">
        <f>+IFERROR(INDEX('Model Assumptions'!$F$149:$K$150,2,MATCH(BF1,'Model Assumptions'!$F$149:$K$149,0)),0)</f>
        <v>0</v>
      </c>
      <c r="BG7" s="40">
        <f>+IFERROR(INDEX('Model Assumptions'!$F$149:$K$150,2,MATCH(BG1,'Model Assumptions'!$F$149:$K$149,0)),0)</f>
        <v>0</v>
      </c>
      <c r="BH7" s="40">
        <f>+IFERROR(INDEX('Model Assumptions'!$F$149:$K$150,2,MATCH(BH1,'Model Assumptions'!$F$149:$K$149,0)),0)</f>
        <v>0</v>
      </c>
      <c r="BI7" s="40">
        <f>+IFERROR(INDEX('Model Assumptions'!$F$149:$K$150,2,MATCH(BI1,'Model Assumptions'!$F$149:$K$149,0)),0)</f>
        <v>0</v>
      </c>
      <c r="BJ7" s="40">
        <f>+IFERROR(INDEX('Model Assumptions'!$F$149:$K$150,2,MATCH(BJ1,'Model Assumptions'!$F$149:$K$149,0)),0)</f>
        <v>0</v>
      </c>
      <c r="BK7" s="40">
        <f>+IFERROR(INDEX('Model Assumptions'!$F$149:$K$150,2,MATCH(BK1,'Model Assumptions'!$F$149:$K$149,0)),0)</f>
        <v>0</v>
      </c>
      <c r="BL7" s="40">
        <f>+IFERROR(INDEX('Model Assumptions'!$F$149:$K$150,2,MATCH(BL1,'Model Assumptions'!$F$149:$K$149,0)),0)</f>
        <v>0</v>
      </c>
      <c r="BM7" s="40">
        <f>+IFERROR(INDEX('Model Assumptions'!$F$149:$K$150,2,MATCH(BM1,'Model Assumptions'!$F$149:$K$149,0)),0)</f>
        <v>0</v>
      </c>
      <c r="BN7" s="40">
        <f>+IFERROR(INDEX('Model Assumptions'!$F$149:$K$150,2,MATCH(BN1,'Model Assumptions'!$F$149:$K$149,0)),0)</f>
        <v>0</v>
      </c>
      <c r="BO7" s="40">
        <f>+IFERROR(INDEX('Model Assumptions'!$F$149:$K$150,2,MATCH(BO1,'Model Assumptions'!$F$149:$K$149,0)),0)</f>
        <v>0</v>
      </c>
      <c r="BP7" s="40">
        <f>+IFERROR(INDEX('Model Assumptions'!$F$149:$K$150,2,MATCH(BP1,'Model Assumptions'!$F$149:$K$149,0)),0)</f>
        <v>0</v>
      </c>
      <c r="BQ7" s="40">
        <f>+IFERROR(INDEX('Model Assumptions'!$F$149:$K$150,2,MATCH(BQ1,'Model Assumptions'!$F$149:$K$149,0)),0)</f>
        <v>0</v>
      </c>
      <c r="BR7" s="40">
        <f>+IFERROR(INDEX('Model Assumptions'!$F$149:$K$150,2,MATCH(BR1,'Model Assumptions'!$F$149:$K$149,0)),0)</f>
        <v>0</v>
      </c>
      <c r="BS7" s="40">
        <f>+IFERROR(INDEX('Model Assumptions'!$F$149:$K$150,2,MATCH(BS1,'Model Assumptions'!$F$149:$K$149,0)),0)</f>
        <v>0</v>
      </c>
      <c r="BT7" s="40">
        <f>+IFERROR(INDEX('Model Assumptions'!$F$149:$K$150,2,MATCH(BT1,'Model Assumptions'!$F$149:$K$149,0)),0)</f>
        <v>0</v>
      </c>
      <c r="BU7" s="40">
        <f>+IFERROR(INDEX('Model Assumptions'!$F$149:$K$150,2,MATCH(BU1,'Model Assumptions'!$F$149:$K$149,0)),0)</f>
        <v>0</v>
      </c>
      <c r="BV7" s="40">
        <f>+IFERROR(INDEX('Model Assumptions'!$F$149:$K$150,2,MATCH(BV1,'Model Assumptions'!$F$149:$K$149,0)),0)</f>
        <v>0</v>
      </c>
      <c r="BW7" s="40">
        <f>+IFERROR(INDEX('Model Assumptions'!$F$149:$K$150,2,MATCH(BW1,'Model Assumptions'!$F$149:$K$149,0)),0)</f>
        <v>0</v>
      </c>
      <c r="BX7" s="40">
        <f>+IFERROR(INDEX('Model Assumptions'!$F$149:$K$150,2,MATCH(BX1,'Model Assumptions'!$F$149:$K$149,0)),0)</f>
        <v>0</v>
      </c>
      <c r="BY7" s="40">
        <f>+IFERROR(INDEX('Model Assumptions'!$F$149:$K$150,2,MATCH(BY1,'Model Assumptions'!$F$149:$K$149,0)),0)</f>
        <v>0</v>
      </c>
      <c r="BZ7" s="40">
        <f>+IFERROR(INDEX('Model Assumptions'!$F$149:$K$150,2,MATCH(BZ1,'Model Assumptions'!$F$149:$K$149,0)),0)</f>
        <v>0</v>
      </c>
      <c r="CA7" s="40">
        <f>+IFERROR(INDEX('Model Assumptions'!$F$149:$K$150,2,MATCH(CA1,'Model Assumptions'!$F$149:$K$149,0)),0)</f>
        <v>0</v>
      </c>
      <c r="CB7" s="40">
        <f>+IFERROR(INDEX('Model Assumptions'!$F$149:$K$150,2,MATCH(CB1,'Model Assumptions'!$F$149:$K$149,0)),0)</f>
        <v>0</v>
      </c>
      <c r="CC7" s="40">
        <f>+IFERROR(INDEX('Model Assumptions'!$F$149:$K$150,2,MATCH(CC1,'Model Assumptions'!$F$149:$K$149,0)),0)</f>
        <v>0</v>
      </c>
      <c r="CD7" s="40">
        <f>+IFERROR(INDEX('Model Assumptions'!$F$149:$K$150,2,MATCH(CD1,'Model Assumptions'!$F$149:$K$149,0)),0)</f>
        <v>0</v>
      </c>
      <c r="CE7" s="40">
        <f>+IFERROR(INDEX('Model Assumptions'!$F$149:$K$150,2,MATCH(CE1,'Model Assumptions'!$F$149:$K$149,0)),0)</f>
        <v>0</v>
      </c>
      <c r="CF7" s="40">
        <f>+IFERROR(INDEX('Model Assumptions'!$F$149:$K$150,2,MATCH(CF1,'Model Assumptions'!$F$149:$K$149,0)),0)</f>
        <v>0</v>
      </c>
      <c r="CG7" s="40">
        <f>+IFERROR(INDEX('Model Assumptions'!$F$149:$K$150,2,MATCH(CG1,'Model Assumptions'!$F$149:$K$149,0)),0)</f>
        <v>0</v>
      </c>
      <c r="CH7" s="40">
        <f>+IFERROR(INDEX('Model Assumptions'!$F$149:$K$150,2,MATCH(CH1,'Model Assumptions'!$F$149:$K$149,0)),0)</f>
        <v>0</v>
      </c>
      <c r="CI7" s="40">
        <f>+IFERROR(INDEX('Model Assumptions'!$F$149:$K$150,2,MATCH(CI1,'Model Assumptions'!$F$149:$K$149,0)),0)</f>
        <v>0</v>
      </c>
      <c r="CJ7" s="40">
        <f>+IFERROR(INDEX('Model Assumptions'!$F$149:$K$150,2,MATCH(CJ1,'Model Assumptions'!$F$149:$K$149,0)),0)</f>
        <v>0</v>
      </c>
      <c r="CK7" s="40">
        <f>+IFERROR(INDEX('Model Assumptions'!$F$149:$K$150,2,MATCH(CK1,'Model Assumptions'!$F$149:$K$149,0)),0)</f>
        <v>0</v>
      </c>
      <c r="CL7" s="40">
        <f>+IFERROR(INDEX('Model Assumptions'!$F$149:$K$150,2,MATCH(CL1,'Model Assumptions'!$F$149:$K$149,0)),0)</f>
        <v>0</v>
      </c>
      <c r="CM7" s="40">
        <f>+IFERROR(INDEX('Model Assumptions'!$F$149:$K$150,2,MATCH(CM1,'Model Assumptions'!$F$149:$K$149,0)),0)</f>
        <v>0</v>
      </c>
      <c r="CN7" s="40">
        <f>+IFERROR(INDEX('Model Assumptions'!$F$149:$K$150,2,MATCH(CN1,'Model Assumptions'!$F$149:$K$149,0)),0)</f>
        <v>0</v>
      </c>
      <c r="CO7" s="40">
        <f>+IFERROR(INDEX('Model Assumptions'!$F$149:$K$150,2,MATCH(CO1,'Model Assumptions'!$F$149:$K$149,0)),0)</f>
        <v>0</v>
      </c>
      <c r="CP7" s="40">
        <f>+IFERROR(INDEX('Model Assumptions'!$F$149:$K$150,2,MATCH(CP1,'Model Assumptions'!$F$149:$K$149,0)),0)</f>
        <v>0</v>
      </c>
      <c r="CQ7" s="40">
        <f>+IFERROR(INDEX('Model Assumptions'!$F$149:$K$150,2,MATCH(CQ1,'Model Assumptions'!$F$149:$K$149,0)),0)</f>
        <v>0</v>
      </c>
      <c r="CR7" s="40">
        <f>+IFERROR(INDEX('Model Assumptions'!$F$149:$K$150,2,MATCH(CR1,'Model Assumptions'!$F$149:$K$149,0)),0)</f>
        <v>0</v>
      </c>
      <c r="CS7" s="40">
        <f>+IFERROR(INDEX('Model Assumptions'!$F$149:$K$150,2,MATCH(CS1,'Model Assumptions'!$F$149:$K$149,0)),0)</f>
        <v>0</v>
      </c>
      <c r="CT7" s="40">
        <f>+IFERROR(INDEX('Model Assumptions'!$F$149:$K$150,2,MATCH(CT1,'Model Assumptions'!$F$149:$K$149,0)),0)</f>
        <v>0</v>
      </c>
      <c r="CU7" s="40">
        <f>+IFERROR(INDEX('Model Assumptions'!$F$149:$K$150,2,MATCH(CU1,'Model Assumptions'!$F$149:$K$149,0)),0)</f>
        <v>0</v>
      </c>
      <c r="CV7" s="40">
        <f>+IFERROR(INDEX('Model Assumptions'!$F$149:$K$150,2,MATCH(CV1,'Model Assumptions'!$F$149:$K$149,0)),0)</f>
        <v>0</v>
      </c>
      <c r="CW7" s="40">
        <f>+IFERROR(INDEX('Model Assumptions'!$F$149:$K$150,2,MATCH(CW1,'Model Assumptions'!$F$149:$K$149,0)),0)</f>
        <v>0</v>
      </c>
      <c r="CX7" s="40">
        <f>+IFERROR(INDEX('Model Assumptions'!$F$149:$K$150,2,MATCH(CX1,'Model Assumptions'!$F$149:$K$149,0)),0)</f>
        <v>0</v>
      </c>
      <c r="CY7" s="40">
        <f>+IFERROR(INDEX('Model Assumptions'!$F$149:$K$150,2,MATCH(CY1,'Model Assumptions'!$F$149:$K$149,0)),0)</f>
        <v>0</v>
      </c>
      <c r="CZ7" s="40">
        <f>+IFERROR(INDEX('Model Assumptions'!$F$149:$K$150,2,MATCH(CZ1,'Model Assumptions'!$F$149:$K$149,0)),0)</f>
        <v>0</v>
      </c>
      <c r="DA7" s="40">
        <f>+IFERROR(INDEX('Model Assumptions'!$F$149:$K$150,2,MATCH(DA1,'Model Assumptions'!$F$149:$K$149,0)),0)</f>
        <v>0</v>
      </c>
      <c r="DB7" s="40">
        <f>+IFERROR(INDEX('Model Assumptions'!$F$149:$K$150,2,MATCH(DB1,'Model Assumptions'!$F$149:$K$149,0)),0)</f>
        <v>0</v>
      </c>
      <c r="DC7" s="40">
        <f>+IFERROR(INDEX('Model Assumptions'!$F$149:$K$150,2,MATCH(DC1,'Model Assumptions'!$F$149:$K$149,0)),0)</f>
        <v>0</v>
      </c>
      <c r="DD7" s="40">
        <f>+IFERROR(INDEX('Model Assumptions'!$F$149:$K$150,2,MATCH(DD1,'Model Assumptions'!$F$149:$K$149,0)),0)</f>
        <v>0</v>
      </c>
      <c r="DE7" s="40">
        <f>+IFERROR(INDEX('Model Assumptions'!$F$149:$K$150,2,MATCH(DE1,'Model Assumptions'!$F$149:$K$149,0)),0)</f>
        <v>0</v>
      </c>
      <c r="DF7" s="40">
        <f>+IFERROR(INDEX('Model Assumptions'!$F$149:$K$150,2,MATCH(DF1,'Model Assumptions'!$F$149:$K$149,0)),0)</f>
        <v>0</v>
      </c>
      <c r="DG7" s="40">
        <f>+IFERROR(INDEX('Model Assumptions'!$F$149:$K$150,2,MATCH(DG1,'Model Assumptions'!$F$149:$K$149,0)),0)</f>
        <v>0</v>
      </c>
      <c r="DH7" s="40">
        <f>+IFERROR(INDEX('Model Assumptions'!$F$149:$K$150,2,MATCH(DH1,'Model Assumptions'!$F$149:$K$149,0)),0)</f>
        <v>0</v>
      </c>
      <c r="DI7" s="40">
        <f>+IFERROR(INDEX('Model Assumptions'!$F$149:$K$150,2,MATCH(DI1,'Model Assumptions'!$F$149:$K$149,0)),0)</f>
        <v>0</v>
      </c>
      <c r="DJ7" s="40">
        <f>+IFERROR(INDEX('Model Assumptions'!$F$149:$K$150,2,MATCH(DJ1,'Model Assumptions'!$F$149:$K$149,0)),0)</f>
        <v>0</v>
      </c>
      <c r="DK7" s="40">
        <f>+IFERROR(INDEX('Model Assumptions'!$F$149:$K$150,2,MATCH(DK1,'Model Assumptions'!$F$149:$K$149,0)),0)</f>
        <v>0</v>
      </c>
      <c r="DL7" s="40">
        <f>+IFERROR(INDEX('Model Assumptions'!$F$149:$K$150,2,MATCH(DL1,'Model Assumptions'!$F$149:$K$149,0)),0)</f>
        <v>0</v>
      </c>
      <c r="DM7" s="40">
        <f>+IFERROR(INDEX('Model Assumptions'!$F$149:$K$150,2,MATCH(DM1,'Model Assumptions'!$F$149:$K$149,0)),0)</f>
        <v>0</v>
      </c>
      <c r="DN7" s="40">
        <f>+IFERROR(INDEX('Model Assumptions'!$F$149:$K$150,2,MATCH(DN1,'Model Assumptions'!$F$149:$K$149,0)),0)</f>
        <v>0</v>
      </c>
      <c r="DO7" s="40">
        <f>+IFERROR(INDEX('Model Assumptions'!$F$149:$K$150,2,MATCH(DO1,'Model Assumptions'!$F$149:$K$149,0)),0)</f>
        <v>0</v>
      </c>
      <c r="DP7" s="40">
        <f>+IFERROR(INDEX('Model Assumptions'!$F$149:$K$150,2,MATCH(DP1,'Model Assumptions'!$F$149:$K$149,0)),0)</f>
        <v>0</v>
      </c>
      <c r="DQ7" s="40">
        <f>+IFERROR(INDEX('Model Assumptions'!$F$149:$K$150,2,MATCH(DQ1,'Model Assumptions'!$F$149:$K$149,0)),0)</f>
        <v>0</v>
      </c>
      <c r="DR7" s="40">
        <f>+IFERROR(INDEX('Model Assumptions'!$F$149:$K$150,2,MATCH(DR1,'Model Assumptions'!$F$149:$K$149,0)),0)</f>
        <v>0</v>
      </c>
      <c r="DS7" s="40">
        <f>+IFERROR(INDEX('Model Assumptions'!$F$149:$K$150,2,MATCH(DS1,'Model Assumptions'!$F$149:$K$149,0)),0)</f>
        <v>0</v>
      </c>
      <c r="DT7" s="40">
        <f>+IFERROR(INDEX('Model Assumptions'!$F$149:$K$150,2,MATCH(DT1,'Model Assumptions'!$F$149:$K$149,0)),0)</f>
        <v>0</v>
      </c>
      <c r="DU7" s="40">
        <f>+IFERROR(INDEX('Model Assumptions'!$F$149:$K$150,2,MATCH(DU1,'Model Assumptions'!$F$149:$K$149,0)),0)</f>
        <v>0</v>
      </c>
      <c r="DV7" s="40">
        <f>+IFERROR(INDEX('Model Assumptions'!$F$149:$K$150,2,MATCH(DV1,'Model Assumptions'!$F$149:$K$149,0)),0)</f>
        <v>0</v>
      </c>
      <c r="DW7" s="40">
        <f>+IFERROR(INDEX('Model Assumptions'!$F$149:$K$150,2,MATCH(DW1,'Model Assumptions'!$F$149:$K$149,0)),0)</f>
        <v>0</v>
      </c>
      <c r="DX7" s="40">
        <f>+IFERROR(INDEX('Model Assumptions'!$F$149:$K$150,2,MATCH(DX1,'Model Assumptions'!$F$149:$K$149,0)),0)</f>
        <v>0</v>
      </c>
      <c r="DY7" s="40">
        <f>+IFERROR(INDEX('Model Assumptions'!$F$149:$K$150,2,MATCH(DY1,'Model Assumptions'!$F$149:$K$149,0)),0)</f>
        <v>0</v>
      </c>
    </row>
    <row r="8" spans="1:129" s="41" customFormat="1">
      <c r="A8" s="39"/>
      <c r="B8" s="39"/>
      <c r="C8" s="42" t="s">
        <v>5</v>
      </c>
      <c r="D8" s="42" t="s">
        <v>13</v>
      </c>
      <c r="E8" s="478"/>
      <c r="F8" s="123"/>
      <c r="G8" s="123"/>
      <c r="H8" s="123"/>
      <c r="I8" s="40">
        <f>'Model Assumptions'!F124</f>
        <v>550000</v>
      </c>
      <c r="J8" s="40">
        <f>+IFERROR(INDEX('Model Assumptions'!$F$145:$K$146,2,MATCH(Financing!J1,'Model Assumptions'!$F$145:$K$145,0)),0)</f>
        <v>5000000</v>
      </c>
      <c r="K8" s="40">
        <f>+IFERROR(INDEX('Model Assumptions'!$F$145:$K$146,2,MATCH(Financing!K1,'Model Assumptions'!$F$145:$K$145,0)),0)</f>
        <v>0</v>
      </c>
      <c r="L8" s="40">
        <f>+IFERROR(INDEX('Model Assumptions'!$F$145:$K$146,2,MATCH(Financing!L1,'Model Assumptions'!$F$145:$K$145,0)),0)</f>
        <v>0</v>
      </c>
      <c r="M8" s="40">
        <f>+IFERROR(INDEX('Model Assumptions'!$F$145:$K$146,2,MATCH(Financing!M1,'Model Assumptions'!$F$145:$K$145,0)),0)</f>
        <v>0</v>
      </c>
      <c r="N8" s="40">
        <f>+IFERROR(INDEX('Model Assumptions'!$F$145:$K$146,2,MATCH(Financing!N1,'Model Assumptions'!$F$145:$K$145,0)),0)</f>
        <v>0</v>
      </c>
      <c r="O8" s="40">
        <f>+IFERROR(INDEX('Model Assumptions'!$F$145:$K$146,2,MATCH(Financing!O1,'Model Assumptions'!$F$145:$K$145,0)),0)</f>
        <v>0</v>
      </c>
      <c r="P8" s="40">
        <f>+IFERROR(INDEX('Model Assumptions'!$F$145:$K$146,2,MATCH(Financing!P1,'Model Assumptions'!$F$145:$K$145,0)),0)</f>
        <v>0</v>
      </c>
      <c r="Q8" s="40">
        <f>+IFERROR(INDEX('Model Assumptions'!$F$145:$K$146,2,MATCH(Financing!Q1,'Model Assumptions'!$F$145:$K$145,0)),0)</f>
        <v>0</v>
      </c>
      <c r="R8" s="40">
        <f>+IFERROR(INDEX('Model Assumptions'!$F$145:$K$146,2,MATCH(Financing!R1,'Model Assumptions'!$F$145:$K$145,0)),0)</f>
        <v>0</v>
      </c>
      <c r="S8" s="40">
        <f>+IFERROR(INDEX('Model Assumptions'!$F$145:$K$146,2,MATCH(Financing!S1,'Model Assumptions'!$F$145:$K$145,0)),0)</f>
        <v>0</v>
      </c>
      <c r="T8" s="40">
        <f>+IFERROR(INDEX('Model Assumptions'!$F$145:$K$146,2,MATCH(Financing!T1,'Model Assumptions'!$F$145:$K$145,0)),0)</f>
        <v>0</v>
      </c>
      <c r="U8" s="40">
        <f>+IFERROR(INDEX('Model Assumptions'!$F$145:$K$146,2,MATCH(Financing!U1,'Model Assumptions'!$F$145:$K$145,0)),0)</f>
        <v>0</v>
      </c>
      <c r="V8" s="40">
        <f>+IFERROR(INDEX('Model Assumptions'!$F$145:$K$146,2,MATCH(Financing!V1,'Model Assumptions'!$F$145:$K$145,0)),0)</f>
        <v>0</v>
      </c>
      <c r="W8" s="40">
        <f>+IFERROR(INDEX('Model Assumptions'!$F$145:$K$146,2,MATCH(Financing!W1,'Model Assumptions'!$F$145:$K$145,0)),0)</f>
        <v>0</v>
      </c>
      <c r="X8" s="40">
        <f>+IFERROR(INDEX('Model Assumptions'!$F$145:$K$146,2,MATCH(Financing!X1,'Model Assumptions'!$F$145:$K$145,0)),0)</f>
        <v>0</v>
      </c>
      <c r="Y8" s="40">
        <f>+IFERROR(INDEX('Model Assumptions'!$F$145:$K$146,2,MATCH(Financing!Y1,'Model Assumptions'!$F$145:$K$145,0)),0)</f>
        <v>0</v>
      </c>
      <c r="Z8" s="40">
        <f>+IFERROR(INDEX('Model Assumptions'!$F$145:$K$146,2,MATCH(Financing!Z1,'Model Assumptions'!$F$145:$K$145,0)),0)</f>
        <v>0</v>
      </c>
      <c r="AA8" s="40">
        <f>+IFERROR(INDEX('Model Assumptions'!$F$145:$K$146,2,MATCH(Financing!AA1,'Model Assumptions'!$F$145:$K$145,0)),0)</f>
        <v>0</v>
      </c>
      <c r="AB8" s="40">
        <f>+IFERROR(INDEX('Model Assumptions'!$F$145:$K$146,2,MATCH(Financing!AB1,'Model Assumptions'!$F$145:$K$145,0)),0)</f>
        <v>0</v>
      </c>
      <c r="AC8" s="40">
        <f>+IFERROR(INDEX('Model Assumptions'!$F$145:$K$146,2,MATCH(Financing!AC1,'Model Assumptions'!$F$145:$K$145,0)),0)</f>
        <v>0</v>
      </c>
      <c r="AD8" s="40">
        <f>+IFERROR(INDEX('Model Assumptions'!$F$145:$K$146,2,MATCH(Financing!AD1,'Model Assumptions'!$F$145:$K$145,0)),0)</f>
        <v>0</v>
      </c>
      <c r="AE8" s="40">
        <f>+IFERROR(INDEX('Model Assumptions'!$F$145:$K$146,2,MATCH(Financing!AE1,'Model Assumptions'!$F$145:$K$145,0)),0)</f>
        <v>0</v>
      </c>
      <c r="AF8" s="40">
        <f>+IFERROR(INDEX('Model Assumptions'!$F$145:$K$146,2,MATCH(Financing!AF1,'Model Assumptions'!$F$145:$K$145,0)),0)</f>
        <v>0</v>
      </c>
      <c r="AG8" s="40">
        <f>+IFERROR(INDEX('Model Assumptions'!$F$145:$K$146,2,MATCH(Financing!AG1,'Model Assumptions'!$F$145:$K$145,0)),0)</f>
        <v>0</v>
      </c>
      <c r="AH8" s="40">
        <f>+IFERROR(INDEX('Model Assumptions'!$F$145:$K$146,2,MATCH(Financing!AH1,'Model Assumptions'!$F$145:$K$145,0)),0)</f>
        <v>10000000</v>
      </c>
      <c r="AI8" s="40">
        <f>+IFERROR(INDEX('Model Assumptions'!$F$145:$K$146,2,MATCH(Financing!AI1,'Model Assumptions'!$F$145:$K$145,0)),0)</f>
        <v>0</v>
      </c>
      <c r="AJ8" s="40">
        <f>+IFERROR(INDEX('Model Assumptions'!$F$145:$K$146,2,MATCH(Financing!AJ1,'Model Assumptions'!$F$145:$K$145,0)),0)</f>
        <v>0</v>
      </c>
      <c r="AK8" s="40">
        <f>+IFERROR(INDEX('Model Assumptions'!$F$145:$K$146,2,MATCH(Financing!AK1,'Model Assumptions'!$F$145:$K$145,0)),0)</f>
        <v>0</v>
      </c>
      <c r="AL8" s="40">
        <f>+IFERROR(INDEX('Model Assumptions'!$F$145:$K$146,2,MATCH(Financing!AL1,'Model Assumptions'!$F$145:$K$145,0)),0)</f>
        <v>0</v>
      </c>
      <c r="AM8" s="40">
        <f>+IFERROR(INDEX('Model Assumptions'!$F$145:$K$146,2,MATCH(Financing!AM1,'Model Assumptions'!$F$145:$K$145,0)),0)</f>
        <v>0</v>
      </c>
      <c r="AN8" s="40">
        <f>+IFERROR(INDEX('Model Assumptions'!$F$145:$K$146,2,MATCH(Financing!AN1,'Model Assumptions'!$F$145:$K$145,0)),0)</f>
        <v>0</v>
      </c>
      <c r="AO8" s="40">
        <f>+IFERROR(INDEX('Model Assumptions'!$F$145:$K$146,2,MATCH(Financing!AO1,'Model Assumptions'!$F$145:$K$145,0)),0)</f>
        <v>0</v>
      </c>
      <c r="AP8" s="40">
        <f>+IFERROR(INDEX('Model Assumptions'!$F$145:$K$146,2,MATCH(Financing!AP1,'Model Assumptions'!$F$145:$K$145,0)),0)</f>
        <v>0</v>
      </c>
      <c r="AQ8" s="40">
        <f>+IFERROR(INDEX('Model Assumptions'!$F$145:$K$146,2,MATCH(Financing!AQ1,'Model Assumptions'!$F$145:$K$145,0)),0)</f>
        <v>0</v>
      </c>
      <c r="AR8" s="40">
        <f>+IFERROR(INDEX('Model Assumptions'!$F$145:$K$146,2,MATCH(Financing!AR1,'Model Assumptions'!$F$145:$K$145,0)),0)</f>
        <v>0</v>
      </c>
      <c r="AS8" s="40">
        <f>+IFERROR(INDEX('Model Assumptions'!$F$145:$K$146,2,MATCH(Financing!AS1,'Model Assumptions'!$F$145:$K$145,0)),0)</f>
        <v>0</v>
      </c>
      <c r="AT8" s="40">
        <f>+IFERROR(INDEX('Model Assumptions'!$F$145:$K$146,2,MATCH(Financing!AT1,'Model Assumptions'!$F$145:$K$145,0)),0)</f>
        <v>0</v>
      </c>
      <c r="AU8" s="40">
        <f>+IFERROR(INDEX('Model Assumptions'!$F$145:$K$146,2,MATCH(Financing!AU1,'Model Assumptions'!$F$145:$K$145,0)),0)</f>
        <v>0</v>
      </c>
      <c r="AV8" s="40">
        <f>+IFERROR(INDEX('Model Assumptions'!$F$145:$K$146,2,MATCH(Financing!AV1,'Model Assumptions'!$F$145:$K$145,0)),0)</f>
        <v>0</v>
      </c>
      <c r="AW8" s="40">
        <f>+IFERROR(INDEX('Model Assumptions'!$F$145:$K$146,2,MATCH(Financing!AW1,'Model Assumptions'!$F$145:$K$145,0)),0)</f>
        <v>0</v>
      </c>
      <c r="AX8" s="40">
        <f>+IFERROR(INDEX('Model Assumptions'!$F$145:$K$146,2,MATCH(Financing!AX1,'Model Assumptions'!$F$145:$K$145,0)),0)</f>
        <v>0</v>
      </c>
      <c r="AY8" s="40">
        <f>+IFERROR(INDEX('Model Assumptions'!$F$145:$K$146,2,MATCH(Financing!AY1,'Model Assumptions'!$F$145:$K$145,0)),0)</f>
        <v>0</v>
      </c>
      <c r="AZ8" s="40">
        <f>+IFERROR(INDEX('Model Assumptions'!$F$145:$K$146,2,MATCH(Financing!AZ1,'Model Assumptions'!$F$145:$K$145,0)),0)</f>
        <v>0</v>
      </c>
      <c r="BA8" s="40">
        <f>+IFERROR(INDEX('Model Assumptions'!$F$145:$K$146,2,MATCH(Financing!BA1,'Model Assumptions'!$F$145:$K$145,0)),0)</f>
        <v>0</v>
      </c>
      <c r="BB8" s="40">
        <f>+IFERROR(INDEX('Model Assumptions'!$F$145:$K$146,2,MATCH(Financing!BB1,'Model Assumptions'!$F$145:$K$145,0)),0)</f>
        <v>0</v>
      </c>
      <c r="BC8" s="40">
        <f>+IFERROR(INDEX('Model Assumptions'!$F$145:$K$146,2,MATCH(Financing!BC1,'Model Assumptions'!$F$145:$K$145,0)),0)</f>
        <v>0</v>
      </c>
      <c r="BD8" s="40">
        <f>+IFERROR(INDEX('Model Assumptions'!$F$145:$K$146,2,MATCH(Financing!BD1,'Model Assumptions'!$F$145:$K$145,0)),0)</f>
        <v>0</v>
      </c>
      <c r="BE8" s="40">
        <f>+IFERROR(INDEX('Model Assumptions'!$F$145:$K$146,2,MATCH(Financing!BE1,'Model Assumptions'!$F$145:$K$145,0)),0)</f>
        <v>0</v>
      </c>
      <c r="BF8" s="40">
        <f>+IFERROR(INDEX('Model Assumptions'!$F$145:$K$146,2,MATCH(Financing!BF1,'Model Assumptions'!$F$145:$K$145,0)),0)</f>
        <v>0</v>
      </c>
      <c r="BG8" s="40">
        <f>+IFERROR(INDEX('Model Assumptions'!$F$145:$K$146,2,MATCH(Financing!BG1,'Model Assumptions'!$F$145:$K$145,0)),0)</f>
        <v>0</v>
      </c>
      <c r="BH8" s="40">
        <f>+IFERROR(INDEX('Model Assumptions'!$F$145:$K$146,2,MATCH(Financing!BH1,'Model Assumptions'!$F$145:$K$145,0)),0)</f>
        <v>0</v>
      </c>
      <c r="BI8" s="40">
        <f>+IFERROR(INDEX('Model Assumptions'!$F$145:$K$146,2,MATCH(Financing!BI1,'Model Assumptions'!$F$145:$K$145,0)),0)</f>
        <v>0</v>
      </c>
      <c r="BJ8" s="40">
        <f>+IFERROR(INDEX('Model Assumptions'!$F$145:$K$146,2,MATCH(Financing!BJ1,'Model Assumptions'!$F$145:$K$145,0)),0)</f>
        <v>0</v>
      </c>
      <c r="BK8" s="40">
        <f>+IFERROR(INDEX('Model Assumptions'!$F$145:$K$146,2,MATCH(Financing!BK1,'Model Assumptions'!$F$145:$K$145,0)),0)</f>
        <v>0</v>
      </c>
      <c r="BL8" s="40">
        <f>+IFERROR(INDEX('Model Assumptions'!$F$145:$K$146,2,MATCH(Financing!BL1,'Model Assumptions'!$F$145:$K$145,0)),0)</f>
        <v>0</v>
      </c>
      <c r="BM8" s="40">
        <f>+IFERROR(INDEX('Model Assumptions'!$F$145:$K$146,2,MATCH(Financing!BM1,'Model Assumptions'!$F$145:$K$145,0)),0)</f>
        <v>0</v>
      </c>
      <c r="BN8" s="40">
        <f>+IFERROR(INDEX('Model Assumptions'!$F$145:$K$146,2,MATCH(Financing!BN1,'Model Assumptions'!$F$145:$K$145,0)),0)</f>
        <v>0</v>
      </c>
      <c r="BO8" s="40">
        <f>+IFERROR(INDEX('Model Assumptions'!$F$145:$K$146,2,MATCH(Financing!BO1,'Model Assumptions'!$F$145:$K$145,0)),0)</f>
        <v>0</v>
      </c>
      <c r="BP8" s="40">
        <f>+IFERROR(INDEX('Model Assumptions'!$F$145:$K$146,2,MATCH(Financing!BP1,'Model Assumptions'!$F$145:$K$145,0)),0)</f>
        <v>0</v>
      </c>
      <c r="BQ8" s="40">
        <f>+IFERROR(INDEX('Model Assumptions'!$F$145:$K$146,2,MATCH(Financing!BQ1,'Model Assumptions'!$F$145:$K$145,0)),0)</f>
        <v>0</v>
      </c>
      <c r="BR8" s="40">
        <f>+IFERROR(INDEX('Model Assumptions'!$F$145:$K$146,2,MATCH(Financing!BR1,'Model Assumptions'!$F$145:$K$145,0)),0)</f>
        <v>0</v>
      </c>
      <c r="BS8" s="40">
        <f>+IFERROR(INDEX('Model Assumptions'!$F$145:$K$146,2,MATCH(Financing!BS1,'Model Assumptions'!$F$145:$K$145,0)),0)</f>
        <v>0</v>
      </c>
      <c r="BT8" s="40">
        <f>+IFERROR(INDEX('Model Assumptions'!$F$145:$K$146,2,MATCH(Financing!BT1,'Model Assumptions'!$F$145:$K$145,0)),0)</f>
        <v>0</v>
      </c>
      <c r="BU8" s="40">
        <f>+IFERROR(INDEX('Model Assumptions'!$F$145:$K$146,2,MATCH(Financing!BU1,'Model Assumptions'!$F$145:$K$145,0)),0)</f>
        <v>0</v>
      </c>
      <c r="BV8" s="40">
        <f>+IFERROR(INDEX('Model Assumptions'!$F$145:$K$146,2,MATCH(Financing!BV1,'Model Assumptions'!$F$145:$K$145,0)),0)</f>
        <v>0</v>
      </c>
      <c r="BW8" s="40">
        <f>+IFERROR(INDEX('Model Assumptions'!$F$145:$K$146,2,MATCH(Financing!BW1,'Model Assumptions'!$F$145:$K$145,0)),0)</f>
        <v>0</v>
      </c>
      <c r="BX8" s="40">
        <f>+IFERROR(INDEX('Model Assumptions'!$F$145:$K$146,2,MATCH(Financing!BX1,'Model Assumptions'!$F$145:$K$145,0)),0)</f>
        <v>0</v>
      </c>
      <c r="BY8" s="40">
        <f>+IFERROR(INDEX('Model Assumptions'!$F$145:$K$146,2,MATCH(Financing!BY1,'Model Assumptions'!$F$145:$K$145,0)),0)</f>
        <v>0</v>
      </c>
      <c r="BZ8" s="40">
        <f>+IFERROR(INDEX('Model Assumptions'!$F$145:$K$146,2,MATCH(Financing!BZ1,'Model Assumptions'!$F$145:$K$145,0)),0)</f>
        <v>0</v>
      </c>
      <c r="CA8" s="40">
        <f>+IFERROR(INDEX('Model Assumptions'!$F$145:$K$146,2,MATCH(Financing!CA1,'Model Assumptions'!$F$145:$K$145,0)),0)</f>
        <v>0</v>
      </c>
      <c r="CB8" s="40">
        <f>+IFERROR(INDEX('Model Assumptions'!$F$145:$K$146,2,MATCH(Financing!CB1,'Model Assumptions'!$F$145:$K$145,0)),0)</f>
        <v>0</v>
      </c>
      <c r="CC8" s="40">
        <f>+IFERROR(INDEX('Model Assumptions'!$F$145:$K$146,2,MATCH(Financing!CC1,'Model Assumptions'!$F$145:$K$145,0)),0)</f>
        <v>0</v>
      </c>
      <c r="CD8" s="40">
        <f>+IFERROR(INDEX('Model Assumptions'!$F$145:$K$146,2,MATCH(Financing!CD1,'Model Assumptions'!$F$145:$K$145,0)),0)</f>
        <v>0</v>
      </c>
      <c r="CE8" s="40">
        <f>+IFERROR(INDEX('Model Assumptions'!$F$145:$K$146,2,MATCH(Financing!CE1,'Model Assumptions'!$F$145:$K$145,0)),0)</f>
        <v>0</v>
      </c>
      <c r="CF8" s="40">
        <f>+IFERROR(INDEX('Model Assumptions'!$F$145:$K$146,2,MATCH(Financing!CF1,'Model Assumptions'!$F$145:$K$145,0)),0)</f>
        <v>0</v>
      </c>
      <c r="CG8" s="40">
        <f>+IFERROR(INDEX('Model Assumptions'!$F$145:$K$146,2,MATCH(Financing!CG1,'Model Assumptions'!$F$145:$K$145,0)),0)</f>
        <v>0</v>
      </c>
      <c r="CH8" s="40">
        <f>+IFERROR(INDEX('Model Assumptions'!$F$145:$K$146,2,MATCH(Financing!CH1,'Model Assumptions'!$F$145:$K$145,0)),0)</f>
        <v>0</v>
      </c>
      <c r="CI8" s="40">
        <f>+IFERROR(INDEX('Model Assumptions'!$F$145:$K$146,2,MATCH(Financing!CI1,'Model Assumptions'!$F$145:$K$145,0)),0)</f>
        <v>0</v>
      </c>
      <c r="CJ8" s="40">
        <f>+IFERROR(INDEX('Model Assumptions'!$F$145:$K$146,2,MATCH(Financing!CJ1,'Model Assumptions'!$F$145:$K$145,0)),0)</f>
        <v>0</v>
      </c>
      <c r="CK8" s="40">
        <f>+IFERROR(INDEX('Model Assumptions'!$F$145:$K$146,2,MATCH(Financing!CK1,'Model Assumptions'!$F$145:$K$145,0)),0)</f>
        <v>0</v>
      </c>
      <c r="CL8" s="40">
        <f>+IFERROR(INDEX('Model Assumptions'!$F$145:$K$146,2,MATCH(Financing!CL1,'Model Assumptions'!$F$145:$K$145,0)),0)</f>
        <v>0</v>
      </c>
      <c r="CM8" s="40">
        <f>+IFERROR(INDEX('Model Assumptions'!$F$145:$K$146,2,MATCH(Financing!CM1,'Model Assumptions'!$F$145:$K$145,0)),0)</f>
        <v>0</v>
      </c>
      <c r="CN8" s="40">
        <f>+IFERROR(INDEX('Model Assumptions'!$F$145:$K$146,2,MATCH(Financing!CN1,'Model Assumptions'!$F$145:$K$145,0)),0)</f>
        <v>0</v>
      </c>
      <c r="CO8" s="40">
        <f>+IFERROR(INDEX('Model Assumptions'!$F$145:$K$146,2,MATCH(Financing!CO1,'Model Assumptions'!$F$145:$K$145,0)),0)</f>
        <v>0</v>
      </c>
      <c r="CP8" s="40">
        <f>+IFERROR(INDEX('Model Assumptions'!$F$145:$K$146,2,MATCH(Financing!CP1,'Model Assumptions'!$F$145:$K$145,0)),0)</f>
        <v>0</v>
      </c>
      <c r="CQ8" s="40">
        <f>+IFERROR(INDEX('Model Assumptions'!$F$145:$K$146,2,MATCH(Financing!CQ1,'Model Assumptions'!$F$145:$K$145,0)),0)</f>
        <v>0</v>
      </c>
      <c r="CR8" s="40">
        <f>+IFERROR(INDEX('Model Assumptions'!$F$145:$K$146,2,MATCH(Financing!CR1,'Model Assumptions'!$F$145:$K$145,0)),0)</f>
        <v>0</v>
      </c>
      <c r="CS8" s="40">
        <f>+IFERROR(INDEX('Model Assumptions'!$F$145:$K$146,2,MATCH(Financing!CS1,'Model Assumptions'!$F$145:$K$145,0)),0)</f>
        <v>0</v>
      </c>
      <c r="CT8" s="40">
        <f>+IFERROR(INDEX('Model Assumptions'!$F$145:$K$146,2,MATCH(Financing!CT1,'Model Assumptions'!$F$145:$K$145,0)),0)</f>
        <v>0</v>
      </c>
      <c r="CU8" s="40">
        <f>+IFERROR(INDEX('Model Assumptions'!$F$145:$K$146,2,MATCH(Financing!CU1,'Model Assumptions'!$F$145:$K$145,0)),0)</f>
        <v>0</v>
      </c>
      <c r="CV8" s="40">
        <f>+IFERROR(INDEX('Model Assumptions'!$F$145:$K$146,2,MATCH(Financing!CV1,'Model Assumptions'!$F$145:$K$145,0)),0)</f>
        <v>0</v>
      </c>
      <c r="CW8" s="40">
        <f>+IFERROR(INDEX('Model Assumptions'!$F$145:$K$146,2,MATCH(Financing!CW1,'Model Assumptions'!$F$145:$K$145,0)),0)</f>
        <v>0</v>
      </c>
      <c r="CX8" s="40">
        <f>+IFERROR(INDEX('Model Assumptions'!$F$145:$K$146,2,MATCH(Financing!CX1,'Model Assumptions'!$F$145:$K$145,0)),0)</f>
        <v>0</v>
      </c>
      <c r="CY8" s="40">
        <f>+IFERROR(INDEX('Model Assumptions'!$F$145:$K$146,2,MATCH(Financing!CY1,'Model Assumptions'!$F$145:$K$145,0)),0)</f>
        <v>0</v>
      </c>
      <c r="CZ8" s="40">
        <f>+IFERROR(INDEX('Model Assumptions'!$F$145:$K$146,2,MATCH(Financing!CZ1,'Model Assumptions'!$F$145:$K$145,0)),0)</f>
        <v>0</v>
      </c>
      <c r="DA8" s="40">
        <f>+IFERROR(INDEX('Model Assumptions'!$F$145:$K$146,2,MATCH(Financing!DA1,'Model Assumptions'!$F$145:$K$145,0)),0)</f>
        <v>0</v>
      </c>
      <c r="DB8" s="40">
        <f>+IFERROR(INDEX('Model Assumptions'!$F$145:$K$146,2,MATCH(Financing!DB1,'Model Assumptions'!$F$145:$K$145,0)),0)</f>
        <v>0</v>
      </c>
      <c r="DC8" s="40">
        <f>+IFERROR(INDEX('Model Assumptions'!$F$145:$K$146,2,MATCH(Financing!DC1,'Model Assumptions'!$F$145:$K$145,0)),0)</f>
        <v>0</v>
      </c>
      <c r="DD8" s="40">
        <f>+IFERROR(INDEX('Model Assumptions'!$F$145:$K$146,2,MATCH(Financing!DD1,'Model Assumptions'!$F$145:$K$145,0)),0)</f>
        <v>0</v>
      </c>
      <c r="DE8" s="40">
        <f>+IFERROR(INDEX('Model Assumptions'!$F$145:$K$146,2,MATCH(Financing!DE1,'Model Assumptions'!$F$145:$K$145,0)),0)</f>
        <v>0</v>
      </c>
      <c r="DF8" s="40">
        <f>+IFERROR(INDEX('Model Assumptions'!$F$145:$K$146,2,MATCH(Financing!DF1,'Model Assumptions'!$F$145:$K$145,0)),0)</f>
        <v>0</v>
      </c>
      <c r="DG8" s="40">
        <f>+IFERROR(INDEX('Model Assumptions'!$F$145:$K$146,2,MATCH(Financing!DG1,'Model Assumptions'!$F$145:$K$145,0)),0)</f>
        <v>0</v>
      </c>
      <c r="DH8" s="40">
        <f>+IFERROR(INDEX('Model Assumptions'!$F$145:$K$146,2,MATCH(Financing!DH1,'Model Assumptions'!$F$145:$K$145,0)),0)</f>
        <v>0</v>
      </c>
      <c r="DI8" s="40">
        <f>+IFERROR(INDEX('Model Assumptions'!$F$145:$K$146,2,MATCH(Financing!DI1,'Model Assumptions'!$F$145:$K$145,0)),0)</f>
        <v>0</v>
      </c>
      <c r="DJ8" s="40">
        <f>+IFERROR(INDEX('Model Assumptions'!$F$145:$K$146,2,MATCH(Financing!DJ1,'Model Assumptions'!$F$145:$K$145,0)),0)</f>
        <v>0</v>
      </c>
      <c r="DK8" s="40">
        <f>+IFERROR(INDEX('Model Assumptions'!$F$145:$K$146,2,MATCH(Financing!DK1,'Model Assumptions'!$F$145:$K$145,0)),0)</f>
        <v>0</v>
      </c>
      <c r="DL8" s="40">
        <f>+IFERROR(INDEX('Model Assumptions'!$F$145:$K$146,2,MATCH(Financing!DL1,'Model Assumptions'!$F$145:$K$145,0)),0)</f>
        <v>0</v>
      </c>
      <c r="DM8" s="40">
        <f>+IFERROR(INDEX('Model Assumptions'!$F$145:$K$146,2,MATCH(Financing!DM1,'Model Assumptions'!$F$145:$K$145,0)),0)</f>
        <v>0</v>
      </c>
      <c r="DN8" s="40">
        <f>+IFERROR(INDEX('Model Assumptions'!$F$145:$K$146,2,MATCH(Financing!DN1,'Model Assumptions'!$F$145:$K$145,0)),0)</f>
        <v>0</v>
      </c>
      <c r="DO8" s="40">
        <f>+IFERROR(INDEX('Model Assumptions'!$F$145:$K$146,2,MATCH(Financing!DO1,'Model Assumptions'!$F$145:$K$145,0)),0)</f>
        <v>0</v>
      </c>
      <c r="DP8" s="40">
        <f>+IFERROR(INDEX('Model Assumptions'!$F$145:$K$146,2,MATCH(Financing!DP1,'Model Assumptions'!$F$145:$K$145,0)),0)</f>
        <v>0</v>
      </c>
      <c r="DQ8" s="40">
        <f>+IFERROR(INDEX('Model Assumptions'!$F$145:$K$146,2,MATCH(Financing!DQ1,'Model Assumptions'!$F$145:$K$145,0)),0)</f>
        <v>0</v>
      </c>
      <c r="DR8" s="40">
        <f>+IFERROR(INDEX('Model Assumptions'!$F$145:$K$146,2,MATCH(Financing!DR1,'Model Assumptions'!$F$145:$K$145,0)),0)</f>
        <v>0</v>
      </c>
      <c r="DS8" s="40">
        <f>+IFERROR(INDEX('Model Assumptions'!$F$145:$K$146,2,MATCH(Financing!DS1,'Model Assumptions'!$F$145:$K$145,0)),0)</f>
        <v>0</v>
      </c>
      <c r="DT8" s="40">
        <f>+IFERROR(INDEX('Model Assumptions'!$F$145:$K$146,2,MATCH(Financing!DT1,'Model Assumptions'!$F$145:$K$145,0)),0)</f>
        <v>0</v>
      </c>
      <c r="DU8" s="40">
        <f>+IFERROR(INDEX('Model Assumptions'!$F$145:$K$146,2,MATCH(Financing!DU1,'Model Assumptions'!$F$145:$K$145,0)),0)</f>
        <v>0</v>
      </c>
      <c r="DV8" s="40">
        <f>+IFERROR(INDEX('Model Assumptions'!$F$145:$K$146,2,MATCH(Financing!DV1,'Model Assumptions'!$F$145:$K$145,0)),0)</f>
        <v>0</v>
      </c>
      <c r="DW8" s="40">
        <f>+IFERROR(INDEX('Model Assumptions'!$F$145:$K$146,2,MATCH(Financing!DW1,'Model Assumptions'!$F$145:$K$145,0)),0)</f>
        <v>0</v>
      </c>
      <c r="DX8" s="40">
        <f>+IFERROR(INDEX('Model Assumptions'!$F$145:$K$146,2,MATCH(Financing!DX1,'Model Assumptions'!$F$145:$K$145,0)),0)</f>
        <v>0</v>
      </c>
      <c r="DY8" s="40">
        <f>+IFERROR(INDEX('Model Assumptions'!$F$145:$K$146,2,MATCH(Financing!DY1,'Model Assumptions'!$F$145:$K$145,0)),0)</f>
        <v>0</v>
      </c>
    </row>
    <row r="9" spans="1:129" s="41" customFormat="1">
      <c r="A9" s="39"/>
      <c r="B9" s="39"/>
      <c r="C9" s="42"/>
      <c r="D9" s="42"/>
      <c r="E9" s="478"/>
      <c r="F9" s="123"/>
      <c r="G9" s="123"/>
      <c r="H9" s="123"/>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row>
    <row r="10" spans="1:129">
      <c r="A10" s="28"/>
      <c r="B10" s="1" t="s">
        <v>25</v>
      </c>
      <c r="C10" s="28"/>
      <c r="D10" s="28" t="s">
        <v>384</v>
      </c>
      <c r="E10" s="479"/>
      <c r="F10" s="132"/>
      <c r="G10" s="132"/>
      <c r="H10" s="132"/>
      <c r="I10" s="45"/>
      <c r="J10" s="3">
        <f>J33+J48+J63+J78+J93+J108+J123+J138+J153+J168</f>
        <v>10000000</v>
      </c>
      <c r="K10" s="3">
        <f t="shared" ref="K10:BV10" si="0">K33+K48+K63+K78+K93+K108+K123+K138+K153+K168</f>
        <v>0</v>
      </c>
      <c r="L10" s="3">
        <f t="shared" si="0"/>
        <v>0</v>
      </c>
      <c r="M10" s="3">
        <f t="shared" si="0"/>
        <v>0</v>
      </c>
      <c r="N10" s="3">
        <f t="shared" si="0"/>
        <v>0</v>
      </c>
      <c r="O10" s="3">
        <f t="shared" si="0"/>
        <v>0</v>
      </c>
      <c r="P10" s="3">
        <f t="shared" si="0"/>
        <v>0</v>
      </c>
      <c r="Q10" s="3">
        <f t="shared" si="0"/>
        <v>0</v>
      </c>
      <c r="R10" s="3">
        <f t="shared" si="0"/>
        <v>0</v>
      </c>
      <c r="S10" s="3">
        <f t="shared" si="0"/>
        <v>0</v>
      </c>
      <c r="T10" s="3">
        <f t="shared" si="0"/>
        <v>0</v>
      </c>
      <c r="U10" s="3">
        <f t="shared" si="0"/>
        <v>0</v>
      </c>
      <c r="V10" s="3">
        <f t="shared" si="0"/>
        <v>0</v>
      </c>
      <c r="W10" s="3">
        <f t="shared" si="0"/>
        <v>0</v>
      </c>
      <c r="X10" s="3">
        <f t="shared" si="0"/>
        <v>0</v>
      </c>
      <c r="Y10" s="3">
        <f t="shared" si="0"/>
        <v>0</v>
      </c>
      <c r="Z10" s="3">
        <f t="shared" si="0"/>
        <v>0</v>
      </c>
      <c r="AA10" s="3">
        <f t="shared" si="0"/>
        <v>0</v>
      </c>
      <c r="AB10" s="3">
        <f t="shared" si="0"/>
        <v>0</v>
      </c>
      <c r="AC10" s="3">
        <f t="shared" si="0"/>
        <v>0</v>
      </c>
      <c r="AD10" s="3">
        <f t="shared" si="0"/>
        <v>0</v>
      </c>
      <c r="AE10" s="3">
        <f t="shared" si="0"/>
        <v>0</v>
      </c>
      <c r="AF10" s="3">
        <f t="shared" si="0"/>
        <v>0</v>
      </c>
      <c r="AG10" s="3">
        <f t="shared" si="0"/>
        <v>0</v>
      </c>
      <c r="AH10" s="3">
        <f t="shared" si="0"/>
        <v>25000000</v>
      </c>
      <c r="AI10" s="3">
        <f t="shared" si="0"/>
        <v>0</v>
      </c>
      <c r="AJ10" s="3">
        <f t="shared" si="0"/>
        <v>0</v>
      </c>
      <c r="AK10" s="3">
        <f t="shared" si="0"/>
        <v>0</v>
      </c>
      <c r="AL10" s="3">
        <f t="shared" si="0"/>
        <v>0</v>
      </c>
      <c r="AM10" s="3">
        <f t="shared" si="0"/>
        <v>0</v>
      </c>
      <c r="AN10" s="3">
        <f t="shared" si="0"/>
        <v>0</v>
      </c>
      <c r="AO10" s="3">
        <f t="shared" si="0"/>
        <v>0</v>
      </c>
      <c r="AP10" s="3">
        <f t="shared" si="0"/>
        <v>0</v>
      </c>
      <c r="AQ10" s="3">
        <f t="shared" si="0"/>
        <v>0</v>
      </c>
      <c r="AR10" s="3">
        <f t="shared" si="0"/>
        <v>0</v>
      </c>
      <c r="AS10" s="3">
        <f t="shared" si="0"/>
        <v>0</v>
      </c>
      <c r="AT10" s="3">
        <f t="shared" si="0"/>
        <v>0</v>
      </c>
      <c r="AU10" s="3">
        <f t="shared" si="0"/>
        <v>0</v>
      </c>
      <c r="AV10" s="3">
        <f t="shared" si="0"/>
        <v>0</v>
      </c>
      <c r="AW10" s="3">
        <f t="shared" si="0"/>
        <v>0</v>
      </c>
      <c r="AX10" s="3">
        <f t="shared" si="0"/>
        <v>0</v>
      </c>
      <c r="AY10" s="3">
        <f t="shared" si="0"/>
        <v>0</v>
      </c>
      <c r="AZ10" s="3">
        <f t="shared" si="0"/>
        <v>0</v>
      </c>
      <c r="BA10" s="3">
        <f t="shared" si="0"/>
        <v>0</v>
      </c>
      <c r="BB10" s="3">
        <f t="shared" si="0"/>
        <v>0</v>
      </c>
      <c r="BC10" s="3">
        <f t="shared" si="0"/>
        <v>0</v>
      </c>
      <c r="BD10" s="3">
        <f t="shared" si="0"/>
        <v>0</v>
      </c>
      <c r="BE10" s="3">
        <f t="shared" si="0"/>
        <v>0</v>
      </c>
      <c r="BF10" s="3">
        <f t="shared" si="0"/>
        <v>12000000</v>
      </c>
      <c r="BG10" s="3">
        <f t="shared" si="0"/>
        <v>0</v>
      </c>
      <c r="BH10" s="3">
        <f t="shared" si="0"/>
        <v>0</v>
      </c>
      <c r="BI10" s="3">
        <f t="shared" si="0"/>
        <v>0</v>
      </c>
      <c r="BJ10" s="3">
        <f t="shared" si="0"/>
        <v>0</v>
      </c>
      <c r="BK10" s="3">
        <f t="shared" si="0"/>
        <v>0</v>
      </c>
      <c r="BL10" s="3">
        <f t="shared" si="0"/>
        <v>0</v>
      </c>
      <c r="BM10" s="3">
        <f t="shared" si="0"/>
        <v>0</v>
      </c>
      <c r="BN10" s="3">
        <f t="shared" si="0"/>
        <v>0</v>
      </c>
      <c r="BO10" s="3">
        <f t="shared" si="0"/>
        <v>0</v>
      </c>
      <c r="BP10" s="3">
        <f t="shared" si="0"/>
        <v>0</v>
      </c>
      <c r="BQ10" s="3">
        <f t="shared" si="0"/>
        <v>0</v>
      </c>
      <c r="BR10" s="3">
        <f t="shared" si="0"/>
        <v>10000000</v>
      </c>
      <c r="BS10" s="3">
        <f t="shared" si="0"/>
        <v>0</v>
      </c>
      <c r="BT10" s="3">
        <f t="shared" si="0"/>
        <v>0</v>
      </c>
      <c r="BU10" s="3">
        <f t="shared" si="0"/>
        <v>0</v>
      </c>
      <c r="BV10" s="3">
        <f t="shared" si="0"/>
        <v>0</v>
      </c>
      <c r="BW10" s="3">
        <f t="shared" ref="BW10:CC10" si="1">BW33+BW48+BW63+BW78+BW93+BW108+BW123+BW138+BW153+BW168</f>
        <v>0</v>
      </c>
      <c r="BX10" s="3">
        <f t="shared" si="1"/>
        <v>0</v>
      </c>
      <c r="BY10" s="3">
        <f t="shared" si="1"/>
        <v>0</v>
      </c>
      <c r="BZ10" s="3">
        <f t="shared" si="1"/>
        <v>0</v>
      </c>
      <c r="CA10" s="3">
        <f t="shared" si="1"/>
        <v>0</v>
      </c>
      <c r="CB10" s="3">
        <f t="shared" si="1"/>
        <v>0</v>
      </c>
      <c r="CC10" s="3">
        <f t="shared" si="1"/>
        <v>0</v>
      </c>
      <c r="CD10" s="3">
        <f t="shared" ref="CD10:DY10" si="2">CD33+CD48+CD63+CD78+CD93+CD108+CD123+CD138+CD153+CD168</f>
        <v>10000000</v>
      </c>
      <c r="CE10" s="3">
        <f t="shared" si="2"/>
        <v>0</v>
      </c>
      <c r="CF10" s="3">
        <f t="shared" si="2"/>
        <v>0</v>
      </c>
      <c r="CG10" s="3">
        <f t="shared" si="2"/>
        <v>0</v>
      </c>
      <c r="CH10" s="3">
        <f t="shared" si="2"/>
        <v>0</v>
      </c>
      <c r="CI10" s="3">
        <f t="shared" si="2"/>
        <v>0</v>
      </c>
      <c r="CJ10" s="3">
        <f t="shared" si="2"/>
        <v>0</v>
      </c>
      <c r="CK10" s="3">
        <f t="shared" si="2"/>
        <v>0</v>
      </c>
      <c r="CL10" s="3">
        <f t="shared" si="2"/>
        <v>0</v>
      </c>
      <c r="CM10" s="3">
        <f t="shared" si="2"/>
        <v>0</v>
      </c>
      <c r="CN10" s="3">
        <f t="shared" si="2"/>
        <v>0</v>
      </c>
      <c r="CO10" s="3">
        <f t="shared" si="2"/>
        <v>0</v>
      </c>
      <c r="CP10" s="3">
        <f t="shared" si="2"/>
        <v>10000000</v>
      </c>
      <c r="CQ10" s="3">
        <f t="shared" si="2"/>
        <v>0</v>
      </c>
      <c r="CR10" s="3">
        <f t="shared" si="2"/>
        <v>0</v>
      </c>
      <c r="CS10" s="3">
        <f t="shared" si="2"/>
        <v>0</v>
      </c>
      <c r="CT10" s="3">
        <f t="shared" si="2"/>
        <v>0</v>
      </c>
      <c r="CU10" s="3">
        <f t="shared" si="2"/>
        <v>0</v>
      </c>
      <c r="CV10" s="3">
        <f t="shared" si="2"/>
        <v>0</v>
      </c>
      <c r="CW10" s="3">
        <f t="shared" si="2"/>
        <v>0</v>
      </c>
      <c r="CX10" s="3">
        <f t="shared" si="2"/>
        <v>0</v>
      </c>
      <c r="CY10" s="3">
        <f t="shared" si="2"/>
        <v>0</v>
      </c>
      <c r="CZ10" s="3">
        <f t="shared" si="2"/>
        <v>0</v>
      </c>
      <c r="DA10" s="3">
        <f t="shared" si="2"/>
        <v>0</v>
      </c>
      <c r="DB10" s="3">
        <f t="shared" si="2"/>
        <v>10000000</v>
      </c>
      <c r="DC10" s="3">
        <f t="shared" si="2"/>
        <v>0</v>
      </c>
      <c r="DD10" s="3">
        <f t="shared" si="2"/>
        <v>0</v>
      </c>
      <c r="DE10" s="3">
        <f t="shared" si="2"/>
        <v>0</v>
      </c>
      <c r="DF10" s="3">
        <f t="shared" si="2"/>
        <v>0</v>
      </c>
      <c r="DG10" s="3">
        <f t="shared" si="2"/>
        <v>0</v>
      </c>
      <c r="DH10" s="3">
        <f t="shared" si="2"/>
        <v>0</v>
      </c>
      <c r="DI10" s="3">
        <f t="shared" si="2"/>
        <v>0</v>
      </c>
      <c r="DJ10" s="3">
        <f t="shared" si="2"/>
        <v>0</v>
      </c>
      <c r="DK10" s="3">
        <f t="shared" si="2"/>
        <v>0</v>
      </c>
      <c r="DL10" s="3">
        <f t="shared" si="2"/>
        <v>0</v>
      </c>
      <c r="DM10" s="3">
        <f t="shared" si="2"/>
        <v>0</v>
      </c>
      <c r="DN10" s="3">
        <f t="shared" si="2"/>
        <v>13000000</v>
      </c>
      <c r="DO10" s="3">
        <f t="shared" si="2"/>
        <v>0</v>
      </c>
      <c r="DP10" s="3">
        <f t="shared" si="2"/>
        <v>0</v>
      </c>
      <c r="DQ10" s="3">
        <f t="shared" si="2"/>
        <v>0</v>
      </c>
      <c r="DR10" s="3">
        <f t="shared" si="2"/>
        <v>0</v>
      </c>
      <c r="DS10" s="3">
        <f t="shared" si="2"/>
        <v>0</v>
      </c>
      <c r="DT10" s="3">
        <f t="shared" si="2"/>
        <v>0</v>
      </c>
      <c r="DU10" s="3">
        <f t="shared" si="2"/>
        <v>0</v>
      </c>
      <c r="DV10" s="3">
        <f t="shared" si="2"/>
        <v>0</v>
      </c>
      <c r="DW10" s="3">
        <f t="shared" si="2"/>
        <v>0</v>
      </c>
      <c r="DX10" s="3">
        <f t="shared" si="2"/>
        <v>0</v>
      </c>
      <c r="DY10" s="3">
        <f t="shared" si="2"/>
        <v>0</v>
      </c>
    </row>
    <row r="11" spans="1:129">
      <c r="A11" s="28"/>
      <c r="B11" s="1"/>
      <c r="C11" s="28"/>
      <c r="D11" s="28" t="s">
        <v>385</v>
      </c>
      <c r="E11" s="479"/>
      <c r="F11" s="132"/>
      <c r="G11" s="132"/>
      <c r="H11" s="132"/>
      <c r="I11" s="28"/>
      <c r="J11" s="3">
        <f>+-(J38+J53+J68+J83+J98+J113+J128+J143+J158+J173)</f>
        <v>0</v>
      </c>
      <c r="K11" s="3">
        <f t="shared" ref="K11:BV11" si="3">+-(K38+K53+K68+K83+K98+K113+K128+K143+K158+K173)</f>
        <v>0</v>
      </c>
      <c r="L11" s="3">
        <f t="shared" si="3"/>
        <v>0</v>
      </c>
      <c r="M11" s="3">
        <f t="shared" si="3"/>
        <v>0</v>
      </c>
      <c r="N11" s="3">
        <f t="shared" si="3"/>
        <v>0</v>
      </c>
      <c r="O11" s="3">
        <f t="shared" si="3"/>
        <v>0</v>
      </c>
      <c r="P11" s="3">
        <f t="shared" si="3"/>
        <v>0</v>
      </c>
      <c r="Q11" s="3">
        <f t="shared" si="3"/>
        <v>0</v>
      </c>
      <c r="R11" s="3">
        <f t="shared" si="3"/>
        <v>0</v>
      </c>
      <c r="S11" s="3">
        <f t="shared" si="3"/>
        <v>0</v>
      </c>
      <c r="T11" s="3">
        <f t="shared" si="3"/>
        <v>0</v>
      </c>
      <c r="U11" s="3">
        <f t="shared" si="3"/>
        <v>0</v>
      </c>
      <c r="V11" s="3">
        <f t="shared" si="3"/>
        <v>-416666.66666666663</v>
      </c>
      <c r="W11" s="3">
        <f t="shared" si="3"/>
        <v>-416666.66666666663</v>
      </c>
      <c r="X11" s="3">
        <f t="shared" si="3"/>
        <v>-416666.66666666663</v>
      </c>
      <c r="Y11" s="3">
        <f t="shared" si="3"/>
        <v>-416666.66666666663</v>
      </c>
      <c r="Z11" s="3">
        <f t="shared" si="3"/>
        <v>-416666.66666666663</v>
      </c>
      <c r="AA11" s="3">
        <f t="shared" si="3"/>
        <v>-416666.66666666663</v>
      </c>
      <c r="AB11" s="3">
        <f t="shared" si="3"/>
        <v>-416666.66666666663</v>
      </c>
      <c r="AC11" s="3">
        <f t="shared" si="3"/>
        <v>-416666.66666666663</v>
      </c>
      <c r="AD11" s="3">
        <f t="shared" si="3"/>
        <v>-416666.66666666663</v>
      </c>
      <c r="AE11" s="3">
        <f t="shared" si="3"/>
        <v>-416666.66666666663</v>
      </c>
      <c r="AF11" s="3">
        <f t="shared" si="3"/>
        <v>-416666.66666666663</v>
      </c>
      <c r="AG11" s="3">
        <f t="shared" si="3"/>
        <v>-416666.66666666663</v>
      </c>
      <c r="AH11" s="3">
        <f t="shared" si="3"/>
        <v>-416666.66666666663</v>
      </c>
      <c r="AI11" s="3">
        <f t="shared" si="3"/>
        <v>-416666.66666666663</v>
      </c>
      <c r="AJ11" s="3">
        <f t="shared" si="3"/>
        <v>-416666.66666666663</v>
      </c>
      <c r="AK11" s="3">
        <f t="shared" si="3"/>
        <v>-416666.66666666663</v>
      </c>
      <c r="AL11" s="3">
        <f t="shared" si="3"/>
        <v>-416666.66666666663</v>
      </c>
      <c r="AM11" s="3">
        <f t="shared" si="3"/>
        <v>-416666.66666666663</v>
      </c>
      <c r="AN11" s="3">
        <f t="shared" si="3"/>
        <v>-879629.62962962966</v>
      </c>
      <c r="AO11" s="3">
        <f t="shared" si="3"/>
        <v>-879629.62962962966</v>
      </c>
      <c r="AP11" s="3">
        <f t="shared" si="3"/>
        <v>-879629.62962962966</v>
      </c>
      <c r="AQ11" s="3">
        <f t="shared" si="3"/>
        <v>-879629.62962962966</v>
      </c>
      <c r="AR11" s="3">
        <f t="shared" si="3"/>
        <v>-879629.62962962966</v>
      </c>
      <c r="AS11" s="3">
        <f t="shared" si="3"/>
        <v>-879629.62962962966</v>
      </c>
      <c r="AT11" s="3">
        <f t="shared" si="3"/>
        <v>-462962.96296296298</v>
      </c>
      <c r="AU11" s="3">
        <f t="shared" si="3"/>
        <v>-462962.96296296298</v>
      </c>
      <c r="AV11" s="3">
        <f t="shared" si="3"/>
        <v>-462962.96296296298</v>
      </c>
      <c r="AW11" s="3">
        <f t="shared" si="3"/>
        <v>-462962.96296296298</v>
      </c>
      <c r="AX11" s="3">
        <f t="shared" si="3"/>
        <v>-462962.96296296298</v>
      </c>
      <c r="AY11" s="3">
        <f t="shared" si="3"/>
        <v>-462962.96296296298</v>
      </c>
      <c r="AZ11" s="3">
        <f t="shared" si="3"/>
        <v>-462962.96296296298</v>
      </c>
      <c r="BA11" s="3">
        <f t="shared" si="3"/>
        <v>-462962.96296296298</v>
      </c>
      <c r="BB11" s="3">
        <f t="shared" si="3"/>
        <v>-462962.96296296298</v>
      </c>
      <c r="BC11" s="3">
        <f t="shared" si="3"/>
        <v>-462962.96296296298</v>
      </c>
      <c r="BD11" s="3">
        <f t="shared" si="3"/>
        <v>-462962.96296296298</v>
      </c>
      <c r="BE11" s="3">
        <f t="shared" si="3"/>
        <v>-462962.96296296298</v>
      </c>
      <c r="BF11" s="3">
        <f t="shared" si="3"/>
        <v>-462962.96296296298</v>
      </c>
      <c r="BG11" s="3">
        <f t="shared" si="3"/>
        <v>-462962.96296296298</v>
      </c>
      <c r="BH11" s="3">
        <f t="shared" si="3"/>
        <v>-462962.96296296298</v>
      </c>
      <c r="BI11" s="3">
        <f t="shared" si="3"/>
        <v>-462962.96296296298</v>
      </c>
      <c r="BJ11" s="3">
        <f t="shared" si="3"/>
        <v>-462962.96296296298</v>
      </c>
      <c r="BK11" s="3">
        <f t="shared" si="3"/>
        <v>-462962.96296296298</v>
      </c>
      <c r="BL11" s="3">
        <f t="shared" si="3"/>
        <v>-685185.18518518517</v>
      </c>
      <c r="BM11" s="3">
        <f t="shared" si="3"/>
        <v>-685185.18518518517</v>
      </c>
      <c r="BN11" s="3">
        <f t="shared" si="3"/>
        <v>-685185.18518518517</v>
      </c>
      <c r="BO11" s="3">
        <f t="shared" si="3"/>
        <v>-685185.18518518517</v>
      </c>
      <c r="BP11" s="3">
        <f t="shared" si="3"/>
        <v>-685185.18518518517</v>
      </c>
      <c r="BQ11" s="3">
        <f t="shared" si="3"/>
        <v>-685185.18518518517</v>
      </c>
      <c r="BR11" s="3">
        <f t="shared" si="3"/>
        <v>-685185.18518518517</v>
      </c>
      <c r="BS11" s="3">
        <f t="shared" si="3"/>
        <v>-685185.18518518517</v>
      </c>
      <c r="BT11" s="3">
        <f t="shared" si="3"/>
        <v>-685185.18518518517</v>
      </c>
      <c r="BU11" s="3">
        <f t="shared" si="3"/>
        <v>-685185.18518518517</v>
      </c>
      <c r="BV11" s="3">
        <f t="shared" si="3"/>
        <v>-685185.18518518517</v>
      </c>
      <c r="BW11" s="3">
        <f t="shared" ref="BW11:CC11" si="4">+-(BW38+BW53+BW68+BW83+BW98+BW113+BW128+BW143+BW158+BW173)</f>
        <v>-685185.18518518517</v>
      </c>
      <c r="BX11" s="3">
        <f t="shared" si="4"/>
        <v>-870370.37037037034</v>
      </c>
      <c r="BY11" s="3">
        <f t="shared" si="4"/>
        <v>-870370.37037037034</v>
      </c>
      <c r="BZ11" s="3">
        <f t="shared" si="4"/>
        <v>-870370.37037037034</v>
      </c>
      <c r="CA11" s="3">
        <f t="shared" si="4"/>
        <v>-870370.37037037034</v>
      </c>
      <c r="CB11" s="3">
        <f t="shared" si="4"/>
        <v>-870370.37037037034</v>
      </c>
      <c r="CC11" s="3">
        <f t="shared" si="4"/>
        <v>-870370.37037037034</v>
      </c>
      <c r="CD11" s="3">
        <f t="shared" ref="CD11:DY11" si="5">+-(CD38+CD53+CD68+CD83+CD98+CD113+CD128+CD143+CD158+CD173)</f>
        <v>-870370.37037037034</v>
      </c>
      <c r="CE11" s="3">
        <f t="shared" si="5"/>
        <v>-870370.37037037034</v>
      </c>
      <c r="CF11" s="3">
        <f t="shared" si="5"/>
        <v>-870370.37037037034</v>
      </c>
      <c r="CG11" s="3">
        <f t="shared" si="5"/>
        <v>-870370.37037037034</v>
      </c>
      <c r="CH11" s="3">
        <f t="shared" si="5"/>
        <v>-870370.37037037034</v>
      </c>
      <c r="CI11" s="3">
        <f t="shared" si="5"/>
        <v>-870370.37037037034</v>
      </c>
      <c r="CJ11" s="3">
        <f t="shared" si="5"/>
        <v>-1055555.5555555555</v>
      </c>
      <c r="CK11" s="3">
        <f t="shared" si="5"/>
        <v>-1055555.5555555555</v>
      </c>
      <c r="CL11" s="3">
        <f t="shared" si="5"/>
        <v>-1055555.5555555555</v>
      </c>
      <c r="CM11" s="3">
        <f t="shared" si="5"/>
        <v>-1055555.5555555555</v>
      </c>
      <c r="CN11" s="3">
        <f t="shared" si="5"/>
        <v>-1055555.5555555555</v>
      </c>
      <c r="CO11" s="3">
        <f t="shared" si="5"/>
        <v>-1055555.5555555555</v>
      </c>
      <c r="CP11" s="3">
        <f t="shared" si="5"/>
        <v>-592592.59259259258</v>
      </c>
      <c r="CQ11" s="3">
        <f t="shared" si="5"/>
        <v>-592592.59259259258</v>
      </c>
      <c r="CR11" s="3">
        <f t="shared" si="5"/>
        <v>-592592.59259259258</v>
      </c>
      <c r="CS11" s="3">
        <f t="shared" si="5"/>
        <v>-592592.59259259258</v>
      </c>
      <c r="CT11" s="3">
        <f t="shared" si="5"/>
        <v>-592592.59259259258</v>
      </c>
      <c r="CU11" s="3">
        <f t="shared" si="5"/>
        <v>-592592.59259259258</v>
      </c>
      <c r="CV11" s="3">
        <f t="shared" si="5"/>
        <v>-777777.77777777775</v>
      </c>
      <c r="CW11" s="3">
        <f t="shared" si="5"/>
        <v>-777777.77777777775</v>
      </c>
      <c r="CX11" s="3">
        <f t="shared" si="5"/>
        <v>-777777.77777777775</v>
      </c>
      <c r="CY11" s="3">
        <f t="shared" si="5"/>
        <v>-777777.77777777775</v>
      </c>
      <c r="CZ11" s="3">
        <f t="shared" si="5"/>
        <v>-777777.77777777775</v>
      </c>
      <c r="DA11" s="3">
        <f t="shared" si="5"/>
        <v>-777777.77777777775</v>
      </c>
      <c r="DB11" s="3">
        <f t="shared" si="5"/>
        <v>-777777.77777777775</v>
      </c>
      <c r="DC11" s="3">
        <f t="shared" si="5"/>
        <v>-777777.77777777775</v>
      </c>
      <c r="DD11" s="3">
        <f t="shared" si="5"/>
        <v>-777777.77777777775</v>
      </c>
      <c r="DE11" s="3">
        <f t="shared" si="5"/>
        <v>-777777.77777777775</v>
      </c>
      <c r="DF11" s="3">
        <f t="shared" si="5"/>
        <v>-777777.77777777775</v>
      </c>
      <c r="DG11" s="3">
        <f t="shared" si="5"/>
        <v>-777777.77777777775</v>
      </c>
      <c r="DH11" s="3">
        <f t="shared" si="5"/>
        <v>-962962.96296296292</v>
      </c>
      <c r="DI11" s="3">
        <f t="shared" si="5"/>
        <v>-962962.96296296292</v>
      </c>
      <c r="DJ11" s="3">
        <f t="shared" si="5"/>
        <v>-962962.96296296292</v>
      </c>
      <c r="DK11" s="3">
        <f t="shared" si="5"/>
        <v>-962962.96296296292</v>
      </c>
      <c r="DL11" s="3">
        <f t="shared" si="5"/>
        <v>-962962.96296296292</v>
      </c>
      <c r="DM11" s="3">
        <f t="shared" si="5"/>
        <v>-962962.96296296292</v>
      </c>
      <c r="DN11" s="3">
        <f t="shared" si="5"/>
        <v>-740740.74074074067</v>
      </c>
      <c r="DO11" s="3">
        <f t="shared" si="5"/>
        <v>-740740.74074074067</v>
      </c>
      <c r="DP11" s="3">
        <f t="shared" si="5"/>
        <v>-740740.74074074067</v>
      </c>
      <c r="DQ11" s="3">
        <f t="shared" si="5"/>
        <v>-740740.74074074067</v>
      </c>
      <c r="DR11" s="3">
        <f t="shared" si="5"/>
        <v>-740740.74074074067</v>
      </c>
      <c r="DS11" s="3">
        <f t="shared" si="5"/>
        <v>-740740.74074074067</v>
      </c>
      <c r="DT11" s="3">
        <f t="shared" si="5"/>
        <v>-981481.48148148134</v>
      </c>
      <c r="DU11" s="3">
        <f t="shared" si="5"/>
        <v>-981481.48148148134</v>
      </c>
      <c r="DV11" s="3">
        <f t="shared" si="5"/>
        <v>-981481.48148148134</v>
      </c>
      <c r="DW11" s="3">
        <f t="shared" si="5"/>
        <v>-981481.48148148134</v>
      </c>
      <c r="DX11" s="3">
        <f t="shared" si="5"/>
        <v>-981481.48148148134</v>
      </c>
      <c r="DY11" s="3">
        <f t="shared" si="5"/>
        <v>-981481.48148148134</v>
      </c>
    </row>
    <row r="12" spans="1:129">
      <c r="A12" s="28"/>
      <c r="B12" s="28"/>
      <c r="C12" s="28"/>
      <c r="D12" s="28" t="s">
        <v>639</v>
      </c>
      <c r="E12" s="479"/>
      <c r="F12" s="132"/>
      <c r="G12" s="132"/>
      <c r="H12" s="132"/>
      <c r="I12" s="28"/>
      <c r="J12" s="3">
        <f>-(J40+J55+J70+J85+J100+J115+J130+J145+J160+J175+J43+J58+J73+J88+J103+J118+J133+J148+J163+J178)</f>
        <v>-204166.66666666669</v>
      </c>
      <c r="K12" s="3">
        <f t="shared" ref="K12:BV12" si="6">-(K40+K55+K70+K85+K100+K115+K130+K145+K160+K175+K43+K58+K73+K88+K103+K118+K133+K148+K163+K178)</f>
        <v>-104166.66666666667</v>
      </c>
      <c r="L12" s="3">
        <f t="shared" si="6"/>
        <v>-104166.66666666667</v>
      </c>
      <c r="M12" s="3">
        <f t="shared" si="6"/>
        <v>-104166.66666666667</v>
      </c>
      <c r="N12" s="3">
        <f t="shared" si="6"/>
        <v>-104166.66666666667</v>
      </c>
      <c r="O12" s="3">
        <f t="shared" si="6"/>
        <v>-104166.66666666667</v>
      </c>
      <c r="P12" s="3">
        <f t="shared" si="6"/>
        <v>-104166.66666666667</v>
      </c>
      <c r="Q12" s="3">
        <f t="shared" si="6"/>
        <v>-104166.66666666667</v>
      </c>
      <c r="R12" s="3">
        <f t="shared" si="6"/>
        <v>-104166.66666666667</v>
      </c>
      <c r="S12" s="3">
        <f t="shared" si="6"/>
        <v>-104166.66666666667</v>
      </c>
      <c r="T12" s="3">
        <f t="shared" si="6"/>
        <v>-104166.66666666667</v>
      </c>
      <c r="U12" s="3">
        <f t="shared" si="6"/>
        <v>-104166.66666666667</v>
      </c>
      <c r="V12" s="3">
        <f t="shared" si="6"/>
        <v>-99826.388888888891</v>
      </c>
      <c r="W12" s="3">
        <f t="shared" si="6"/>
        <v>-95486.111111111124</v>
      </c>
      <c r="X12" s="3">
        <f t="shared" si="6"/>
        <v>-91145.833333333358</v>
      </c>
      <c r="Y12" s="3">
        <f t="shared" si="6"/>
        <v>-86805.555555555577</v>
      </c>
      <c r="Z12" s="3">
        <f t="shared" si="6"/>
        <v>-82465.277777777796</v>
      </c>
      <c r="AA12" s="3">
        <f t="shared" si="6"/>
        <v>-78125.000000000015</v>
      </c>
      <c r="AB12" s="3">
        <f t="shared" si="6"/>
        <v>-73784.722222222234</v>
      </c>
      <c r="AC12" s="3">
        <f t="shared" si="6"/>
        <v>-69444.444444444453</v>
      </c>
      <c r="AD12" s="3">
        <f t="shared" si="6"/>
        <v>-65104.166666666664</v>
      </c>
      <c r="AE12" s="3">
        <f t="shared" si="6"/>
        <v>-60763.888888888883</v>
      </c>
      <c r="AF12" s="3">
        <f t="shared" si="6"/>
        <v>-56423.611111111102</v>
      </c>
      <c r="AG12" s="3">
        <f t="shared" si="6"/>
        <v>-52083.333333333321</v>
      </c>
      <c r="AH12" s="3">
        <f t="shared" si="6"/>
        <v>-756076.38888888888</v>
      </c>
      <c r="AI12" s="3">
        <f t="shared" si="6"/>
        <v>-251736.11111111112</v>
      </c>
      <c r="AJ12" s="3">
        <f t="shared" si="6"/>
        <v>-247395.83333333334</v>
      </c>
      <c r="AK12" s="3">
        <f t="shared" si="6"/>
        <v>-243055.55555555556</v>
      </c>
      <c r="AL12" s="3">
        <f t="shared" si="6"/>
        <v>-238715.27777777778</v>
      </c>
      <c r="AM12" s="3">
        <f t="shared" si="6"/>
        <v>-234375</v>
      </c>
      <c r="AN12" s="3">
        <f t="shared" si="6"/>
        <v>-226176.69753086418</v>
      </c>
      <c r="AO12" s="3">
        <f t="shared" si="6"/>
        <v>-217978.39506172843</v>
      </c>
      <c r="AP12" s="3">
        <f t="shared" si="6"/>
        <v>-209780.09259259264</v>
      </c>
      <c r="AQ12" s="3">
        <f t="shared" si="6"/>
        <v>-201581.7901234568</v>
      </c>
      <c r="AR12" s="3">
        <f t="shared" si="6"/>
        <v>-193383.48765432101</v>
      </c>
      <c r="AS12" s="3">
        <f t="shared" si="6"/>
        <v>-185185.1851851852</v>
      </c>
      <c r="AT12" s="3">
        <f t="shared" si="6"/>
        <v>-181327.16049382719</v>
      </c>
      <c r="AU12" s="3">
        <f t="shared" si="6"/>
        <v>-177469.13580246919</v>
      </c>
      <c r="AV12" s="3">
        <f t="shared" si="6"/>
        <v>-173611.11111111115</v>
      </c>
      <c r="AW12" s="3">
        <f t="shared" si="6"/>
        <v>-169753.08641975312</v>
      </c>
      <c r="AX12" s="3">
        <f t="shared" si="6"/>
        <v>-165895.06172839509</v>
      </c>
      <c r="AY12" s="3">
        <f t="shared" si="6"/>
        <v>-162037.03703703708</v>
      </c>
      <c r="AZ12" s="3">
        <f t="shared" si="6"/>
        <v>-158179.01234567905</v>
      </c>
      <c r="BA12" s="3">
        <f t="shared" si="6"/>
        <v>-154320.98765432104</v>
      </c>
      <c r="BB12" s="3">
        <f t="shared" si="6"/>
        <v>-150462.96296296301</v>
      </c>
      <c r="BC12" s="3">
        <f t="shared" si="6"/>
        <v>-146604.93827160497</v>
      </c>
      <c r="BD12" s="3">
        <f t="shared" si="6"/>
        <v>-142746.91358024697</v>
      </c>
      <c r="BE12" s="3">
        <f t="shared" si="6"/>
        <v>-138888.88888888893</v>
      </c>
      <c r="BF12" s="3">
        <f t="shared" si="6"/>
        <v>-475030.8641975309</v>
      </c>
      <c r="BG12" s="3">
        <f t="shared" si="6"/>
        <v>-231172.8395061729</v>
      </c>
      <c r="BH12" s="3">
        <f t="shared" si="6"/>
        <v>-227314.81481481489</v>
      </c>
      <c r="BI12" s="3">
        <f t="shared" si="6"/>
        <v>-223456.79012345686</v>
      </c>
      <c r="BJ12" s="3">
        <f t="shared" si="6"/>
        <v>-219598.76543209882</v>
      </c>
      <c r="BK12" s="3">
        <f t="shared" si="6"/>
        <v>-215740.74074074079</v>
      </c>
      <c r="BL12" s="3">
        <f t="shared" si="6"/>
        <v>-210030.8641975309</v>
      </c>
      <c r="BM12" s="3">
        <f t="shared" si="6"/>
        <v>-204320.98765432107</v>
      </c>
      <c r="BN12" s="3">
        <f t="shared" si="6"/>
        <v>-198611.11111111118</v>
      </c>
      <c r="BO12" s="3">
        <f t="shared" si="6"/>
        <v>-192901.23456790129</v>
      </c>
      <c r="BP12" s="3">
        <f t="shared" si="6"/>
        <v>-187191.35802469144</v>
      </c>
      <c r="BQ12" s="3">
        <f t="shared" si="6"/>
        <v>-181481.48148148155</v>
      </c>
      <c r="BR12" s="3">
        <f t="shared" si="6"/>
        <v>-459104.938271605</v>
      </c>
      <c r="BS12" s="3">
        <f t="shared" si="6"/>
        <v>-253395.06172839517</v>
      </c>
      <c r="BT12" s="3">
        <f t="shared" si="6"/>
        <v>-247685.18518518528</v>
      </c>
      <c r="BU12" s="3">
        <f t="shared" si="6"/>
        <v>-241975.3086419754</v>
      </c>
      <c r="BV12" s="3">
        <f t="shared" si="6"/>
        <v>-236265.43209876551</v>
      </c>
      <c r="BW12" s="3">
        <f t="shared" ref="BW12:DY12" si="7">-(BW40+BW55+BW70+BW85+BW100+BW115+BW130+BW145+BW160+BW175+BW43+BW58+BW73+BW88+BW103+BW118+BW133+BW148+BW163+BW178)</f>
        <v>-230555.55555555568</v>
      </c>
      <c r="BX12" s="3">
        <f t="shared" si="7"/>
        <v>-223302.46913580259</v>
      </c>
      <c r="BY12" s="3">
        <f t="shared" si="7"/>
        <v>-216049.3827160495</v>
      </c>
      <c r="BZ12" s="3">
        <f t="shared" si="7"/>
        <v>-208796.29629629641</v>
      </c>
      <c r="CA12" s="3">
        <f t="shared" si="7"/>
        <v>-201543.20987654338</v>
      </c>
      <c r="CB12" s="3">
        <f t="shared" si="7"/>
        <v>-194290.12345679029</v>
      </c>
      <c r="CC12" s="3">
        <f t="shared" si="7"/>
        <v>-187037.0370370372</v>
      </c>
      <c r="CD12" s="3">
        <f t="shared" si="7"/>
        <v>-463117.28395061748</v>
      </c>
      <c r="CE12" s="3">
        <f t="shared" si="7"/>
        <v>-255864.19753086433</v>
      </c>
      <c r="CF12" s="3">
        <f t="shared" si="7"/>
        <v>-248611.1111111113</v>
      </c>
      <c r="CG12" s="3">
        <f t="shared" si="7"/>
        <v>-241358.02469135821</v>
      </c>
      <c r="CH12" s="3">
        <f t="shared" si="7"/>
        <v>-234104.93827160512</v>
      </c>
      <c r="CI12" s="3">
        <f t="shared" si="7"/>
        <v>-226851.85185185203</v>
      </c>
      <c r="CJ12" s="3">
        <f t="shared" si="7"/>
        <v>-218055.55555555574</v>
      </c>
      <c r="CK12" s="3">
        <f t="shared" si="7"/>
        <v>-209259.2592592595</v>
      </c>
      <c r="CL12" s="3">
        <f t="shared" si="7"/>
        <v>-200462.96296296321</v>
      </c>
      <c r="CM12" s="3">
        <f t="shared" si="7"/>
        <v>-191666.66666666692</v>
      </c>
      <c r="CN12" s="3">
        <f t="shared" si="7"/>
        <v>-182870.37037037063</v>
      </c>
      <c r="CO12" s="3">
        <f t="shared" si="7"/>
        <v>-174074.07407407433</v>
      </c>
      <c r="CP12" s="3">
        <f t="shared" si="7"/>
        <v>-452469.13580246939</v>
      </c>
      <c r="CQ12" s="3">
        <f t="shared" si="7"/>
        <v>-247530.86419753113</v>
      </c>
      <c r="CR12" s="3">
        <f t="shared" si="7"/>
        <v>-242592.59259259288</v>
      </c>
      <c r="CS12" s="3">
        <f t="shared" si="7"/>
        <v>-237654.32098765462</v>
      </c>
      <c r="CT12" s="3">
        <f t="shared" si="7"/>
        <v>-232716.04938271636</v>
      </c>
      <c r="CU12" s="3">
        <f t="shared" si="7"/>
        <v>-227777.7777777781</v>
      </c>
      <c r="CV12" s="3">
        <f t="shared" si="7"/>
        <v>-221296.29629629658</v>
      </c>
      <c r="CW12" s="3">
        <f t="shared" si="7"/>
        <v>-214814.81481481512</v>
      </c>
      <c r="CX12" s="3">
        <f t="shared" si="7"/>
        <v>-208333.33333333372</v>
      </c>
      <c r="CY12" s="3">
        <f t="shared" si="7"/>
        <v>-201851.8518518522</v>
      </c>
      <c r="CZ12" s="3">
        <f t="shared" si="7"/>
        <v>-195370.37037037074</v>
      </c>
      <c r="DA12" s="3">
        <f t="shared" si="7"/>
        <v>-188888.88888888928</v>
      </c>
      <c r="DB12" s="3">
        <f t="shared" si="7"/>
        <v>-465740.74074074114</v>
      </c>
      <c r="DC12" s="3">
        <f t="shared" si="7"/>
        <v>-259259.25925925968</v>
      </c>
      <c r="DD12" s="3">
        <f t="shared" si="7"/>
        <v>-252777.77777777816</v>
      </c>
      <c r="DE12" s="3">
        <f t="shared" si="7"/>
        <v>-246296.2962962967</v>
      </c>
      <c r="DF12" s="3">
        <f t="shared" si="7"/>
        <v>-239814.81481481524</v>
      </c>
      <c r="DG12" s="3">
        <f t="shared" si="7"/>
        <v>-233333.33333333378</v>
      </c>
      <c r="DH12" s="3">
        <f t="shared" si="7"/>
        <v>-225308.64197530912</v>
      </c>
      <c r="DI12" s="3">
        <f t="shared" si="7"/>
        <v>-217283.9506172844</v>
      </c>
      <c r="DJ12" s="3">
        <f t="shared" si="7"/>
        <v>-209259.25925925974</v>
      </c>
      <c r="DK12" s="3">
        <f t="shared" si="7"/>
        <v>-201234.56790123507</v>
      </c>
      <c r="DL12" s="3">
        <f t="shared" si="7"/>
        <v>-193209.87654321038</v>
      </c>
      <c r="DM12" s="3">
        <f t="shared" si="7"/>
        <v>-185185.18518518569</v>
      </c>
      <c r="DN12" s="3">
        <f t="shared" si="7"/>
        <v>-547345.6790123462</v>
      </c>
      <c r="DO12" s="3">
        <f t="shared" si="7"/>
        <v>-281172.83950617333</v>
      </c>
      <c r="DP12" s="3">
        <f t="shared" si="7"/>
        <v>-275000.00000000052</v>
      </c>
      <c r="DQ12" s="3">
        <f t="shared" si="7"/>
        <v>-268827.16049382772</v>
      </c>
      <c r="DR12" s="3">
        <f t="shared" si="7"/>
        <v>-262654.32098765485</v>
      </c>
      <c r="DS12" s="3">
        <f t="shared" si="7"/>
        <v>-256481.48148148204</v>
      </c>
      <c r="DT12" s="3">
        <f t="shared" si="7"/>
        <v>-248302.46913580305</v>
      </c>
      <c r="DU12" s="3">
        <f t="shared" si="7"/>
        <v>-240123.45679012407</v>
      </c>
      <c r="DV12" s="3">
        <f t="shared" si="7"/>
        <v>-231944.44444444508</v>
      </c>
      <c r="DW12" s="3">
        <f t="shared" si="7"/>
        <v>-223765.43209876606</v>
      </c>
      <c r="DX12" s="3">
        <f t="shared" si="7"/>
        <v>-215586.41975308704</v>
      </c>
      <c r="DY12" s="3">
        <f t="shared" si="7"/>
        <v>-207407.40740740806</v>
      </c>
    </row>
    <row r="13" spans="1:129">
      <c r="A13" s="28"/>
      <c r="B13" s="28"/>
      <c r="C13" s="28"/>
      <c r="D13" s="28" t="s">
        <v>392</v>
      </c>
      <c r="E13" s="479"/>
      <c r="F13" s="132"/>
      <c r="G13" s="132"/>
      <c r="H13" s="132"/>
      <c r="I13" s="3"/>
      <c r="J13" s="3">
        <f>(I41+I56+I71+I86+I101+I116+I131+I146+I161+I176)</f>
        <v>0</v>
      </c>
      <c r="K13" s="3">
        <f>(J41+J56+J71+J86+J101+J116+J131+J146+J161+J176)</f>
        <v>0</v>
      </c>
      <c r="L13" s="3">
        <f t="shared" ref="L13:BV13" si="8">(K41+K56+K71+K86+K101+K116+K131+K146+K161+K176)</f>
        <v>0</v>
      </c>
      <c r="M13" s="3">
        <f t="shared" si="8"/>
        <v>0</v>
      </c>
      <c r="N13" s="3">
        <f t="shared" si="8"/>
        <v>0</v>
      </c>
      <c r="O13" s="3">
        <f t="shared" si="8"/>
        <v>0</v>
      </c>
      <c r="P13" s="3">
        <f t="shared" si="8"/>
        <v>0</v>
      </c>
      <c r="Q13" s="3">
        <f t="shared" si="8"/>
        <v>0</v>
      </c>
      <c r="R13" s="3">
        <f t="shared" si="8"/>
        <v>0</v>
      </c>
      <c r="S13" s="3">
        <f t="shared" si="8"/>
        <v>0</v>
      </c>
      <c r="T13" s="3">
        <f t="shared" si="8"/>
        <v>0</v>
      </c>
      <c r="U13" s="3">
        <f t="shared" si="8"/>
        <v>0</v>
      </c>
      <c r="V13" s="3">
        <f t="shared" si="8"/>
        <v>0</v>
      </c>
      <c r="W13" s="3">
        <f t="shared" si="8"/>
        <v>0</v>
      </c>
      <c r="X13" s="3">
        <f t="shared" si="8"/>
        <v>0</v>
      </c>
      <c r="Y13" s="3">
        <f t="shared" si="8"/>
        <v>0</v>
      </c>
      <c r="Z13" s="3">
        <f t="shared" si="8"/>
        <v>0</v>
      </c>
      <c r="AA13" s="3">
        <f t="shared" si="8"/>
        <v>0</v>
      </c>
      <c r="AB13" s="3">
        <f t="shared" si="8"/>
        <v>0</v>
      </c>
      <c r="AC13" s="3">
        <f t="shared" si="8"/>
        <v>0</v>
      </c>
      <c r="AD13" s="3">
        <f t="shared" si="8"/>
        <v>0</v>
      </c>
      <c r="AE13" s="3">
        <f t="shared" si="8"/>
        <v>0</v>
      </c>
      <c r="AF13" s="3">
        <f t="shared" si="8"/>
        <v>0</v>
      </c>
      <c r="AG13" s="3">
        <f t="shared" si="8"/>
        <v>0</v>
      </c>
      <c r="AH13" s="3">
        <f t="shared" si="8"/>
        <v>0</v>
      </c>
      <c r="AI13" s="3">
        <f t="shared" si="8"/>
        <v>0</v>
      </c>
      <c r="AJ13" s="3">
        <f t="shared" si="8"/>
        <v>0</v>
      </c>
      <c r="AK13" s="3">
        <f t="shared" si="8"/>
        <v>0</v>
      </c>
      <c r="AL13" s="3">
        <f t="shared" si="8"/>
        <v>0</v>
      </c>
      <c r="AM13" s="3">
        <f t="shared" si="8"/>
        <v>0</v>
      </c>
      <c r="AN13" s="3">
        <f t="shared" si="8"/>
        <v>0</v>
      </c>
      <c r="AO13" s="3">
        <f t="shared" si="8"/>
        <v>0</v>
      </c>
      <c r="AP13" s="3">
        <f t="shared" si="8"/>
        <v>0</v>
      </c>
      <c r="AQ13" s="3">
        <f t="shared" si="8"/>
        <v>0</v>
      </c>
      <c r="AR13" s="3">
        <f t="shared" si="8"/>
        <v>0</v>
      </c>
      <c r="AS13" s="3">
        <f t="shared" si="8"/>
        <v>0</v>
      </c>
      <c r="AT13" s="3">
        <f t="shared" si="8"/>
        <v>0</v>
      </c>
      <c r="AU13" s="3">
        <f t="shared" si="8"/>
        <v>0</v>
      </c>
      <c r="AV13" s="3">
        <f t="shared" si="8"/>
        <v>0</v>
      </c>
      <c r="AW13" s="3">
        <f t="shared" si="8"/>
        <v>0</v>
      </c>
      <c r="AX13" s="3">
        <f t="shared" si="8"/>
        <v>0</v>
      </c>
      <c r="AY13" s="3">
        <f t="shared" si="8"/>
        <v>0</v>
      </c>
      <c r="AZ13" s="3">
        <f t="shared" si="8"/>
        <v>0</v>
      </c>
      <c r="BA13" s="3">
        <f t="shared" si="8"/>
        <v>0</v>
      </c>
      <c r="BB13" s="3">
        <f t="shared" si="8"/>
        <v>0</v>
      </c>
      <c r="BC13" s="3">
        <f t="shared" si="8"/>
        <v>0</v>
      </c>
      <c r="BD13" s="3">
        <f t="shared" si="8"/>
        <v>0</v>
      </c>
      <c r="BE13" s="3">
        <f t="shared" si="8"/>
        <v>0</v>
      </c>
      <c r="BF13" s="3">
        <f t="shared" si="8"/>
        <v>0</v>
      </c>
      <c r="BG13" s="3">
        <f t="shared" si="8"/>
        <v>0</v>
      </c>
      <c r="BH13" s="3">
        <f t="shared" si="8"/>
        <v>0</v>
      </c>
      <c r="BI13" s="3">
        <f t="shared" si="8"/>
        <v>0</v>
      </c>
      <c r="BJ13" s="3">
        <f t="shared" si="8"/>
        <v>0</v>
      </c>
      <c r="BK13" s="3">
        <f t="shared" si="8"/>
        <v>0</v>
      </c>
      <c r="BL13" s="3">
        <f t="shared" si="8"/>
        <v>0</v>
      </c>
      <c r="BM13" s="3">
        <f t="shared" si="8"/>
        <v>0</v>
      </c>
      <c r="BN13" s="3">
        <f t="shared" si="8"/>
        <v>0</v>
      </c>
      <c r="BO13" s="3">
        <f t="shared" si="8"/>
        <v>0</v>
      </c>
      <c r="BP13" s="3">
        <f t="shared" si="8"/>
        <v>0</v>
      </c>
      <c r="BQ13" s="3">
        <f t="shared" si="8"/>
        <v>0</v>
      </c>
      <c r="BR13" s="3">
        <f t="shared" si="8"/>
        <v>0</v>
      </c>
      <c r="BS13" s="3">
        <f t="shared" si="8"/>
        <v>0</v>
      </c>
      <c r="BT13" s="3">
        <f t="shared" si="8"/>
        <v>0</v>
      </c>
      <c r="BU13" s="3">
        <f t="shared" si="8"/>
        <v>0</v>
      </c>
      <c r="BV13" s="3">
        <f t="shared" si="8"/>
        <v>0</v>
      </c>
      <c r="BW13" s="3">
        <f t="shared" ref="BW13:CC13" si="9">(BV41+BV56+BV71+BV86+BV101+BV116+BV131+BV146+BV161+BV176)</f>
        <v>0</v>
      </c>
      <c r="BX13" s="3">
        <f t="shared" si="9"/>
        <v>0</v>
      </c>
      <c r="BY13" s="3">
        <f t="shared" si="9"/>
        <v>0</v>
      </c>
      <c r="BZ13" s="3">
        <f t="shared" si="9"/>
        <v>0</v>
      </c>
      <c r="CA13" s="3">
        <f t="shared" si="9"/>
        <v>0</v>
      </c>
      <c r="CB13" s="3">
        <f t="shared" si="9"/>
        <v>0</v>
      </c>
      <c r="CC13" s="3">
        <f t="shared" si="9"/>
        <v>0</v>
      </c>
      <c r="CD13" s="3">
        <f t="shared" ref="CD13:DY13" si="10">(CC41+CC56+CC71+CC86+CC101+CC116+CC131+CC146+CC161+CC176)</f>
        <v>0</v>
      </c>
      <c r="CE13" s="3">
        <f t="shared" si="10"/>
        <v>0</v>
      </c>
      <c r="CF13" s="3">
        <f t="shared" si="10"/>
        <v>0</v>
      </c>
      <c r="CG13" s="3">
        <f t="shared" si="10"/>
        <v>0</v>
      </c>
      <c r="CH13" s="3">
        <f t="shared" si="10"/>
        <v>0</v>
      </c>
      <c r="CI13" s="3">
        <f t="shared" si="10"/>
        <v>0</v>
      </c>
      <c r="CJ13" s="3">
        <f t="shared" si="10"/>
        <v>0</v>
      </c>
      <c r="CK13" s="3">
        <f t="shared" si="10"/>
        <v>0</v>
      </c>
      <c r="CL13" s="3">
        <f t="shared" si="10"/>
        <v>0</v>
      </c>
      <c r="CM13" s="3">
        <f t="shared" si="10"/>
        <v>0</v>
      </c>
      <c r="CN13" s="3">
        <f t="shared" si="10"/>
        <v>0</v>
      </c>
      <c r="CO13" s="3">
        <f t="shared" si="10"/>
        <v>0</v>
      </c>
      <c r="CP13" s="3">
        <f t="shared" si="10"/>
        <v>0</v>
      </c>
      <c r="CQ13" s="3">
        <f t="shared" si="10"/>
        <v>0</v>
      </c>
      <c r="CR13" s="3">
        <f t="shared" si="10"/>
        <v>0</v>
      </c>
      <c r="CS13" s="3">
        <f t="shared" si="10"/>
        <v>0</v>
      </c>
      <c r="CT13" s="3">
        <f t="shared" si="10"/>
        <v>0</v>
      </c>
      <c r="CU13" s="3">
        <f t="shared" si="10"/>
        <v>0</v>
      </c>
      <c r="CV13" s="3">
        <f t="shared" si="10"/>
        <v>0</v>
      </c>
      <c r="CW13" s="3">
        <f t="shared" si="10"/>
        <v>0</v>
      </c>
      <c r="CX13" s="3">
        <f t="shared" si="10"/>
        <v>0</v>
      </c>
      <c r="CY13" s="3">
        <f t="shared" si="10"/>
        <v>0</v>
      </c>
      <c r="CZ13" s="3">
        <f t="shared" si="10"/>
        <v>0</v>
      </c>
      <c r="DA13" s="3">
        <f t="shared" si="10"/>
        <v>0</v>
      </c>
      <c r="DB13" s="3">
        <f t="shared" si="10"/>
        <v>0</v>
      </c>
      <c r="DC13" s="3">
        <f t="shared" si="10"/>
        <v>0</v>
      </c>
      <c r="DD13" s="3">
        <f t="shared" si="10"/>
        <v>0</v>
      </c>
      <c r="DE13" s="3">
        <f t="shared" si="10"/>
        <v>0</v>
      </c>
      <c r="DF13" s="3">
        <f t="shared" si="10"/>
        <v>0</v>
      </c>
      <c r="DG13" s="3">
        <f t="shared" si="10"/>
        <v>0</v>
      </c>
      <c r="DH13" s="3">
        <f t="shared" si="10"/>
        <v>0</v>
      </c>
      <c r="DI13" s="3">
        <f t="shared" si="10"/>
        <v>0</v>
      </c>
      <c r="DJ13" s="3">
        <f t="shared" si="10"/>
        <v>0</v>
      </c>
      <c r="DK13" s="3">
        <f t="shared" si="10"/>
        <v>0</v>
      </c>
      <c r="DL13" s="3">
        <f t="shared" si="10"/>
        <v>0</v>
      </c>
      <c r="DM13" s="3">
        <f t="shared" si="10"/>
        <v>0</v>
      </c>
      <c r="DN13" s="3">
        <f t="shared" si="10"/>
        <v>0</v>
      </c>
      <c r="DO13" s="3">
        <f t="shared" si="10"/>
        <v>0</v>
      </c>
      <c r="DP13" s="3">
        <f t="shared" si="10"/>
        <v>0</v>
      </c>
      <c r="DQ13" s="3">
        <f t="shared" si="10"/>
        <v>0</v>
      </c>
      <c r="DR13" s="3">
        <f t="shared" si="10"/>
        <v>0</v>
      </c>
      <c r="DS13" s="3">
        <f t="shared" si="10"/>
        <v>0</v>
      </c>
      <c r="DT13" s="3">
        <f t="shared" si="10"/>
        <v>0</v>
      </c>
      <c r="DU13" s="3">
        <f t="shared" si="10"/>
        <v>0</v>
      </c>
      <c r="DV13" s="3">
        <f t="shared" si="10"/>
        <v>0</v>
      </c>
      <c r="DW13" s="3">
        <f t="shared" si="10"/>
        <v>0</v>
      </c>
      <c r="DX13" s="3">
        <f t="shared" si="10"/>
        <v>0</v>
      </c>
      <c r="DY13" s="3">
        <f t="shared" si="10"/>
        <v>0</v>
      </c>
    </row>
    <row r="14" spans="1:129" s="43" customFormat="1">
      <c r="A14" s="255"/>
      <c r="B14" s="255"/>
      <c r="C14" s="255"/>
      <c r="D14" s="28" t="s">
        <v>400</v>
      </c>
      <c r="E14" s="480"/>
      <c r="F14" s="255"/>
      <c r="G14" s="255"/>
      <c r="H14" s="255"/>
      <c r="I14" s="255"/>
      <c r="J14" s="256">
        <f>J34+J49+J64+J79+J94+J109+J124+J139+J154+J169</f>
        <v>10000000</v>
      </c>
      <c r="K14" s="256">
        <f>K34+K49+K64+K79+K94+K109+K124+K139+K154+K169</f>
        <v>10000000</v>
      </c>
      <c r="L14" s="256">
        <f>L34+L49+L64+L79+L94+L109+L124+L139+L154+L169</f>
        <v>10000000</v>
      </c>
      <c r="M14" s="256">
        <f>M34+M49+M64+M79+M94+M109+M124+M139+M154+M169</f>
        <v>10000000</v>
      </c>
      <c r="N14" s="256">
        <f>N34+N49+N64+N79+N94+N109+N124+N139+N154+N169</f>
        <v>10000000</v>
      </c>
      <c r="O14" s="256">
        <f t="shared" ref="O14:BV14" si="11">O34+O49+O64+O79+O94+O109+O124+O139+O154+O169</f>
        <v>10000000</v>
      </c>
      <c r="P14" s="256">
        <f t="shared" si="11"/>
        <v>10000000</v>
      </c>
      <c r="Q14" s="256">
        <f t="shared" si="11"/>
        <v>10000000</v>
      </c>
      <c r="R14" s="256">
        <f t="shared" si="11"/>
        <v>10000000</v>
      </c>
      <c r="S14" s="256">
        <f t="shared" si="11"/>
        <v>10000000</v>
      </c>
      <c r="T14" s="256">
        <f t="shared" si="11"/>
        <v>10000000</v>
      </c>
      <c r="U14" s="256">
        <f t="shared" si="11"/>
        <v>10000000</v>
      </c>
      <c r="V14" s="256">
        <f t="shared" si="11"/>
        <v>9583333.333333334</v>
      </c>
      <c r="W14" s="256">
        <f t="shared" si="11"/>
        <v>9166666.6666666679</v>
      </c>
      <c r="X14" s="256">
        <f t="shared" si="11"/>
        <v>8750000.0000000019</v>
      </c>
      <c r="Y14" s="256">
        <f t="shared" si="11"/>
        <v>8333333.3333333349</v>
      </c>
      <c r="Z14" s="256">
        <f t="shared" si="11"/>
        <v>7916666.6666666679</v>
      </c>
      <c r="AA14" s="256">
        <f t="shared" si="11"/>
        <v>7500000.0000000009</v>
      </c>
      <c r="AB14" s="256">
        <f t="shared" si="11"/>
        <v>7083333.333333334</v>
      </c>
      <c r="AC14" s="256">
        <f t="shared" si="11"/>
        <v>6666666.666666667</v>
      </c>
      <c r="AD14" s="256">
        <f t="shared" si="11"/>
        <v>6250000</v>
      </c>
      <c r="AE14" s="256">
        <f t="shared" si="11"/>
        <v>5833333.333333333</v>
      </c>
      <c r="AF14" s="256">
        <f t="shared" si="11"/>
        <v>5416666.666666666</v>
      </c>
      <c r="AG14" s="256">
        <f t="shared" si="11"/>
        <v>4999999.9999999991</v>
      </c>
      <c r="AH14" s="256">
        <f t="shared" si="11"/>
        <v>29583333.333333332</v>
      </c>
      <c r="AI14" s="256">
        <f t="shared" si="11"/>
        <v>29166666.666666664</v>
      </c>
      <c r="AJ14" s="256">
        <f t="shared" si="11"/>
        <v>28750000</v>
      </c>
      <c r="AK14" s="256">
        <f t="shared" si="11"/>
        <v>28333333.333333332</v>
      </c>
      <c r="AL14" s="256">
        <f t="shared" si="11"/>
        <v>27916666.666666664</v>
      </c>
      <c r="AM14" s="256">
        <f t="shared" si="11"/>
        <v>27500000</v>
      </c>
      <c r="AN14" s="256">
        <f t="shared" si="11"/>
        <v>26620370.370370369</v>
      </c>
      <c r="AO14" s="256">
        <f t="shared" si="11"/>
        <v>25740740.740740743</v>
      </c>
      <c r="AP14" s="256">
        <f t="shared" si="11"/>
        <v>24861111.111111112</v>
      </c>
      <c r="AQ14" s="256">
        <f t="shared" si="11"/>
        <v>23981481.481481481</v>
      </c>
      <c r="AR14" s="256">
        <f t="shared" si="11"/>
        <v>23101851.851851854</v>
      </c>
      <c r="AS14" s="256">
        <f t="shared" si="11"/>
        <v>22222222.222222224</v>
      </c>
      <c r="AT14" s="256">
        <f t="shared" si="11"/>
        <v>21759259.259259261</v>
      </c>
      <c r="AU14" s="256">
        <f t="shared" si="11"/>
        <v>21296296.296296299</v>
      </c>
      <c r="AV14" s="256">
        <f t="shared" si="11"/>
        <v>20833333.333333336</v>
      </c>
      <c r="AW14" s="256">
        <f t="shared" si="11"/>
        <v>20370370.370370373</v>
      </c>
      <c r="AX14" s="256">
        <f t="shared" si="11"/>
        <v>19907407.40740741</v>
      </c>
      <c r="AY14" s="256">
        <f t="shared" si="11"/>
        <v>19444444.444444448</v>
      </c>
      <c r="AZ14" s="256">
        <f t="shared" si="11"/>
        <v>18981481.481481485</v>
      </c>
      <c r="BA14" s="256">
        <f t="shared" si="11"/>
        <v>18518518.518518522</v>
      </c>
      <c r="BB14" s="256">
        <f t="shared" si="11"/>
        <v>18055555.55555556</v>
      </c>
      <c r="BC14" s="256">
        <f t="shared" si="11"/>
        <v>17592592.592592597</v>
      </c>
      <c r="BD14" s="256">
        <f t="shared" si="11"/>
        <v>17129629.629629634</v>
      </c>
      <c r="BE14" s="256">
        <f t="shared" si="11"/>
        <v>16666666.666666672</v>
      </c>
      <c r="BF14" s="256">
        <f t="shared" si="11"/>
        <v>28203703.703703709</v>
      </c>
      <c r="BG14" s="256">
        <f t="shared" si="11"/>
        <v>27740740.740740746</v>
      </c>
      <c r="BH14" s="256">
        <f t="shared" si="11"/>
        <v>27277777.777777784</v>
      </c>
      <c r="BI14" s="256">
        <f t="shared" si="11"/>
        <v>26814814.814814821</v>
      </c>
      <c r="BJ14" s="256">
        <f t="shared" si="11"/>
        <v>26351851.851851858</v>
      </c>
      <c r="BK14" s="256">
        <f t="shared" si="11"/>
        <v>25888888.888888896</v>
      </c>
      <c r="BL14" s="256">
        <f t="shared" si="11"/>
        <v>25203703.703703709</v>
      </c>
      <c r="BM14" s="256">
        <f t="shared" si="11"/>
        <v>24518518.518518526</v>
      </c>
      <c r="BN14" s="256">
        <f t="shared" si="11"/>
        <v>23833333.333333343</v>
      </c>
      <c r="BO14" s="256">
        <f t="shared" si="11"/>
        <v>23148148.148148157</v>
      </c>
      <c r="BP14" s="256">
        <f t="shared" si="11"/>
        <v>22462962.96296297</v>
      </c>
      <c r="BQ14" s="256">
        <f t="shared" si="11"/>
        <v>21777777.777777787</v>
      </c>
      <c r="BR14" s="256">
        <f t="shared" si="11"/>
        <v>31092592.592592604</v>
      </c>
      <c r="BS14" s="256">
        <f t="shared" si="11"/>
        <v>30407407.407407418</v>
      </c>
      <c r="BT14" s="256">
        <f t="shared" si="11"/>
        <v>29722222.222222231</v>
      </c>
      <c r="BU14" s="256">
        <f t="shared" si="11"/>
        <v>29037037.037037048</v>
      </c>
      <c r="BV14" s="256">
        <f t="shared" si="11"/>
        <v>28351851.851851866</v>
      </c>
      <c r="BW14" s="256">
        <f t="shared" ref="BW14:CC14" si="12">BW34+BW49+BW64+BW79+BW94+BW109+BW124+BW139+BW154+BW169</f>
        <v>27666666.666666679</v>
      </c>
      <c r="BX14" s="256">
        <f t="shared" si="12"/>
        <v>26796296.296296306</v>
      </c>
      <c r="BY14" s="256">
        <f t="shared" si="12"/>
        <v>25925925.92592594</v>
      </c>
      <c r="BZ14" s="256">
        <f t="shared" si="12"/>
        <v>25055555.555555571</v>
      </c>
      <c r="CA14" s="256">
        <f t="shared" si="12"/>
        <v>24185185.185185201</v>
      </c>
      <c r="CB14" s="256">
        <f t="shared" si="12"/>
        <v>23314814.814814832</v>
      </c>
      <c r="CC14" s="256">
        <f t="shared" si="12"/>
        <v>22444444.444444463</v>
      </c>
      <c r="CD14" s="256">
        <f t="shared" ref="CD14:DY14" si="13">CD34+CD49+CD64+CD79+CD94+CD109+CD124+CD139+CD154+CD169</f>
        <v>31574074.074074093</v>
      </c>
      <c r="CE14" s="256">
        <f t="shared" si="13"/>
        <v>30703703.703703724</v>
      </c>
      <c r="CF14" s="256">
        <f t="shared" si="13"/>
        <v>29833333.333333354</v>
      </c>
      <c r="CG14" s="256">
        <f t="shared" si="13"/>
        <v>28962962.962962985</v>
      </c>
      <c r="CH14" s="256">
        <f t="shared" si="13"/>
        <v>28092592.592592612</v>
      </c>
      <c r="CI14" s="256">
        <f t="shared" si="13"/>
        <v>27222222.222222246</v>
      </c>
      <c r="CJ14" s="256">
        <f t="shared" si="13"/>
        <v>26166666.66666669</v>
      </c>
      <c r="CK14" s="256">
        <f t="shared" si="13"/>
        <v>25111111.111111134</v>
      </c>
      <c r="CL14" s="256">
        <f t="shared" si="13"/>
        <v>24055555.555555582</v>
      </c>
      <c r="CM14" s="256">
        <f t="shared" si="13"/>
        <v>23000000.000000026</v>
      </c>
      <c r="CN14" s="256">
        <f t="shared" si="13"/>
        <v>21944444.44444447</v>
      </c>
      <c r="CO14" s="256">
        <f t="shared" si="13"/>
        <v>20888888.888888918</v>
      </c>
      <c r="CP14" s="256">
        <f t="shared" si="13"/>
        <v>30296296.296296328</v>
      </c>
      <c r="CQ14" s="256">
        <f t="shared" si="13"/>
        <v>29703703.703703735</v>
      </c>
      <c r="CR14" s="256">
        <f t="shared" si="13"/>
        <v>29111111.111111142</v>
      </c>
      <c r="CS14" s="256">
        <f t="shared" si="13"/>
        <v>28518518.518518552</v>
      </c>
      <c r="CT14" s="256">
        <f t="shared" si="13"/>
        <v>27925925.925925963</v>
      </c>
      <c r="CU14" s="256">
        <f t="shared" si="13"/>
        <v>27333333.333333369</v>
      </c>
      <c r="CV14" s="256">
        <f t="shared" si="13"/>
        <v>26555555.555555593</v>
      </c>
      <c r="CW14" s="256">
        <f t="shared" si="13"/>
        <v>25777777.777777817</v>
      </c>
      <c r="CX14" s="256">
        <f t="shared" si="13"/>
        <v>25000000.000000041</v>
      </c>
      <c r="CY14" s="256">
        <f t="shared" si="13"/>
        <v>24222222.222222265</v>
      </c>
      <c r="CZ14" s="256">
        <f t="shared" si="13"/>
        <v>23444444.444444489</v>
      </c>
      <c r="DA14" s="256">
        <f t="shared" si="13"/>
        <v>22666666.666666713</v>
      </c>
      <c r="DB14" s="256">
        <f t="shared" si="13"/>
        <v>31888888.888888936</v>
      </c>
      <c r="DC14" s="256">
        <f t="shared" si="13"/>
        <v>31111111.11111116</v>
      </c>
      <c r="DD14" s="256">
        <f t="shared" si="13"/>
        <v>30333333.333333381</v>
      </c>
      <c r="DE14" s="256">
        <f t="shared" si="13"/>
        <v>29555555.555555604</v>
      </c>
      <c r="DF14" s="256">
        <f t="shared" si="13"/>
        <v>28777777.777777828</v>
      </c>
      <c r="DG14" s="256">
        <f t="shared" si="13"/>
        <v>28000000.000000052</v>
      </c>
      <c r="DH14" s="256">
        <f t="shared" si="13"/>
        <v>27037037.037037089</v>
      </c>
      <c r="DI14" s="256">
        <f t="shared" si="13"/>
        <v>26074074.074074131</v>
      </c>
      <c r="DJ14" s="256">
        <f t="shared" si="13"/>
        <v>25111111.111111168</v>
      </c>
      <c r="DK14" s="256">
        <f t="shared" si="13"/>
        <v>24148148.148148209</v>
      </c>
      <c r="DL14" s="256">
        <f t="shared" si="13"/>
        <v>23185185.185185246</v>
      </c>
      <c r="DM14" s="256">
        <f t="shared" si="13"/>
        <v>22222222.222222283</v>
      </c>
      <c r="DN14" s="256">
        <f t="shared" si="13"/>
        <v>34481481.481481545</v>
      </c>
      <c r="DO14" s="256">
        <f t="shared" si="13"/>
        <v>33740740.740740806</v>
      </c>
      <c r="DP14" s="256">
        <f t="shared" si="13"/>
        <v>33000000.000000067</v>
      </c>
      <c r="DQ14" s="256">
        <f t="shared" si="13"/>
        <v>32259259.259259325</v>
      </c>
      <c r="DR14" s="256">
        <f t="shared" si="13"/>
        <v>31518518.518518586</v>
      </c>
      <c r="DS14" s="256">
        <f t="shared" si="13"/>
        <v>30777777.777777847</v>
      </c>
      <c r="DT14" s="256">
        <f t="shared" si="13"/>
        <v>29796296.296296366</v>
      </c>
      <c r="DU14" s="256">
        <f t="shared" si="13"/>
        <v>28814814.814814884</v>
      </c>
      <c r="DV14" s="256">
        <f t="shared" si="13"/>
        <v>27833333.333333403</v>
      </c>
      <c r="DW14" s="256">
        <f t="shared" si="13"/>
        <v>26851851.851851925</v>
      </c>
      <c r="DX14" s="256">
        <f t="shared" si="13"/>
        <v>25870370.370370444</v>
      </c>
      <c r="DY14" s="256">
        <f t="shared" si="13"/>
        <v>24888888.888888963</v>
      </c>
    </row>
    <row r="15" spans="1:129" s="43" customFormat="1">
      <c r="E15" s="478"/>
      <c r="F15" s="128"/>
      <c r="G15" s="128"/>
      <c r="H15" s="128"/>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row>
    <row r="16" spans="1:129" s="43" customFormat="1">
      <c r="B16" s="556" t="s">
        <v>561</v>
      </c>
      <c r="E16" s="478"/>
      <c r="F16" s="128"/>
      <c r="G16" s="128"/>
      <c r="H16" s="128"/>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row>
    <row r="17" spans="2:129" s="43" customFormat="1">
      <c r="E17" s="478"/>
      <c r="F17" s="128"/>
      <c r="G17" s="128"/>
      <c r="H17" s="128"/>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row>
    <row r="18" spans="2:129" s="43" customFormat="1">
      <c r="B18" s="43" t="s">
        <v>564</v>
      </c>
      <c r="E18" s="558"/>
      <c r="G18" s="128"/>
      <c r="H18" s="128"/>
      <c r="I18" s="159"/>
      <c r="J18" s="159">
        <f>'Detailed Model (LCY)'!J261</f>
        <v>5550000</v>
      </c>
      <c r="K18" s="159">
        <f>'Detailed Model (LCY)'!K261</f>
        <v>5550000</v>
      </c>
      <c r="L18" s="159">
        <f>'Detailed Model (LCY)'!L261</f>
        <v>5550000</v>
      </c>
      <c r="M18" s="159">
        <f>'Detailed Model (LCY)'!M261</f>
        <v>5550000</v>
      </c>
      <c r="N18" s="159">
        <f>'Detailed Model (LCY)'!N261</f>
        <v>5550000</v>
      </c>
      <c r="O18" s="159">
        <f>'Detailed Model (LCY)'!O261</f>
        <v>5550000</v>
      </c>
      <c r="P18" s="159">
        <f>'Detailed Model (LCY)'!P261</f>
        <v>5550000</v>
      </c>
      <c r="Q18" s="159">
        <f>'Detailed Model (LCY)'!Q261</f>
        <v>5550000</v>
      </c>
      <c r="R18" s="159">
        <f>'Detailed Model (LCY)'!R261</f>
        <v>5550000</v>
      </c>
      <c r="S18" s="159">
        <f>'Detailed Model (LCY)'!S261</f>
        <v>5550000</v>
      </c>
      <c r="T18" s="159">
        <f>'Detailed Model (LCY)'!T261</f>
        <v>5550000</v>
      </c>
      <c r="U18" s="159">
        <f>'Detailed Model (LCY)'!U261</f>
        <v>5550000</v>
      </c>
      <c r="V18" s="159">
        <f>'Detailed Model (LCY)'!V261</f>
        <v>5550000</v>
      </c>
      <c r="W18" s="159">
        <f>'Detailed Model (LCY)'!W261</f>
        <v>5550000</v>
      </c>
      <c r="X18" s="159">
        <f>'Detailed Model (LCY)'!X261</f>
        <v>5550000</v>
      </c>
      <c r="Y18" s="159">
        <f>'Detailed Model (LCY)'!Y261</f>
        <v>5550000</v>
      </c>
      <c r="Z18" s="159">
        <f>'Detailed Model (LCY)'!Z261</f>
        <v>5550000</v>
      </c>
      <c r="AA18" s="159">
        <f>'Detailed Model (LCY)'!AA261</f>
        <v>5550000</v>
      </c>
      <c r="AB18" s="159">
        <f>'Detailed Model (LCY)'!AB261</f>
        <v>5550000</v>
      </c>
      <c r="AC18" s="159">
        <f>'Detailed Model (LCY)'!AC261</f>
        <v>5550000</v>
      </c>
      <c r="AD18" s="159">
        <f>'Detailed Model (LCY)'!AD261</f>
        <v>5550000</v>
      </c>
      <c r="AE18" s="159">
        <f>'Detailed Model (LCY)'!AE261</f>
        <v>5550000</v>
      </c>
      <c r="AF18" s="159">
        <f>'Detailed Model (LCY)'!AF261</f>
        <v>5550000</v>
      </c>
      <c r="AG18" s="159">
        <f>'Detailed Model (LCY)'!AG261</f>
        <v>5550000</v>
      </c>
      <c r="AH18" s="159">
        <f>'Detailed Model (LCY)'!AH261</f>
        <v>15550000</v>
      </c>
      <c r="AI18" s="159">
        <f>'Detailed Model (LCY)'!AI261</f>
        <v>15550000</v>
      </c>
      <c r="AJ18" s="159">
        <f>'Detailed Model (LCY)'!AJ261</f>
        <v>15550000</v>
      </c>
      <c r="AK18" s="159">
        <f>'Detailed Model (LCY)'!AK261</f>
        <v>15550000</v>
      </c>
      <c r="AL18" s="159">
        <f>'Detailed Model (LCY)'!AL261</f>
        <v>15550000</v>
      </c>
      <c r="AM18" s="159">
        <f>'Detailed Model (LCY)'!AM261</f>
        <v>15550000</v>
      </c>
      <c r="AN18" s="159">
        <f>'Detailed Model (LCY)'!AN261</f>
        <v>15550000</v>
      </c>
      <c r="AO18" s="159">
        <f>'Detailed Model (LCY)'!AO261</f>
        <v>15550000</v>
      </c>
      <c r="AP18" s="159">
        <f>'Detailed Model (LCY)'!AP261</f>
        <v>15550000</v>
      </c>
      <c r="AQ18" s="159">
        <f>'Detailed Model (LCY)'!AQ261</f>
        <v>15550000</v>
      </c>
      <c r="AR18" s="159">
        <f>'Detailed Model (LCY)'!AR261</f>
        <v>15550000</v>
      </c>
      <c r="AS18" s="159">
        <f>'Detailed Model (LCY)'!AS261</f>
        <v>15550000</v>
      </c>
      <c r="AT18" s="159">
        <f>'Detailed Model (LCY)'!AT261</f>
        <v>15550000</v>
      </c>
      <c r="AU18" s="159">
        <f>'Detailed Model (LCY)'!AU261</f>
        <v>15550000</v>
      </c>
      <c r="AV18" s="159">
        <f>'Detailed Model (LCY)'!AV261</f>
        <v>15550000</v>
      </c>
      <c r="AW18" s="159">
        <f>'Detailed Model (LCY)'!AW261</f>
        <v>15550000</v>
      </c>
      <c r="AX18" s="159">
        <f>'Detailed Model (LCY)'!AX261</f>
        <v>15550000</v>
      </c>
      <c r="AY18" s="159">
        <f>'Detailed Model (LCY)'!AY261</f>
        <v>15550000</v>
      </c>
      <c r="AZ18" s="159">
        <f>'Detailed Model (LCY)'!AZ261</f>
        <v>15550000</v>
      </c>
      <c r="BA18" s="159">
        <f>'Detailed Model (LCY)'!BA261</f>
        <v>15550000</v>
      </c>
      <c r="BB18" s="159">
        <f>'Detailed Model (LCY)'!BB261</f>
        <v>15550000</v>
      </c>
      <c r="BC18" s="159">
        <f>'Detailed Model (LCY)'!BC261</f>
        <v>15550000</v>
      </c>
      <c r="BD18" s="159">
        <f>'Detailed Model (LCY)'!BD261</f>
        <v>15550000</v>
      </c>
      <c r="BE18" s="159">
        <f>'Detailed Model (LCY)'!BE261</f>
        <v>15550000</v>
      </c>
      <c r="BF18" s="159">
        <f>'Detailed Model (LCY)'!BF261</f>
        <v>15550000</v>
      </c>
      <c r="BG18" s="159">
        <f>'Detailed Model (LCY)'!BG261</f>
        <v>15550000</v>
      </c>
      <c r="BH18" s="159">
        <f>'Detailed Model (LCY)'!BH261</f>
        <v>15550000</v>
      </c>
      <c r="BI18" s="159">
        <f>'Detailed Model (LCY)'!BI261</f>
        <v>15550000</v>
      </c>
      <c r="BJ18" s="159">
        <f>'Detailed Model (LCY)'!BJ261</f>
        <v>15550000</v>
      </c>
      <c r="BK18" s="159">
        <f>'Detailed Model (LCY)'!BK261</f>
        <v>15550000</v>
      </c>
      <c r="BL18" s="159">
        <f>'Detailed Model (LCY)'!BL261</f>
        <v>15550000</v>
      </c>
      <c r="BM18" s="159">
        <f>'Detailed Model (LCY)'!BM261</f>
        <v>15550000</v>
      </c>
      <c r="BN18" s="159">
        <f>'Detailed Model (LCY)'!BN261</f>
        <v>15550000</v>
      </c>
      <c r="BO18" s="159">
        <f>'Detailed Model (LCY)'!BO261</f>
        <v>15550000</v>
      </c>
      <c r="BP18" s="159">
        <f>'Detailed Model (LCY)'!BP261</f>
        <v>15550000</v>
      </c>
      <c r="BQ18" s="159">
        <f>'Detailed Model (LCY)'!BQ261</f>
        <v>15550000</v>
      </c>
      <c r="BR18" s="159">
        <f>'Detailed Model (LCY)'!BR261</f>
        <v>15550000</v>
      </c>
      <c r="BS18" s="159">
        <f>'Detailed Model (LCY)'!BS261</f>
        <v>15550000</v>
      </c>
      <c r="BT18" s="159">
        <f>'Detailed Model (LCY)'!BT261</f>
        <v>15550000</v>
      </c>
      <c r="BU18" s="159">
        <f>'Detailed Model (LCY)'!BU261</f>
        <v>15550000</v>
      </c>
      <c r="BV18" s="159">
        <f>'Detailed Model (LCY)'!BV261</f>
        <v>15550000</v>
      </c>
      <c r="BW18" s="159">
        <f>'Detailed Model (LCY)'!BW261</f>
        <v>15550000</v>
      </c>
      <c r="BX18" s="159">
        <f>'Detailed Model (LCY)'!BX261</f>
        <v>15550000</v>
      </c>
      <c r="BY18" s="159">
        <f>'Detailed Model (LCY)'!BY261</f>
        <v>15550000</v>
      </c>
      <c r="BZ18" s="159">
        <f>'Detailed Model (LCY)'!BZ261</f>
        <v>15550000</v>
      </c>
      <c r="CA18" s="159">
        <f>'Detailed Model (LCY)'!CA261</f>
        <v>15550000</v>
      </c>
      <c r="CB18" s="159">
        <f>'Detailed Model (LCY)'!CB261</f>
        <v>15550000</v>
      </c>
      <c r="CC18" s="159">
        <f>'Detailed Model (LCY)'!CC261</f>
        <v>15550000</v>
      </c>
      <c r="CD18" s="159">
        <f>'Detailed Model (LCY)'!CD261</f>
        <v>15550000</v>
      </c>
      <c r="CE18" s="159">
        <f>'Detailed Model (LCY)'!CE261</f>
        <v>15550000</v>
      </c>
      <c r="CF18" s="159">
        <f>'Detailed Model (LCY)'!CF261</f>
        <v>15550000</v>
      </c>
      <c r="CG18" s="159">
        <f>'Detailed Model (LCY)'!CG261</f>
        <v>15550000</v>
      </c>
      <c r="CH18" s="159">
        <f>'Detailed Model (LCY)'!CH261</f>
        <v>15550000</v>
      </c>
      <c r="CI18" s="159">
        <f>'Detailed Model (LCY)'!CI261</f>
        <v>15550000</v>
      </c>
      <c r="CJ18" s="159">
        <f>'Detailed Model (LCY)'!CJ261</f>
        <v>15550000</v>
      </c>
      <c r="CK18" s="159">
        <f>'Detailed Model (LCY)'!CK261</f>
        <v>15550000</v>
      </c>
      <c r="CL18" s="159">
        <f>'Detailed Model (LCY)'!CL261</f>
        <v>15550000</v>
      </c>
      <c r="CM18" s="159">
        <f>'Detailed Model (LCY)'!CM261</f>
        <v>15550000</v>
      </c>
      <c r="CN18" s="159">
        <f>'Detailed Model (LCY)'!CN261</f>
        <v>15550000</v>
      </c>
      <c r="CO18" s="159">
        <f>'Detailed Model (LCY)'!CO261</f>
        <v>15550000</v>
      </c>
      <c r="CP18" s="159">
        <f>'Detailed Model (LCY)'!CP261</f>
        <v>15550000</v>
      </c>
      <c r="CQ18" s="159">
        <f>'Detailed Model (LCY)'!CQ261</f>
        <v>15550000</v>
      </c>
      <c r="CR18" s="159">
        <f>'Detailed Model (LCY)'!CR261</f>
        <v>15550000</v>
      </c>
      <c r="CS18" s="159">
        <f>'Detailed Model (LCY)'!CS261</f>
        <v>15550000</v>
      </c>
      <c r="CT18" s="159">
        <f>'Detailed Model (LCY)'!CT261</f>
        <v>15550000</v>
      </c>
      <c r="CU18" s="159">
        <f>'Detailed Model (LCY)'!CU261</f>
        <v>15550000</v>
      </c>
      <c r="CV18" s="159">
        <f>'Detailed Model (LCY)'!CV261</f>
        <v>15550000</v>
      </c>
      <c r="CW18" s="159">
        <f>'Detailed Model (LCY)'!CW261</f>
        <v>15550000</v>
      </c>
      <c r="CX18" s="159">
        <f>'Detailed Model (LCY)'!CX261</f>
        <v>15550000</v>
      </c>
      <c r="CY18" s="159">
        <f>'Detailed Model (LCY)'!CY261</f>
        <v>15550000</v>
      </c>
      <c r="CZ18" s="159">
        <f>'Detailed Model (LCY)'!CZ261</f>
        <v>15550000</v>
      </c>
      <c r="DA18" s="159">
        <f>'Detailed Model (LCY)'!DA261</f>
        <v>15550000</v>
      </c>
      <c r="DB18" s="159">
        <f>'Detailed Model (LCY)'!DB261</f>
        <v>15550000</v>
      </c>
      <c r="DC18" s="159">
        <f>'Detailed Model (LCY)'!DC261</f>
        <v>15550000</v>
      </c>
      <c r="DD18" s="159">
        <f>'Detailed Model (LCY)'!DD261</f>
        <v>15550000</v>
      </c>
      <c r="DE18" s="159">
        <f>'Detailed Model (LCY)'!DE261</f>
        <v>15550000</v>
      </c>
      <c r="DF18" s="159">
        <f>'Detailed Model (LCY)'!DF261</f>
        <v>15550000</v>
      </c>
      <c r="DG18" s="159">
        <f>'Detailed Model (LCY)'!DG261</f>
        <v>15550000</v>
      </c>
      <c r="DH18" s="159">
        <f>'Detailed Model (LCY)'!DH261</f>
        <v>15550000</v>
      </c>
      <c r="DI18" s="159">
        <f>'Detailed Model (LCY)'!DI261</f>
        <v>15550000</v>
      </c>
      <c r="DJ18" s="159">
        <f>'Detailed Model (LCY)'!DJ261</f>
        <v>15550000</v>
      </c>
      <c r="DK18" s="159">
        <f>'Detailed Model (LCY)'!DK261</f>
        <v>15550000</v>
      </c>
      <c r="DL18" s="159">
        <f>'Detailed Model (LCY)'!DL261</f>
        <v>15550000</v>
      </c>
      <c r="DM18" s="159">
        <f>'Detailed Model (LCY)'!DM261</f>
        <v>15550000</v>
      </c>
      <c r="DN18" s="159">
        <f>'Detailed Model (LCY)'!DN261</f>
        <v>15550000</v>
      </c>
      <c r="DO18" s="159">
        <f>'Detailed Model (LCY)'!DO261</f>
        <v>15550000</v>
      </c>
      <c r="DP18" s="159">
        <f>'Detailed Model (LCY)'!DP261</f>
        <v>15550000</v>
      </c>
      <c r="DQ18" s="159">
        <f>'Detailed Model (LCY)'!DQ261</f>
        <v>15550000</v>
      </c>
      <c r="DR18" s="159">
        <f>'Detailed Model (LCY)'!DR261</f>
        <v>15550000</v>
      </c>
      <c r="DS18" s="159">
        <f>'Detailed Model (LCY)'!DS261</f>
        <v>15550000</v>
      </c>
      <c r="DT18" s="159">
        <f>'Detailed Model (LCY)'!DT261</f>
        <v>15550000</v>
      </c>
      <c r="DU18" s="159">
        <f>'Detailed Model (LCY)'!DU261</f>
        <v>15550000</v>
      </c>
      <c r="DV18" s="159">
        <f>'Detailed Model (LCY)'!DV261</f>
        <v>15550000</v>
      </c>
      <c r="DW18" s="159">
        <f>'Detailed Model (LCY)'!DW261</f>
        <v>15550000</v>
      </c>
      <c r="DX18" s="159">
        <f>'Detailed Model (LCY)'!DX261</f>
        <v>15550000</v>
      </c>
      <c r="DY18" s="159">
        <f>'Detailed Model (LCY)'!DY261</f>
        <v>15550000</v>
      </c>
    </row>
    <row r="19" spans="2:129" s="43" customFormat="1">
      <c r="B19" s="43" t="s">
        <v>565</v>
      </c>
      <c r="E19" s="558"/>
      <c r="F19" s="560"/>
      <c r="G19" s="128"/>
      <c r="H19" s="128"/>
      <c r="I19" s="46"/>
      <c r="J19" s="159">
        <f>'Detailed Model (LCY)'!J257</f>
        <v>10500000</v>
      </c>
      <c r="K19" s="159">
        <f>'Detailed Model (LCY)'!K257</f>
        <v>10500000</v>
      </c>
      <c r="L19" s="159">
        <f>'Detailed Model (LCY)'!L257</f>
        <v>10500000</v>
      </c>
      <c r="M19" s="159">
        <f>'Detailed Model (LCY)'!M257</f>
        <v>10500000</v>
      </c>
      <c r="N19" s="159">
        <f>'Detailed Model (LCY)'!N257</f>
        <v>10500000</v>
      </c>
      <c r="O19" s="159">
        <f>'Detailed Model (LCY)'!O257</f>
        <v>10500000</v>
      </c>
      <c r="P19" s="159">
        <f>'Detailed Model (LCY)'!P257</f>
        <v>10500000</v>
      </c>
      <c r="Q19" s="159">
        <f>'Detailed Model (LCY)'!Q257</f>
        <v>10500000</v>
      </c>
      <c r="R19" s="159">
        <f>'Detailed Model (LCY)'!R257</f>
        <v>10500000</v>
      </c>
      <c r="S19" s="159">
        <f>'Detailed Model (LCY)'!S257</f>
        <v>10500000</v>
      </c>
      <c r="T19" s="159">
        <f>'Detailed Model (LCY)'!T257</f>
        <v>10500000</v>
      </c>
      <c r="U19" s="159">
        <f>'Detailed Model (LCY)'!U257</f>
        <v>10500000</v>
      </c>
      <c r="V19" s="159">
        <f>'Detailed Model (LCY)'!V257</f>
        <v>10083333.333333334</v>
      </c>
      <c r="W19" s="159">
        <f>'Detailed Model (LCY)'!W257</f>
        <v>9666666.6666666679</v>
      </c>
      <c r="X19" s="159">
        <f>'Detailed Model (LCY)'!X257</f>
        <v>9250000.0000000019</v>
      </c>
      <c r="Y19" s="159">
        <f>'Detailed Model (LCY)'!Y257</f>
        <v>8833333.3333333358</v>
      </c>
      <c r="Z19" s="159">
        <f>'Detailed Model (LCY)'!Z257</f>
        <v>8416666.6666666698</v>
      </c>
      <c r="AA19" s="159">
        <f>'Detailed Model (LCY)'!AA257</f>
        <v>8000000.0000000028</v>
      </c>
      <c r="AB19" s="159">
        <f>'Detailed Model (LCY)'!AB257</f>
        <v>7583333.3333333358</v>
      </c>
      <c r="AC19" s="159">
        <f>'Detailed Model (LCY)'!AC257</f>
        <v>7166666.6666666688</v>
      </c>
      <c r="AD19" s="159">
        <f>'Detailed Model (LCY)'!AD257</f>
        <v>6750000.0000000019</v>
      </c>
      <c r="AE19" s="159">
        <f>'Detailed Model (LCY)'!AE257</f>
        <v>6333333.3333333349</v>
      </c>
      <c r="AF19" s="159">
        <f>'Detailed Model (LCY)'!AF257</f>
        <v>5916666.6666666679</v>
      </c>
      <c r="AG19" s="159">
        <f>'Detailed Model (LCY)'!AG257</f>
        <v>5500000.0000000009</v>
      </c>
      <c r="AH19" s="159">
        <f>'Detailed Model (LCY)'!AH257</f>
        <v>30083333.333333332</v>
      </c>
      <c r="AI19" s="159">
        <f>'Detailed Model (LCY)'!AI257</f>
        <v>29666666.666666664</v>
      </c>
      <c r="AJ19" s="159">
        <f>'Detailed Model (LCY)'!AJ257</f>
        <v>29249999.999999996</v>
      </c>
      <c r="AK19" s="159">
        <f>'Detailed Model (LCY)'!AK257</f>
        <v>28833333.333333328</v>
      </c>
      <c r="AL19" s="159">
        <f>'Detailed Model (LCY)'!AL257</f>
        <v>28416666.66666666</v>
      </c>
      <c r="AM19" s="159">
        <f>'Detailed Model (LCY)'!AM257</f>
        <v>27999999.999999993</v>
      </c>
      <c r="AN19" s="159">
        <f>'Detailed Model (LCY)'!AN257</f>
        <v>27120370.370370362</v>
      </c>
      <c r="AO19" s="159">
        <f>'Detailed Model (LCY)'!AO257</f>
        <v>26240740.740740731</v>
      </c>
      <c r="AP19" s="159">
        <f>'Detailed Model (LCY)'!AP257</f>
        <v>25361111.111111101</v>
      </c>
      <c r="AQ19" s="159">
        <f>'Detailed Model (LCY)'!AQ257</f>
        <v>24481481.48148147</v>
      </c>
      <c r="AR19" s="159">
        <f>'Detailed Model (LCY)'!AR257</f>
        <v>23601851.85185184</v>
      </c>
      <c r="AS19" s="159">
        <f>'Detailed Model (LCY)'!AS257</f>
        <v>22722222.222222209</v>
      </c>
      <c r="AT19" s="159">
        <f>'Detailed Model (LCY)'!AT257</f>
        <v>22259259.259259246</v>
      </c>
      <c r="AU19" s="159">
        <f>'Detailed Model (LCY)'!AU257</f>
        <v>21796296.296296284</v>
      </c>
      <c r="AV19" s="159">
        <f>'Detailed Model (LCY)'!AV257</f>
        <v>21333333.333333321</v>
      </c>
      <c r="AW19" s="159">
        <f>'Detailed Model (LCY)'!AW257</f>
        <v>20870370.370370358</v>
      </c>
      <c r="AX19" s="159">
        <f>'Detailed Model (LCY)'!AX257</f>
        <v>20407407.407407396</v>
      </c>
      <c r="AY19" s="159">
        <f>'Detailed Model (LCY)'!AY257</f>
        <v>19944444.444444433</v>
      </c>
      <c r="AZ19" s="159">
        <f>'Detailed Model (LCY)'!AZ257</f>
        <v>19481481.48148147</v>
      </c>
      <c r="BA19" s="159">
        <f>'Detailed Model (LCY)'!BA257</f>
        <v>19018518.518518507</v>
      </c>
      <c r="BB19" s="159">
        <f>'Detailed Model (LCY)'!BB257</f>
        <v>18555555.555555545</v>
      </c>
      <c r="BC19" s="159">
        <f>'Detailed Model (LCY)'!BC257</f>
        <v>18092592.592592582</v>
      </c>
      <c r="BD19" s="159">
        <f>'Detailed Model (LCY)'!BD257</f>
        <v>17629629.629629619</v>
      </c>
      <c r="BE19" s="159">
        <f>'Detailed Model (LCY)'!BE257</f>
        <v>17166666.666666657</v>
      </c>
      <c r="BF19" s="159">
        <f>'Detailed Model (LCY)'!BF257</f>
        <v>28703703.703703694</v>
      </c>
      <c r="BG19" s="159">
        <f>'Detailed Model (LCY)'!BG257</f>
        <v>28240740.740740731</v>
      </c>
      <c r="BH19" s="159">
        <f>'Detailed Model (LCY)'!BH257</f>
        <v>27777777.777777769</v>
      </c>
      <c r="BI19" s="159">
        <f>'Detailed Model (LCY)'!BI257</f>
        <v>27314814.814814806</v>
      </c>
      <c r="BJ19" s="159">
        <f>'Detailed Model (LCY)'!BJ257</f>
        <v>26851851.851851843</v>
      </c>
      <c r="BK19" s="159">
        <f>'Detailed Model (LCY)'!BK257</f>
        <v>26388888.888888881</v>
      </c>
      <c r="BL19" s="159">
        <f>'Detailed Model (LCY)'!BL257</f>
        <v>25703703.703703694</v>
      </c>
      <c r="BM19" s="159">
        <f>'Detailed Model (LCY)'!BM257</f>
        <v>25018518.518518507</v>
      </c>
      <c r="BN19" s="159">
        <f>'Detailed Model (LCY)'!BN257</f>
        <v>24333333.333333321</v>
      </c>
      <c r="BO19" s="159">
        <f>'Detailed Model (LCY)'!BO257</f>
        <v>23648148.148148134</v>
      </c>
      <c r="BP19" s="159">
        <f>'Detailed Model (LCY)'!BP257</f>
        <v>22962962.962962948</v>
      </c>
      <c r="BQ19" s="159">
        <f>'Detailed Model (LCY)'!BQ257</f>
        <v>22277777.777777761</v>
      </c>
      <c r="BR19" s="159">
        <f>'Detailed Model (LCY)'!BR257</f>
        <v>31592592.592592575</v>
      </c>
      <c r="BS19" s="159">
        <f>'Detailed Model (LCY)'!BS257</f>
        <v>30907407.407407388</v>
      </c>
      <c r="BT19" s="159">
        <f>'Detailed Model (LCY)'!BT257</f>
        <v>30222222.222222202</v>
      </c>
      <c r="BU19" s="159">
        <f>'Detailed Model (LCY)'!BU257</f>
        <v>29537037.037037015</v>
      </c>
      <c r="BV19" s="159">
        <f>'Detailed Model (LCY)'!BV257</f>
        <v>28851851.851851828</v>
      </c>
      <c r="BW19" s="159">
        <f>'Detailed Model (LCY)'!BW257</f>
        <v>28166666.666666642</v>
      </c>
      <c r="BX19" s="159">
        <f>'Detailed Model (LCY)'!BX257</f>
        <v>27296296.296296272</v>
      </c>
      <c r="BY19" s="159">
        <f>'Detailed Model (LCY)'!BY257</f>
        <v>26425925.925925903</v>
      </c>
      <c r="BZ19" s="159">
        <f>'Detailed Model (LCY)'!BZ257</f>
        <v>25555555.555555534</v>
      </c>
      <c r="CA19" s="159">
        <f>'Detailed Model (LCY)'!CA257</f>
        <v>24685185.185185164</v>
      </c>
      <c r="CB19" s="159">
        <f>'Detailed Model (LCY)'!CB257</f>
        <v>23814814.814814795</v>
      </c>
      <c r="CC19" s="159">
        <f>'Detailed Model (LCY)'!CC257</f>
        <v>22944444.444444425</v>
      </c>
      <c r="CD19" s="159">
        <f>'Detailed Model (LCY)'!CD257</f>
        <v>32074074.074074056</v>
      </c>
      <c r="CE19" s="159">
        <f>'Detailed Model (LCY)'!CE257</f>
        <v>31203703.703703687</v>
      </c>
      <c r="CF19" s="159">
        <f>'Detailed Model (LCY)'!CF257</f>
        <v>30333333.333333317</v>
      </c>
      <c r="CG19" s="159">
        <f>'Detailed Model (LCY)'!CG257</f>
        <v>29462962.962962948</v>
      </c>
      <c r="CH19" s="159">
        <f>'Detailed Model (LCY)'!CH257</f>
        <v>28592592.592592578</v>
      </c>
      <c r="CI19" s="159">
        <f>'Detailed Model (LCY)'!CI257</f>
        <v>27722222.222222209</v>
      </c>
      <c r="CJ19" s="159">
        <f>'Detailed Model (LCY)'!CJ257</f>
        <v>26666666.666666653</v>
      </c>
      <c r="CK19" s="159">
        <f>'Detailed Model (LCY)'!CK257</f>
        <v>25611111.111111097</v>
      </c>
      <c r="CL19" s="159">
        <f>'Detailed Model (LCY)'!CL257</f>
        <v>24555555.555555541</v>
      </c>
      <c r="CM19" s="159">
        <f>'Detailed Model (LCY)'!CM257</f>
        <v>23499999.999999985</v>
      </c>
      <c r="CN19" s="159">
        <f>'Detailed Model (LCY)'!CN257</f>
        <v>22444444.444444429</v>
      </c>
      <c r="CO19" s="159">
        <f>'Detailed Model (LCY)'!CO257</f>
        <v>21388888.888888873</v>
      </c>
      <c r="CP19" s="159">
        <f>'Detailed Model (LCY)'!CP257</f>
        <v>30796296.29629628</v>
      </c>
      <c r="CQ19" s="159">
        <f>'Detailed Model (LCY)'!CQ257</f>
        <v>30203703.703703687</v>
      </c>
      <c r="CR19" s="159">
        <f>'Detailed Model (LCY)'!CR257</f>
        <v>29611111.111111093</v>
      </c>
      <c r="CS19" s="159">
        <f>'Detailed Model (LCY)'!CS257</f>
        <v>29018518.5185185</v>
      </c>
      <c r="CT19" s="159">
        <f>'Detailed Model (LCY)'!CT257</f>
        <v>28425925.925925907</v>
      </c>
      <c r="CU19" s="159">
        <f>'Detailed Model (LCY)'!CU257</f>
        <v>27833333.333333313</v>
      </c>
      <c r="CV19" s="159">
        <f>'Detailed Model (LCY)'!CV257</f>
        <v>27055555.555555537</v>
      </c>
      <c r="CW19" s="159">
        <f>'Detailed Model (LCY)'!CW257</f>
        <v>26277777.777777761</v>
      </c>
      <c r="CX19" s="159">
        <f>'Detailed Model (LCY)'!CX257</f>
        <v>25499999.999999985</v>
      </c>
      <c r="CY19" s="159">
        <f>'Detailed Model (LCY)'!CY257</f>
        <v>24722222.222222209</v>
      </c>
      <c r="CZ19" s="159">
        <f>'Detailed Model (LCY)'!CZ257</f>
        <v>23944444.444444433</v>
      </c>
      <c r="DA19" s="159">
        <f>'Detailed Model (LCY)'!DA257</f>
        <v>23166666.666666657</v>
      </c>
      <c r="DB19" s="159">
        <f>'Detailed Model (LCY)'!DB257</f>
        <v>32388888.888888881</v>
      </c>
      <c r="DC19" s="159">
        <f>'Detailed Model (LCY)'!DC257</f>
        <v>31611111.111111104</v>
      </c>
      <c r="DD19" s="159">
        <f>'Detailed Model (LCY)'!DD257</f>
        <v>30833333.333333328</v>
      </c>
      <c r="DE19" s="159">
        <f>'Detailed Model (LCY)'!DE257</f>
        <v>30055555.555555552</v>
      </c>
      <c r="DF19" s="159">
        <f>'Detailed Model (LCY)'!DF257</f>
        <v>29277777.777777776</v>
      </c>
      <c r="DG19" s="159">
        <f>'Detailed Model (LCY)'!DG257</f>
        <v>28500000</v>
      </c>
      <c r="DH19" s="159">
        <f>'Detailed Model (LCY)'!DH257</f>
        <v>27537037.037037037</v>
      </c>
      <c r="DI19" s="159">
        <f>'Detailed Model (LCY)'!DI257</f>
        <v>26574074.074074075</v>
      </c>
      <c r="DJ19" s="159">
        <f>'Detailed Model (LCY)'!DJ257</f>
        <v>25611111.111111112</v>
      </c>
      <c r="DK19" s="159">
        <f>'Detailed Model (LCY)'!DK257</f>
        <v>24648148.148148149</v>
      </c>
      <c r="DL19" s="159">
        <f>'Detailed Model (LCY)'!DL257</f>
        <v>23685185.185185187</v>
      </c>
      <c r="DM19" s="159">
        <f>'Detailed Model (LCY)'!DM257</f>
        <v>22722222.222222224</v>
      </c>
      <c r="DN19" s="159">
        <f>'Detailed Model (LCY)'!DN257</f>
        <v>34981481.481481485</v>
      </c>
      <c r="DO19" s="159">
        <f>'Detailed Model (LCY)'!DO257</f>
        <v>34240740.740740746</v>
      </c>
      <c r="DP19" s="159">
        <f>'Detailed Model (LCY)'!DP257</f>
        <v>33500000.000000007</v>
      </c>
      <c r="DQ19" s="159">
        <f>'Detailed Model (LCY)'!DQ257</f>
        <v>32759259.259259269</v>
      </c>
      <c r="DR19" s="159">
        <f>'Detailed Model (LCY)'!DR257</f>
        <v>32018518.51851853</v>
      </c>
      <c r="DS19" s="159">
        <f>'Detailed Model (LCY)'!DS257</f>
        <v>31277777.777777791</v>
      </c>
      <c r="DT19" s="159">
        <f>'Detailed Model (LCY)'!DT257</f>
        <v>30296296.29629631</v>
      </c>
      <c r="DU19" s="159">
        <f>'Detailed Model (LCY)'!DU257</f>
        <v>29314814.814814828</v>
      </c>
      <c r="DV19" s="159">
        <f>'Detailed Model (LCY)'!DV257</f>
        <v>28333333.333333347</v>
      </c>
      <c r="DW19" s="159">
        <f>'Detailed Model (LCY)'!DW257</f>
        <v>27351851.851851866</v>
      </c>
      <c r="DX19" s="159">
        <f>'Detailed Model (LCY)'!DX257</f>
        <v>26370370.370370384</v>
      </c>
      <c r="DY19" s="159">
        <f>'Detailed Model (LCY)'!DY257</f>
        <v>25388888.888888903</v>
      </c>
    </row>
    <row r="20" spans="2:129" s="43" customFormat="1">
      <c r="E20" s="558"/>
      <c r="F20" s="560"/>
      <c r="G20" s="128"/>
      <c r="H20" s="128"/>
      <c r="I20" s="46"/>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row>
    <row r="21" spans="2:129" s="43" customFormat="1">
      <c r="B21" s="43" t="s">
        <v>560</v>
      </c>
      <c r="E21" s="558"/>
      <c r="F21" s="560"/>
      <c r="G21" s="128"/>
      <c r="H21" s="128"/>
      <c r="I21" s="46"/>
      <c r="J21" s="559">
        <f>J18/SUM(J$18:J$19)</f>
        <v>0.34579439252336447</v>
      </c>
      <c r="K21" s="559">
        <f t="shared" ref="K21:BV21" si="14">K18/SUM(K$18:K$19)</f>
        <v>0.34579439252336447</v>
      </c>
      <c r="L21" s="559">
        <f t="shared" si="14"/>
        <v>0.34579439252336447</v>
      </c>
      <c r="M21" s="559">
        <f t="shared" si="14"/>
        <v>0.34579439252336447</v>
      </c>
      <c r="N21" s="559">
        <f t="shared" si="14"/>
        <v>0.34579439252336447</v>
      </c>
      <c r="O21" s="559">
        <f t="shared" si="14"/>
        <v>0.34579439252336447</v>
      </c>
      <c r="P21" s="559">
        <f t="shared" si="14"/>
        <v>0.34579439252336447</v>
      </c>
      <c r="Q21" s="559">
        <f t="shared" si="14"/>
        <v>0.34579439252336447</v>
      </c>
      <c r="R21" s="559">
        <f t="shared" si="14"/>
        <v>0.34579439252336447</v>
      </c>
      <c r="S21" s="559">
        <f t="shared" si="14"/>
        <v>0.34579439252336447</v>
      </c>
      <c r="T21" s="559">
        <f t="shared" si="14"/>
        <v>0.34579439252336447</v>
      </c>
      <c r="U21" s="559">
        <f t="shared" si="14"/>
        <v>0.34579439252336447</v>
      </c>
      <c r="V21" s="559">
        <f t="shared" si="14"/>
        <v>0.35501066098081024</v>
      </c>
      <c r="W21" s="559">
        <f t="shared" si="14"/>
        <v>0.36473165388828038</v>
      </c>
      <c r="X21" s="559">
        <f t="shared" si="14"/>
        <v>0.37499999999999994</v>
      </c>
      <c r="Y21" s="559">
        <f t="shared" si="14"/>
        <v>0.38586326767091533</v>
      </c>
      <c r="Z21" s="559">
        <f t="shared" si="14"/>
        <v>0.39737470167064431</v>
      </c>
      <c r="AA21" s="559">
        <f t="shared" si="14"/>
        <v>0.4095940959409593</v>
      </c>
      <c r="AB21" s="559">
        <f t="shared" si="14"/>
        <v>0.42258883248730955</v>
      </c>
      <c r="AC21" s="559">
        <f t="shared" si="14"/>
        <v>0.43643512450851896</v>
      </c>
      <c r="AD21" s="559">
        <f t="shared" si="14"/>
        <v>0.45121951219512191</v>
      </c>
      <c r="AE21" s="559">
        <f t="shared" si="14"/>
        <v>0.46704067321178111</v>
      </c>
      <c r="AF21" s="559">
        <f t="shared" si="14"/>
        <v>0.48401162790697672</v>
      </c>
      <c r="AG21" s="559">
        <f t="shared" si="14"/>
        <v>0.50226244343891402</v>
      </c>
      <c r="AH21" s="559">
        <f t="shared" si="14"/>
        <v>0.34075967859751649</v>
      </c>
      <c r="AI21" s="559">
        <f t="shared" si="14"/>
        <v>0.34389974198304463</v>
      </c>
      <c r="AJ21" s="559">
        <f t="shared" si="14"/>
        <v>0.3470982142857143</v>
      </c>
      <c r="AK21" s="559">
        <f t="shared" si="14"/>
        <v>0.35035674051821258</v>
      </c>
      <c r="AL21" s="559">
        <f t="shared" si="14"/>
        <v>0.35367702805155427</v>
      </c>
      <c r="AM21" s="559">
        <f t="shared" si="14"/>
        <v>0.35706084959816309</v>
      </c>
      <c r="AN21" s="559">
        <f t="shared" si="14"/>
        <v>0.36442149119000095</v>
      </c>
      <c r="AO21" s="559">
        <f t="shared" si="14"/>
        <v>0.37209199273275145</v>
      </c>
      <c r="AP21" s="559">
        <f t="shared" si="14"/>
        <v>0.38009234111895718</v>
      </c>
      <c r="AQ21" s="559">
        <f t="shared" si="14"/>
        <v>0.3884442799648426</v>
      </c>
      <c r="AR21" s="559">
        <f t="shared" si="14"/>
        <v>0.39717150695298475</v>
      </c>
      <c r="AS21" s="559">
        <f t="shared" si="14"/>
        <v>0.40629989838873581</v>
      </c>
      <c r="AT21" s="559">
        <f t="shared" si="14"/>
        <v>0.41127491796052323</v>
      </c>
      <c r="AU21" s="559">
        <f t="shared" si="14"/>
        <v>0.41637328308623012</v>
      </c>
      <c r="AV21" s="559">
        <f t="shared" si="14"/>
        <v>0.42159963849977422</v>
      </c>
      <c r="AW21" s="559">
        <f t="shared" si="14"/>
        <v>0.42695886510398146</v>
      </c>
      <c r="AX21" s="559">
        <f t="shared" si="14"/>
        <v>0.43245609517433192</v>
      </c>
      <c r="AY21" s="559">
        <f t="shared" si="14"/>
        <v>0.43809672875254357</v>
      </c>
      <c r="AZ21" s="559">
        <f t="shared" si="14"/>
        <v>0.44388645134006466</v>
      </c>
      <c r="BA21" s="559">
        <f t="shared" si="14"/>
        <v>0.44983125301333921</v>
      </c>
      <c r="BB21" s="559">
        <f t="shared" si="14"/>
        <v>0.45593744909594414</v>
      </c>
      <c r="BC21" s="559">
        <f t="shared" si="14"/>
        <v>0.46221170253756827</v>
      </c>
      <c r="BD21" s="559">
        <f t="shared" si="14"/>
        <v>0.46866104816654586</v>
      </c>
      <c r="BE21" s="559">
        <f t="shared" si="14"/>
        <v>0.47529291900152842</v>
      </c>
      <c r="BF21" s="559">
        <f t="shared" si="14"/>
        <v>0.35138301878896938</v>
      </c>
      <c r="BG21" s="559">
        <f t="shared" si="14"/>
        <v>0.35509789825347832</v>
      </c>
      <c r="BH21" s="559">
        <f t="shared" si="14"/>
        <v>0.35889216566226445</v>
      </c>
      <c r="BI21" s="559">
        <f t="shared" si="14"/>
        <v>0.36276839331230837</v>
      </c>
      <c r="BJ21" s="559">
        <f t="shared" si="14"/>
        <v>0.36672926584268689</v>
      </c>
      <c r="BK21" s="559">
        <f t="shared" si="14"/>
        <v>0.37077758643528952</v>
      </c>
      <c r="BL21" s="559">
        <f t="shared" si="14"/>
        <v>0.37693585312205424</v>
      </c>
      <c r="BM21" s="559">
        <f t="shared" si="14"/>
        <v>0.38330214086821573</v>
      </c>
      <c r="BN21" s="559">
        <f t="shared" si="14"/>
        <v>0.38988717091516939</v>
      </c>
      <c r="BO21" s="559">
        <f t="shared" si="14"/>
        <v>0.39670241413521062</v>
      </c>
      <c r="BP21" s="559">
        <f t="shared" si="14"/>
        <v>0.40376015771505519</v>
      </c>
      <c r="BQ21" s="559">
        <f t="shared" si="14"/>
        <v>0.41107357908650333</v>
      </c>
      <c r="BR21" s="559">
        <f t="shared" si="14"/>
        <v>0.32985033586047074</v>
      </c>
      <c r="BS21" s="559">
        <f t="shared" si="14"/>
        <v>0.33471519113485088</v>
      </c>
      <c r="BT21" s="559">
        <f t="shared" si="14"/>
        <v>0.33972569486588194</v>
      </c>
      <c r="BU21" s="559">
        <f t="shared" si="14"/>
        <v>0.34488848728796173</v>
      </c>
      <c r="BV21" s="559">
        <f t="shared" si="14"/>
        <v>0.35021061850940505</v>
      </c>
      <c r="BW21" s="559">
        <f t="shared" ref="BW21:CC21" si="15">BW18/SUM(BW$18:BW$19)</f>
        <v>0.35569958063286333</v>
      </c>
      <c r="BX21" s="559">
        <f t="shared" si="15"/>
        <v>0.362925184768985</v>
      </c>
      <c r="BY21" s="559">
        <f t="shared" si="15"/>
        <v>0.37045043455243326</v>
      </c>
      <c r="BZ21" s="559">
        <f t="shared" si="15"/>
        <v>0.37829436410325734</v>
      </c>
      <c r="CA21" s="559">
        <f t="shared" si="15"/>
        <v>0.38647765453122862</v>
      </c>
      <c r="CB21" s="559">
        <f t="shared" si="15"/>
        <v>0.39502281601354872</v>
      </c>
      <c r="CC21" s="559">
        <f t="shared" si="15"/>
        <v>0.40395439457353172</v>
      </c>
      <c r="CD21" s="559">
        <f t="shared" ref="CD21:DY21" si="16">CD18/SUM(CD$18:CD$19)</f>
        <v>0.32651553447136145</v>
      </c>
      <c r="CE21" s="559">
        <f t="shared" si="16"/>
        <v>0.33259397156097764</v>
      </c>
      <c r="CF21" s="559">
        <f t="shared" si="16"/>
        <v>0.3389030148928443</v>
      </c>
      <c r="CG21" s="559">
        <f t="shared" si="16"/>
        <v>0.34545604146953562</v>
      </c>
      <c r="CH21" s="559">
        <f t="shared" si="16"/>
        <v>0.3522674833242439</v>
      </c>
      <c r="CI21" s="559">
        <f t="shared" si="16"/>
        <v>0.35935293362434212</v>
      </c>
      <c r="CJ21" s="559">
        <f t="shared" si="16"/>
        <v>0.36833793920252672</v>
      </c>
      <c r="CK21" s="559">
        <f t="shared" si="16"/>
        <v>0.37778377648805522</v>
      </c>
      <c r="CL21" s="559">
        <f t="shared" si="16"/>
        <v>0.38772683197118735</v>
      </c>
      <c r="CM21" s="559">
        <f t="shared" si="16"/>
        <v>0.39820742637644063</v>
      </c>
      <c r="CN21" s="559">
        <f t="shared" si="16"/>
        <v>0.40927036116391297</v>
      </c>
      <c r="CO21" s="559">
        <f t="shared" si="16"/>
        <v>0.42096555873063635</v>
      </c>
      <c r="CP21" s="559">
        <f t="shared" si="16"/>
        <v>0.33551764094777647</v>
      </c>
      <c r="CQ21" s="559">
        <f t="shared" si="16"/>
        <v>0.33986319666491288</v>
      </c>
      <c r="CR21" s="559">
        <f t="shared" si="16"/>
        <v>0.34432279493172607</v>
      </c>
      <c r="CS21" s="559">
        <f t="shared" si="16"/>
        <v>0.34890098475090386</v>
      </c>
      <c r="CT21" s="559">
        <f t="shared" si="16"/>
        <v>0.35360256032340942</v>
      </c>
      <c r="CU21" s="559">
        <f t="shared" si="16"/>
        <v>0.35843257779485227</v>
      </c>
      <c r="CV21" s="559">
        <f t="shared" si="16"/>
        <v>0.36497587690702843</v>
      </c>
      <c r="CW21" s="559">
        <f t="shared" si="16"/>
        <v>0.37176251826271767</v>
      </c>
      <c r="CX21" s="559">
        <f t="shared" si="16"/>
        <v>0.37880633373934242</v>
      </c>
      <c r="CY21" s="559">
        <f t="shared" si="16"/>
        <v>0.38612222375500083</v>
      </c>
      <c r="CZ21" s="559">
        <f t="shared" si="16"/>
        <v>0.39372626248417508</v>
      </c>
      <c r="DA21" s="559">
        <f t="shared" si="16"/>
        <v>0.40163581575548868</v>
      </c>
      <c r="DB21" s="559">
        <f t="shared" si="16"/>
        <v>0.32437130606095732</v>
      </c>
      <c r="DC21" s="559">
        <f t="shared" si="16"/>
        <v>0.32972081517257634</v>
      </c>
      <c r="DD21" s="559">
        <f t="shared" si="16"/>
        <v>0.33524973050664753</v>
      </c>
      <c r="DE21" s="559">
        <f t="shared" si="16"/>
        <v>0.34096723108783045</v>
      </c>
      <c r="DF21" s="559">
        <f t="shared" si="16"/>
        <v>0.34688313297806422</v>
      </c>
      <c r="DG21" s="559">
        <f t="shared" si="16"/>
        <v>0.35300794551645859</v>
      </c>
      <c r="DH21" s="559">
        <f t="shared" si="16"/>
        <v>0.36089740834658529</v>
      </c>
      <c r="DI21" s="559">
        <f t="shared" si="16"/>
        <v>0.36914757990064623</v>
      </c>
      <c r="DJ21" s="559">
        <f t="shared" si="16"/>
        <v>0.37778377648805506</v>
      </c>
      <c r="DK21" s="559">
        <f t="shared" si="16"/>
        <v>0.38683374026811629</v>
      </c>
      <c r="DL21" s="559">
        <f t="shared" si="16"/>
        <v>0.39632793694246471</v>
      </c>
      <c r="DM21" s="559">
        <f t="shared" si="16"/>
        <v>0.40629989838873565</v>
      </c>
      <c r="DN21" s="559">
        <f t="shared" si="16"/>
        <v>0.30772895518012239</v>
      </c>
      <c r="DO21" s="559">
        <f t="shared" si="16"/>
        <v>0.31230706289284782</v>
      </c>
      <c r="DP21" s="559">
        <f t="shared" si="16"/>
        <v>0.31702344546381239</v>
      </c>
      <c r="DQ21" s="559">
        <f t="shared" si="16"/>
        <v>0.32188446352589406</v>
      </c>
      <c r="DR21" s="559">
        <f t="shared" si="16"/>
        <v>0.32689687390508809</v>
      </c>
      <c r="DS21" s="559">
        <f t="shared" si="16"/>
        <v>0.33206786095622248</v>
      </c>
      <c r="DT21" s="559">
        <f t="shared" si="16"/>
        <v>0.3391767984812375</v>
      </c>
      <c r="DU21" s="559">
        <f t="shared" si="16"/>
        <v>0.3465967721963098</v>
      </c>
      <c r="DV21" s="559">
        <f t="shared" si="16"/>
        <v>0.35434865172806679</v>
      </c>
      <c r="DW21" s="559">
        <f t="shared" si="16"/>
        <v>0.36245521647170531</v>
      </c>
      <c r="DX21" s="559">
        <f t="shared" si="16"/>
        <v>0.37094137915801551</v>
      </c>
      <c r="DY21" s="559">
        <f t="shared" si="16"/>
        <v>0.37983444157959007</v>
      </c>
    </row>
    <row r="22" spans="2:129" s="43" customFormat="1">
      <c r="B22" s="43" t="s">
        <v>559</v>
      </c>
      <c r="E22" s="558"/>
      <c r="F22" s="557"/>
      <c r="G22" s="128"/>
      <c r="H22" s="128"/>
      <c r="J22" s="559">
        <f>J19/SUM(J$18:J$19)</f>
        <v>0.65420560747663548</v>
      </c>
      <c r="K22" s="559">
        <f t="shared" ref="K22:BV22" si="17">K19/SUM(K$18:K$19)</f>
        <v>0.65420560747663548</v>
      </c>
      <c r="L22" s="559">
        <f t="shared" si="17"/>
        <v>0.65420560747663548</v>
      </c>
      <c r="M22" s="559">
        <f t="shared" si="17"/>
        <v>0.65420560747663548</v>
      </c>
      <c r="N22" s="559">
        <f t="shared" si="17"/>
        <v>0.65420560747663548</v>
      </c>
      <c r="O22" s="559">
        <f t="shared" si="17"/>
        <v>0.65420560747663548</v>
      </c>
      <c r="P22" s="559">
        <f t="shared" si="17"/>
        <v>0.65420560747663548</v>
      </c>
      <c r="Q22" s="559">
        <f t="shared" si="17"/>
        <v>0.65420560747663548</v>
      </c>
      <c r="R22" s="559">
        <f t="shared" si="17"/>
        <v>0.65420560747663548</v>
      </c>
      <c r="S22" s="559">
        <f t="shared" si="17"/>
        <v>0.65420560747663548</v>
      </c>
      <c r="T22" s="559">
        <f t="shared" si="17"/>
        <v>0.65420560747663548</v>
      </c>
      <c r="U22" s="559">
        <f t="shared" si="17"/>
        <v>0.65420560747663548</v>
      </c>
      <c r="V22" s="559">
        <f t="shared" si="17"/>
        <v>0.64498933901918976</v>
      </c>
      <c r="W22" s="559">
        <f t="shared" si="17"/>
        <v>0.63526834611171967</v>
      </c>
      <c r="X22" s="559">
        <f t="shared" si="17"/>
        <v>0.625</v>
      </c>
      <c r="Y22" s="559">
        <f t="shared" si="17"/>
        <v>0.61413673232908461</v>
      </c>
      <c r="Z22" s="559">
        <f t="shared" si="17"/>
        <v>0.60262529832935574</v>
      </c>
      <c r="AA22" s="559">
        <f t="shared" si="17"/>
        <v>0.59040590405904059</v>
      </c>
      <c r="AB22" s="559">
        <f t="shared" si="17"/>
        <v>0.57741116751269039</v>
      </c>
      <c r="AC22" s="559">
        <f t="shared" si="17"/>
        <v>0.56356487549148115</v>
      </c>
      <c r="AD22" s="559">
        <f t="shared" si="17"/>
        <v>0.54878048780487809</v>
      </c>
      <c r="AE22" s="559">
        <f t="shared" si="17"/>
        <v>0.53295932678821878</v>
      </c>
      <c r="AF22" s="559">
        <f t="shared" si="17"/>
        <v>0.51598837209302328</v>
      </c>
      <c r="AG22" s="559">
        <f t="shared" si="17"/>
        <v>0.49773755656108604</v>
      </c>
      <c r="AH22" s="559">
        <f t="shared" si="17"/>
        <v>0.65924032140248356</v>
      </c>
      <c r="AI22" s="559">
        <f t="shared" si="17"/>
        <v>0.65610025801695537</v>
      </c>
      <c r="AJ22" s="559">
        <f t="shared" si="17"/>
        <v>0.65290178571428559</v>
      </c>
      <c r="AK22" s="559">
        <f t="shared" si="17"/>
        <v>0.64964325948178747</v>
      </c>
      <c r="AL22" s="559">
        <f t="shared" si="17"/>
        <v>0.64632297194844579</v>
      </c>
      <c r="AM22" s="559">
        <f t="shared" si="17"/>
        <v>0.64293915040183691</v>
      </c>
      <c r="AN22" s="559">
        <f t="shared" si="17"/>
        <v>0.63557850880999911</v>
      </c>
      <c r="AO22" s="559">
        <f t="shared" si="17"/>
        <v>0.6279080072672486</v>
      </c>
      <c r="AP22" s="559">
        <f t="shared" si="17"/>
        <v>0.61990765888104271</v>
      </c>
      <c r="AQ22" s="559">
        <f t="shared" si="17"/>
        <v>0.61155572003515746</v>
      </c>
      <c r="AR22" s="559">
        <f t="shared" si="17"/>
        <v>0.60282849304701536</v>
      </c>
      <c r="AS22" s="559">
        <f t="shared" si="17"/>
        <v>0.59370010161126419</v>
      </c>
      <c r="AT22" s="559">
        <f t="shared" si="17"/>
        <v>0.58872508203947671</v>
      </c>
      <c r="AU22" s="559">
        <f t="shared" si="17"/>
        <v>0.58362671691376988</v>
      </c>
      <c r="AV22" s="559">
        <f t="shared" si="17"/>
        <v>0.57840036150022578</v>
      </c>
      <c r="AW22" s="559">
        <f t="shared" si="17"/>
        <v>0.5730411348960186</v>
      </c>
      <c r="AX22" s="559">
        <f t="shared" si="17"/>
        <v>0.56754390482566808</v>
      </c>
      <c r="AY22" s="559">
        <f t="shared" si="17"/>
        <v>0.56190327124745643</v>
      </c>
      <c r="AZ22" s="559">
        <f t="shared" si="17"/>
        <v>0.55611354865993534</v>
      </c>
      <c r="BA22" s="559">
        <f t="shared" si="17"/>
        <v>0.55016874698666085</v>
      </c>
      <c r="BB22" s="559">
        <f t="shared" si="17"/>
        <v>0.54406255090405586</v>
      </c>
      <c r="BC22" s="559">
        <f t="shared" si="17"/>
        <v>0.53778829746243173</v>
      </c>
      <c r="BD22" s="559">
        <f t="shared" si="17"/>
        <v>0.53133895183345414</v>
      </c>
      <c r="BE22" s="559">
        <f t="shared" si="17"/>
        <v>0.52470708099847163</v>
      </c>
      <c r="BF22" s="559">
        <f t="shared" si="17"/>
        <v>0.64861698121103062</v>
      </c>
      <c r="BG22" s="559">
        <f t="shared" si="17"/>
        <v>0.64490210174652163</v>
      </c>
      <c r="BH22" s="559">
        <f t="shared" si="17"/>
        <v>0.64110783433773555</v>
      </c>
      <c r="BI22" s="559">
        <f t="shared" si="17"/>
        <v>0.63723160668769163</v>
      </c>
      <c r="BJ22" s="559">
        <f t="shared" si="17"/>
        <v>0.63327073415731316</v>
      </c>
      <c r="BK22" s="559">
        <f t="shared" si="17"/>
        <v>0.62922241356471054</v>
      </c>
      <c r="BL22" s="559">
        <f t="shared" si="17"/>
        <v>0.62306414687794576</v>
      </c>
      <c r="BM22" s="559">
        <f t="shared" si="17"/>
        <v>0.61669785913178421</v>
      </c>
      <c r="BN22" s="559">
        <f t="shared" si="17"/>
        <v>0.61011282908483067</v>
      </c>
      <c r="BO22" s="559">
        <f t="shared" si="17"/>
        <v>0.60329758586478943</v>
      </c>
      <c r="BP22" s="559">
        <f t="shared" si="17"/>
        <v>0.59623984228494475</v>
      </c>
      <c r="BQ22" s="559">
        <f t="shared" si="17"/>
        <v>0.58892642091349667</v>
      </c>
      <c r="BR22" s="559">
        <f t="shared" si="17"/>
        <v>0.67014966413952926</v>
      </c>
      <c r="BS22" s="559">
        <f t="shared" si="17"/>
        <v>0.66528480886514918</v>
      </c>
      <c r="BT22" s="559">
        <f t="shared" si="17"/>
        <v>0.66027430513411811</v>
      </c>
      <c r="BU22" s="559">
        <f t="shared" si="17"/>
        <v>0.65511151271203827</v>
      </c>
      <c r="BV22" s="559">
        <f t="shared" si="17"/>
        <v>0.64978938149059495</v>
      </c>
      <c r="BW22" s="559">
        <f t="shared" ref="BW22:CC22" si="18">BW19/SUM(BW$18:BW$19)</f>
        <v>0.64430041936713667</v>
      </c>
      <c r="BX22" s="559">
        <f t="shared" si="18"/>
        <v>0.63707481523101506</v>
      </c>
      <c r="BY22" s="559">
        <f t="shared" si="18"/>
        <v>0.62954956544756679</v>
      </c>
      <c r="BZ22" s="559">
        <f t="shared" si="18"/>
        <v>0.62170563589674255</v>
      </c>
      <c r="CA22" s="559">
        <f t="shared" si="18"/>
        <v>0.61352234546877138</v>
      </c>
      <c r="CB22" s="559">
        <f t="shared" si="18"/>
        <v>0.60497718398645139</v>
      </c>
      <c r="CC22" s="559">
        <f t="shared" si="18"/>
        <v>0.59604560542646823</v>
      </c>
      <c r="CD22" s="559">
        <f t="shared" ref="CD22:DY22" si="19">CD19/SUM(CD$18:CD$19)</f>
        <v>0.6734844655286385</v>
      </c>
      <c r="CE22" s="559">
        <f t="shared" si="19"/>
        <v>0.6674060284390223</v>
      </c>
      <c r="CF22" s="559">
        <f t="shared" si="19"/>
        <v>0.66109698510715575</v>
      </c>
      <c r="CG22" s="559">
        <f t="shared" si="19"/>
        <v>0.65454395853046432</v>
      </c>
      <c r="CH22" s="559">
        <f t="shared" si="19"/>
        <v>0.64773251667575604</v>
      </c>
      <c r="CI22" s="559">
        <f t="shared" si="19"/>
        <v>0.64064706637565783</v>
      </c>
      <c r="CJ22" s="559">
        <f t="shared" si="19"/>
        <v>0.63166206079747322</v>
      </c>
      <c r="CK22" s="559">
        <f t="shared" si="19"/>
        <v>0.62221622351194483</v>
      </c>
      <c r="CL22" s="559">
        <f t="shared" si="19"/>
        <v>0.61227316802881282</v>
      </c>
      <c r="CM22" s="559">
        <f t="shared" si="19"/>
        <v>0.60179257362355942</v>
      </c>
      <c r="CN22" s="559">
        <f t="shared" si="19"/>
        <v>0.59072963883608698</v>
      </c>
      <c r="CO22" s="559">
        <f t="shared" si="19"/>
        <v>0.57903444126936365</v>
      </c>
      <c r="CP22" s="559">
        <f t="shared" si="19"/>
        <v>0.66448235905222341</v>
      </c>
      <c r="CQ22" s="559">
        <f t="shared" si="19"/>
        <v>0.66013680333508706</v>
      </c>
      <c r="CR22" s="559">
        <f t="shared" si="19"/>
        <v>0.65567720506827398</v>
      </c>
      <c r="CS22" s="559">
        <f t="shared" si="19"/>
        <v>0.65109901524909608</v>
      </c>
      <c r="CT22" s="559">
        <f t="shared" si="19"/>
        <v>0.64639743967659047</v>
      </c>
      <c r="CU22" s="559">
        <f t="shared" si="19"/>
        <v>0.64156742220514773</v>
      </c>
      <c r="CV22" s="559">
        <f t="shared" si="19"/>
        <v>0.63502412309297152</v>
      </c>
      <c r="CW22" s="559">
        <f t="shared" si="19"/>
        <v>0.62823748173728233</v>
      </c>
      <c r="CX22" s="559">
        <f t="shared" si="19"/>
        <v>0.62119366626065764</v>
      </c>
      <c r="CY22" s="559">
        <f t="shared" si="19"/>
        <v>0.61387777624499917</v>
      </c>
      <c r="CZ22" s="559">
        <f t="shared" si="19"/>
        <v>0.60627373751582492</v>
      </c>
      <c r="DA22" s="559">
        <f t="shared" si="19"/>
        <v>0.59836418424451132</v>
      </c>
      <c r="DB22" s="559">
        <f t="shared" si="19"/>
        <v>0.67562869393904268</v>
      </c>
      <c r="DC22" s="559">
        <f t="shared" si="19"/>
        <v>0.67027918482742366</v>
      </c>
      <c r="DD22" s="559">
        <f t="shared" si="19"/>
        <v>0.66475026949335247</v>
      </c>
      <c r="DE22" s="559">
        <f t="shared" si="19"/>
        <v>0.65903276891216955</v>
      </c>
      <c r="DF22" s="559">
        <f t="shared" si="19"/>
        <v>0.65311686702193583</v>
      </c>
      <c r="DG22" s="559">
        <f t="shared" si="19"/>
        <v>0.64699205448354147</v>
      </c>
      <c r="DH22" s="559">
        <f t="shared" si="19"/>
        <v>0.63910259165341476</v>
      </c>
      <c r="DI22" s="559">
        <f t="shared" si="19"/>
        <v>0.63085242009935372</v>
      </c>
      <c r="DJ22" s="559">
        <f t="shared" si="19"/>
        <v>0.62221622351194494</v>
      </c>
      <c r="DK22" s="559">
        <f t="shared" si="19"/>
        <v>0.61316625973188377</v>
      </c>
      <c r="DL22" s="559">
        <f t="shared" si="19"/>
        <v>0.60367206305753529</v>
      </c>
      <c r="DM22" s="559">
        <f t="shared" si="19"/>
        <v>0.5937001016112643</v>
      </c>
      <c r="DN22" s="559">
        <f t="shared" si="19"/>
        <v>0.69227104481987767</v>
      </c>
      <c r="DO22" s="559">
        <f t="shared" si="19"/>
        <v>0.68769293710715218</v>
      </c>
      <c r="DP22" s="559">
        <f t="shared" si="19"/>
        <v>0.68297655453618766</v>
      </c>
      <c r="DQ22" s="559">
        <f t="shared" si="19"/>
        <v>0.67811553647410594</v>
      </c>
      <c r="DR22" s="559">
        <f t="shared" si="19"/>
        <v>0.67310312609491185</v>
      </c>
      <c r="DS22" s="559">
        <f t="shared" si="19"/>
        <v>0.66793213904377757</v>
      </c>
      <c r="DT22" s="559">
        <f t="shared" si="19"/>
        <v>0.66082320151876239</v>
      </c>
      <c r="DU22" s="559">
        <f t="shared" si="19"/>
        <v>0.6534032278036902</v>
      </c>
      <c r="DV22" s="559">
        <f t="shared" si="19"/>
        <v>0.64565134827193327</v>
      </c>
      <c r="DW22" s="559">
        <f t="shared" si="19"/>
        <v>0.63754478352829469</v>
      </c>
      <c r="DX22" s="559">
        <f t="shared" si="19"/>
        <v>0.62905862084198438</v>
      </c>
      <c r="DY22" s="559">
        <f t="shared" si="19"/>
        <v>0.62016555842040999</v>
      </c>
    </row>
    <row r="23" spans="2:129" s="43" customFormat="1">
      <c r="B23" s="43" t="s">
        <v>562</v>
      </c>
      <c r="E23" s="560">
        <f>'Cost of capital'!C8</f>
        <v>0.33849999999999997</v>
      </c>
      <c r="F23" s="557"/>
      <c r="G23" s="128"/>
      <c r="H23" s="128"/>
      <c r="J23" s="571"/>
      <c r="K23" s="571"/>
      <c r="L23" s="571"/>
      <c r="M23" s="571"/>
      <c r="N23" s="571"/>
      <c r="O23" s="571"/>
      <c r="P23" s="571"/>
      <c r="Q23" s="571"/>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c r="BH23" s="571"/>
      <c r="BI23" s="571"/>
      <c r="BJ23" s="571"/>
      <c r="BK23" s="571"/>
      <c r="BL23" s="571"/>
      <c r="BM23" s="571"/>
      <c r="BN23" s="571"/>
      <c r="BO23" s="571"/>
      <c r="BP23" s="571"/>
      <c r="BQ23" s="571"/>
      <c r="BR23" s="571"/>
      <c r="BS23" s="571"/>
      <c r="BT23" s="571"/>
      <c r="BU23" s="571"/>
      <c r="BV23" s="571"/>
      <c r="BW23" s="571"/>
      <c r="BX23" s="571"/>
      <c r="BY23" s="571"/>
      <c r="BZ23" s="571"/>
      <c r="CA23" s="571"/>
      <c r="CB23" s="571"/>
      <c r="CC23" s="571"/>
      <c r="CD23" s="571"/>
      <c r="CE23" s="571"/>
      <c r="CF23" s="571"/>
      <c r="CG23" s="571"/>
      <c r="CH23" s="571"/>
      <c r="CI23" s="571"/>
      <c r="CJ23" s="571"/>
      <c r="CK23" s="571"/>
      <c r="CL23" s="571"/>
      <c r="CM23" s="571"/>
      <c r="CN23" s="571"/>
      <c r="CO23" s="571"/>
      <c r="CP23" s="571"/>
      <c r="CQ23" s="571"/>
      <c r="CR23" s="571"/>
      <c r="CS23" s="571"/>
      <c r="CT23" s="571"/>
      <c r="CU23" s="571"/>
      <c r="CV23" s="571"/>
      <c r="CW23" s="571"/>
      <c r="CX23" s="571"/>
      <c r="CY23" s="571"/>
      <c r="CZ23" s="571"/>
      <c r="DA23" s="571"/>
      <c r="DB23" s="571"/>
      <c r="DC23" s="571"/>
      <c r="DD23" s="571"/>
      <c r="DE23" s="571"/>
      <c r="DF23" s="571"/>
      <c r="DG23" s="571"/>
      <c r="DH23" s="571"/>
      <c r="DI23" s="571"/>
      <c r="DJ23" s="571"/>
      <c r="DK23" s="571"/>
      <c r="DL23" s="571"/>
      <c r="DM23" s="571"/>
      <c r="DN23" s="571"/>
      <c r="DO23" s="571"/>
      <c r="DP23" s="571"/>
      <c r="DQ23" s="571"/>
      <c r="DR23" s="571"/>
      <c r="DS23" s="571"/>
      <c r="DT23" s="571"/>
      <c r="DU23" s="571"/>
      <c r="DV23" s="571"/>
      <c r="DW23" s="571"/>
      <c r="DX23" s="571"/>
      <c r="DY23" s="571"/>
    </row>
    <row r="24" spans="2:129" s="43" customFormat="1">
      <c r="B24" s="43" t="s">
        <v>563</v>
      </c>
      <c r="F24" s="557"/>
      <c r="G24" s="128"/>
      <c r="H24" s="128"/>
      <c r="J24" s="559">
        <f>IFERROR((J34*$E$39+J49*$E$54+J64*$E$69+J79*$E$84+J94*$E$99+J109*$E$114+J124*$E$129+J139*$E$144+J154*$E$159+J169*$E$174)/SUM(J34,J49,J64,J79,J94,J109,J124,J139,J154,J169),0)</f>
        <v>0.125</v>
      </c>
      <c r="K24" s="559">
        <f t="shared" ref="K24:BV24" si="20">IFERROR((K34*$E$39+K49*$E$54+K64*$E$69+K79*$E$84+K94*$E$99+K109*$E$114+K124*$E$129+K139*$E$144+K154*$E$159+K169*$E$174)/SUM(K34,K49,K64,K79,K94,K109,K124,K139,K154,K169),0)</f>
        <v>0.125</v>
      </c>
      <c r="L24" s="559">
        <f t="shared" si="20"/>
        <v>0.125</v>
      </c>
      <c r="M24" s="559">
        <f t="shared" si="20"/>
        <v>0.125</v>
      </c>
      <c r="N24" s="559">
        <f t="shared" si="20"/>
        <v>0.125</v>
      </c>
      <c r="O24" s="559">
        <f t="shared" si="20"/>
        <v>0.125</v>
      </c>
      <c r="P24" s="559">
        <f t="shared" si="20"/>
        <v>0.125</v>
      </c>
      <c r="Q24" s="559">
        <f t="shared" si="20"/>
        <v>0.125</v>
      </c>
      <c r="R24" s="559">
        <f t="shared" si="20"/>
        <v>0.125</v>
      </c>
      <c r="S24" s="559">
        <f t="shared" si="20"/>
        <v>0.125</v>
      </c>
      <c r="T24" s="559">
        <f t="shared" si="20"/>
        <v>0.125</v>
      </c>
      <c r="U24" s="559">
        <f t="shared" si="20"/>
        <v>0.125</v>
      </c>
      <c r="V24" s="559">
        <f t="shared" si="20"/>
        <v>0.125</v>
      </c>
      <c r="W24" s="559">
        <f t="shared" si="20"/>
        <v>0.125</v>
      </c>
      <c r="X24" s="559">
        <f t="shared" si="20"/>
        <v>0.125</v>
      </c>
      <c r="Y24" s="559">
        <f t="shared" si="20"/>
        <v>0.125</v>
      </c>
      <c r="Z24" s="559">
        <f t="shared" si="20"/>
        <v>0.125</v>
      </c>
      <c r="AA24" s="559">
        <f t="shared" si="20"/>
        <v>0.125</v>
      </c>
      <c r="AB24" s="559">
        <f t="shared" si="20"/>
        <v>0.125</v>
      </c>
      <c r="AC24" s="559">
        <f t="shared" si="20"/>
        <v>0.125</v>
      </c>
      <c r="AD24" s="559">
        <f t="shared" si="20"/>
        <v>0.125</v>
      </c>
      <c r="AE24" s="559">
        <f t="shared" si="20"/>
        <v>0.125</v>
      </c>
      <c r="AF24" s="559">
        <f t="shared" si="20"/>
        <v>0.125</v>
      </c>
      <c r="AG24" s="559">
        <f t="shared" si="20"/>
        <v>0.125</v>
      </c>
      <c r="AH24" s="559">
        <f t="shared" si="20"/>
        <v>0.10387323943661972</v>
      </c>
      <c r="AI24" s="559">
        <f t="shared" si="20"/>
        <v>0.10357142857142856</v>
      </c>
      <c r="AJ24" s="559">
        <f t="shared" si="20"/>
        <v>0.10326086956521739</v>
      </c>
      <c r="AK24" s="559">
        <f t="shared" si="20"/>
        <v>0.10294117647058823</v>
      </c>
      <c r="AL24" s="559">
        <f t="shared" si="20"/>
        <v>0.10261194029850747</v>
      </c>
      <c r="AM24" s="559">
        <f t="shared" si="20"/>
        <v>0.10227272727272728</v>
      </c>
      <c r="AN24" s="559">
        <f t="shared" si="20"/>
        <v>0.10195652173913043</v>
      </c>
      <c r="AO24" s="559">
        <f t="shared" si="20"/>
        <v>0.10161870503597123</v>
      </c>
      <c r="AP24" s="559">
        <f t="shared" si="20"/>
        <v>0.10125698324022347</v>
      </c>
      <c r="AQ24" s="559">
        <f t="shared" si="20"/>
        <v>0.10086872586872586</v>
      </c>
      <c r="AR24" s="559">
        <f t="shared" si="20"/>
        <v>0.10045090180360722</v>
      </c>
      <c r="AS24" s="559">
        <f t="shared" si="20"/>
        <v>0.1</v>
      </c>
      <c r="AT24" s="559">
        <f t="shared" si="20"/>
        <v>0.1</v>
      </c>
      <c r="AU24" s="559">
        <f t="shared" si="20"/>
        <v>0.10000000000000002</v>
      </c>
      <c r="AV24" s="559">
        <f t="shared" si="20"/>
        <v>0.1</v>
      </c>
      <c r="AW24" s="559">
        <f t="shared" si="20"/>
        <v>0.1</v>
      </c>
      <c r="AX24" s="559">
        <f t="shared" si="20"/>
        <v>0.1</v>
      </c>
      <c r="AY24" s="559">
        <f t="shared" si="20"/>
        <v>0.1</v>
      </c>
      <c r="AZ24" s="559">
        <f t="shared" si="20"/>
        <v>0.1</v>
      </c>
      <c r="BA24" s="559">
        <f t="shared" si="20"/>
        <v>0.1</v>
      </c>
      <c r="BB24" s="559">
        <f t="shared" si="20"/>
        <v>0.1</v>
      </c>
      <c r="BC24" s="559">
        <f t="shared" si="20"/>
        <v>0.1</v>
      </c>
      <c r="BD24" s="559">
        <f t="shared" si="20"/>
        <v>0.1</v>
      </c>
      <c r="BE24" s="559">
        <f t="shared" si="20"/>
        <v>0.1</v>
      </c>
      <c r="BF24" s="559">
        <f t="shared" si="20"/>
        <v>0.10000000000000002</v>
      </c>
      <c r="BG24" s="559">
        <f t="shared" si="20"/>
        <v>0.1</v>
      </c>
      <c r="BH24" s="559">
        <f t="shared" si="20"/>
        <v>0.1</v>
      </c>
      <c r="BI24" s="559">
        <f t="shared" si="20"/>
        <v>0.1</v>
      </c>
      <c r="BJ24" s="559">
        <f t="shared" si="20"/>
        <v>9.9999999999999992E-2</v>
      </c>
      <c r="BK24" s="559">
        <f t="shared" si="20"/>
        <v>0.10000000000000002</v>
      </c>
      <c r="BL24" s="559">
        <f t="shared" si="20"/>
        <v>0.10000000000000002</v>
      </c>
      <c r="BM24" s="559">
        <f t="shared" si="20"/>
        <v>0.1</v>
      </c>
      <c r="BN24" s="559">
        <f t="shared" si="20"/>
        <v>9.9999999999999978E-2</v>
      </c>
      <c r="BO24" s="559">
        <f t="shared" si="20"/>
        <v>0.1</v>
      </c>
      <c r="BP24" s="559">
        <f t="shared" si="20"/>
        <v>0.10000000000000002</v>
      </c>
      <c r="BQ24" s="559">
        <f t="shared" si="20"/>
        <v>0.1</v>
      </c>
      <c r="BR24" s="559">
        <f t="shared" si="20"/>
        <v>9.9999999999999992E-2</v>
      </c>
      <c r="BS24" s="559">
        <f t="shared" si="20"/>
        <v>0.1</v>
      </c>
      <c r="BT24" s="559">
        <f t="shared" si="20"/>
        <v>0.1</v>
      </c>
      <c r="BU24" s="559">
        <f t="shared" si="20"/>
        <v>9.9999999999999992E-2</v>
      </c>
      <c r="BV24" s="559">
        <f t="shared" si="20"/>
        <v>0.1</v>
      </c>
      <c r="BW24" s="559">
        <f t="shared" ref="BW24:DY24" si="21">IFERROR((BW34*$E$39+BW49*$E$54+BW64*$E$69+BW79*$E$84+BW94*$E$99+BW109*$E$114+BW124*$E$129+BW139*$E$144+BW154*$E$159+BW169*$E$174)/SUM(BW34,BW49,BW64,BW79,BW94,BW109,BW124,BW139,BW154,BW169),0)</f>
        <v>0.1</v>
      </c>
      <c r="BX24" s="559">
        <f t="shared" si="21"/>
        <v>0.10000000000000003</v>
      </c>
      <c r="BY24" s="559">
        <f t="shared" si="21"/>
        <v>0.1</v>
      </c>
      <c r="BZ24" s="559">
        <f t="shared" si="21"/>
        <v>9.9999999999999992E-2</v>
      </c>
      <c r="CA24" s="559">
        <f t="shared" si="21"/>
        <v>0.10000000000000002</v>
      </c>
      <c r="CB24" s="559">
        <f t="shared" si="21"/>
        <v>0.1</v>
      </c>
      <c r="CC24" s="559">
        <f t="shared" si="21"/>
        <v>0.10000000000000002</v>
      </c>
      <c r="CD24" s="559">
        <f t="shared" si="21"/>
        <v>0.1</v>
      </c>
      <c r="CE24" s="559">
        <f t="shared" si="21"/>
        <v>9.9999999999999992E-2</v>
      </c>
      <c r="CF24" s="559">
        <f t="shared" si="21"/>
        <v>0.1</v>
      </c>
      <c r="CG24" s="559">
        <f t="shared" si="21"/>
        <v>0.1</v>
      </c>
      <c r="CH24" s="559">
        <f t="shared" si="21"/>
        <v>0.10000000000000002</v>
      </c>
      <c r="CI24" s="559">
        <f t="shared" si="21"/>
        <v>0.1</v>
      </c>
      <c r="CJ24" s="559">
        <f t="shared" si="21"/>
        <v>9.9999999999999992E-2</v>
      </c>
      <c r="CK24" s="559">
        <f t="shared" si="21"/>
        <v>0.10000000000000002</v>
      </c>
      <c r="CL24" s="559">
        <f t="shared" si="21"/>
        <v>0.1</v>
      </c>
      <c r="CM24" s="559">
        <f t="shared" si="21"/>
        <v>0.1</v>
      </c>
      <c r="CN24" s="559">
        <f t="shared" si="21"/>
        <v>0.10000000000000002</v>
      </c>
      <c r="CO24" s="559">
        <f t="shared" si="21"/>
        <v>0.1</v>
      </c>
      <c r="CP24" s="559">
        <f t="shared" si="21"/>
        <v>0.1</v>
      </c>
      <c r="CQ24" s="559">
        <f t="shared" si="21"/>
        <v>0.1</v>
      </c>
      <c r="CR24" s="559">
        <f t="shared" si="21"/>
        <v>0.10000000000000002</v>
      </c>
      <c r="CS24" s="559">
        <f t="shared" si="21"/>
        <v>0.1</v>
      </c>
      <c r="CT24" s="559">
        <f t="shared" si="21"/>
        <v>9.9999999999999992E-2</v>
      </c>
      <c r="CU24" s="559">
        <f t="shared" si="21"/>
        <v>0.1</v>
      </c>
      <c r="CV24" s="559">
        <f t="shared" si="21"/>
        <v>0.10000000000000002</v>
      </c>
      <c r="CW24" s="559">
        <f t="shared" si="21"/>
        <v>0.10000000000000002</v>
      </c>
      <c r="CX24" s="559">
        <f t="shared" si="21"/>
        <v>0.1</v>
      </c>
      <c r="CY24" s="559">
        <f t="shared" si="21"/>
        <v>0.1</v>
      </c>
      <c r="CZ24" s="559">
        <f t="shared" si="21"/>
        <v>0.1</v>
      </c>
      <c r="DA24" s="559">
        <f t="shared" si="21"/>
        <v>0.10000000000000002</v>
      </c>
      <c r="DB24" s="559">
        <f t="shared" si="21"/>
        <v>0.1</v>
      </c>
      <c r="DC24" s="559">
        <f t="shared" si="21"/>
        <v>0.1</v>
      </c>
      <c r="DD24" s="559">
        <f t="shared" si="21"/>
        <v>0.10000000000000002</v>
      </c>
      <c r="DE24" s="559">
        <f t="shared" si="21"/>
        <v>0.1</v>
      </c>
      <c r="DF24" s="559">
        <f t="shared" si="21"/>
        <v>0.1</v>
      </c>
      <c r="DG24" s="559">
        <f t="shared" si="21"/>
        <v>0.10000000000000002</v>
      </c>
      <c r="DH24" s="559">
        <f t="shared" si="21"/>
        <v>0.1</v>
      </c>
      <c r="DI24" s="559">
        <f t="shared" si="21"/>
        <v>0.1</v>
      </c>
      <c r="DJ24" s="559">
        <f t="shared" si="21"/>
        <v>0.1</v>
      </c>
      <c r="DK24" s="559">
        <f t="shared" si="21"/>
        <v>0.1</v>
      </c>
      <c r="DL24" s="559">
        <f t="shared" si="21"/>
        <v>0.1</v>
      </c>
      <c r="DM24" s="559">
        <f t="shared" si="21"/>
        <v>0.1</v>
      </c>
      <c r="DN24" s="559">
        <f t="shared" si="21"/>
        <v>0.1</v>
      </c>
      <c r="DO24" s="559">
        <f t="shared" si="21"/>
        <v>0.1</v>
      </c>
      <c r="DP24" s="559">
        <f t="shared" si="21"/>
        <v>9.9999999999999992E-2</v>
      </c>
      <c r="DQ24" s="559">
        <f t="shared" si="21"/>
        <v>0.1</v>
      </c>
      <c r="DR24" s="559">
        <f t="shared" si="21"/>
        <v>0.1</v>
      </c>
      <c r="DS24" s="559">
        <f t="shared" si="21"/>
        <v>9.9999999999999992E-2</v>
      </c>
      <c r="DT24" s="559">
        <f t="shared" si="21"/>
        <v>0.10000000000000002</v>
      </c>
      <c r="DU24" s="559">
        <f t="shared" si="21"/>
        <v>0.10000000000000002</v>
      </c>
      <c r="DV24" s="559">
        <f t="shared" si="21"/>
        <v>0.1</v>
      </c>
      <c r="DW24" s="559">
        <f t="shared" si="21"/>
        <v>0.1</v>
      </c>
      <c r="DX24" s="559">
        <f t="shared" si="21"/>
        <v>0.10000000000000002</v>
      </c>
      <c r="DY24" s="559">
        <f t="shared" si="21"/>
        <v>0.1</v>
      </c>
    </row>
    <row r="25" spans="2:129" s="43" customFormat="1">
      <c r="B25" s="43" t="s">
        <v>464</v>
      </c>
      <c r="E25" s="560">
        <f>_Corp.Tax.r</f>
        <v>0.4</v>
      </c>
      <c r="F25" s="557"/>
      <c r="G25" s="128"/>
      <c r="H25" s="128"/>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row>
    <row r="26" spans="2:129" s="43" customFormat="1">
      <c r="E26" s="558"/>
      <c r="F26" s="557"/>
      <c r="G26" s="128"/>
      <c r="H26" s="128"/>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row>
    <row r="27" spans="2:129" s="43" customFormat="1">
      <c r="B27" s="43" t="s">
        <v>561</v>
      </c>
      <c r="E27" s="558"/>
      <c r="G27" s="128"/>
      <c r="H27" s="128"/>
      <c r="J27" s="559">
        <f>($E$23*J21)+J24*(1-$E$25)*J22</f>
        <v>0.16611682242990652</v>
      </c>
      <c r="K27" s="559">
        <f>($E$23*K21)+K24*(1-$E$25)*K22</f>
        <v>0.16611682242990652</v>
      </c>
      <c r="L27" s="559">
        <f>($E$23*L21)+L24*(1-$E$25)*L22</f>
        <v>0.16611682242990652</v>
      </c>
      <c r="M27" s="559">
        <f>($E$23*M21)+M24*(1-$E$25)*M22</f>
        <v>0.16611682242990652</v>
      </c>
      <c r="N27" s="559">
        <f t="shared" ref="N27:BV27" si="22">($E$23*N21)+N24*(1-$E$25)*N22</f>
        <v>0.16611682242990652</v>
      </c>
      <c r="O27" s="559">
        <f t="shared" si="22"/>
        <v>0.16611682242990652</v>
      </c>
      <c r="P27" s="559">
        <f t="shared" si="22"/>
        <v>0.16611682242990652</v>
      </c>
      <c r="Q27" s="559">
        <f t="shared" si="22"/>
        <v>0.16611682242990652</v>
      </c>
      <c r="R27" s="559">
        <f t="shared" si="22"/>
        <v>0.16611682242990652</v>
      </c>
      <c r="S27" s="559">
        <f t="shared" si="22"/>
        <v>0.16611682242990652</v>
      </c>
      <c r="T27" s="559">
        <f t="shared" si="22"/>
        <v>0.16611682242990652</v>
      </c>
      <c r="U27" s="559">
        <f t="shared" si="22"/>
        <v>0.16611682242990652</v>
      </c>
      <c r="V27" s="559">
        <f t="shared" si="22"/>
        <v>0.16854530916844349</v>
      </c>
      <c r="W27" s="559">
        <f t="shared" si="22"/>
        <v>0.17110679079956187</v>
      </c>
      <c r="X27" s="559">
        <f t="shared" si="22"/>
        <v>0.17381249999999998</v>
      </c>
      <c r="Y27" s="559">
        <f t="shared" si="22"/>
        <v>0.17667497103128618</v>
      </c>
      <c r="Z27" s="559">
        <f t="shared" si="22"/>
        <v>0.17970823389021476</v>
      </c>
      <c r="AA27" s="559">
        <f t="shared" si="22"/>
        <v>0.18292804428044274</v>
      </c>
      <c r="AB27" s="559">
        <f t="shared" si="22"/>
        <v>0.18635215736040603</v>
      </c>
      <c r="AC27" s="559">
        <f t="shared" si="22"/>
        <v>0.19000065530799476</v>
      </c>
      <c r="AD27" s="559">
        <f t="shared" si="22"/>
        <v>0.19389634146341461</v>
      </c>
      <c r="AE27" s="559">
        <f t="shared" si="22"/>
        <v>0.19806521739130428</v>
      </c>
      <c r="AF27" s="559">
        <f t="shared" si="22"/>
        <v>0.20253706395348833</v>
      </c>
      <c r="AG27" s="559">
        <f t="shared" si="22"/>
        <v>0.20734615384615385</v>
      </c>
      <c r="AH27" s="559">
        <f t="shared" si="22"/>
        <v>0.1564336078560479</v>
      </c>
      <c r="AI27" s="559">
        <f t="shared" si="22"/>
        <v>0.15718200726659998</v>
      </c>
      <c r="AJ27" s="559">
        <f t="shared" si="22"/>
        <v>0.15794426921583848</v>
      </c>
      <c r="AK27" s="559">
        <f t="shared" si="22"/>
        <v>0.15872078151576063</v>
      </c>
      <c r="AL27" s="559">
        <f t="shared" si="22"/>
        <v>0.1595119465221278</v>
      </c>
      <c r="AM27" s="559">
        <f t="shared" si="22"/>
        <v>0.1603181818181818</v>
      </c>
      <c r="AN27" s="559">
        <f t="shared" si="22"/>
        <v>0.16223749919806177</v>
      </c>
      <c r="AO27" s="559">
        <f t="shared" si="22"/>
        <v>0.16423745868816536</v>
      </c>
      <c r="AP27" s="559">
        <f t="shared" si="22"/>
        <v>0.16632324512424934</v>
      </c>
      <c r="AQ27" s="559">
        <f t="shared" si="22"/>
        <v>0.16850049653470572</v>
      </c>
      <c r="AR27" s="559">
        <f t="shared" si="22"/>
        <v>0.17077535455927467</v>
      </c>
      <c r="AS27" s="559">
        <f t="shared" si="22"/>
        <v>0.17315452170126291</v>
      </c>
      <c r="AT27" s="559">
        <f t="shared" si="22"/>
        <v>0.17454006465200569</v>
      </c>
      <c r="AU27" s="559">
        <f t="shared" si="22"/>
        <v>0.17595995933951508</v>
      </c>
      <c r="AV27" s="559">
        <f t="shared" si="22"/>
        <v>0.17741549932218711</v>
      </c>
      <c r="AW27" s="559">
        <f t="shared" si="22"/>
        <v>0.17890804393145882</v>
      </c>
      <c r="AX27" s="559">
        <f t="shared" si="22"/>
        <v>0.18043902250605143</v>
      </c>
      <c r="AY27" s="559">
        <f t="shared" si="22"/>
        <v>0.18200993895758338</v>
      </c>
      <c r="AZ27" s="559">
        <f t="shared" si="22"/>
        <v>0.183622376698208</v>
      </c>
      <c r="BA27" s="559">
        <f t="shared" si="22"/>
        <v>0.18527800396421495</v>
      </c>
      <c r="BB27" s="559">
        <f t="shared" si="22"/>
        <v>0.18697857957322042</v>
      </c>
      <c r="BC27" s="559">
        <f t="shared" si="22"/>
        <v>0.18872595915671275</v>
      </c>
      <c r="BD27" s="559">
        <f t="shared" si="22"/>
        <v>0.19052210191438301</v>
      </c>
      <c r="BE27" s="559">
        <f t="shared" si="22"/>
        <v>0.19236907794192565</v>
      </c>
      <c r="BF27" s="559">
        <f t="shared" si="22"/>
        <v>0.15786017073272796</v>
      </c>
      <c r="BG27" s="559">
        <f t="shared" si="22"/>
        <v>0.1588947646635937</v>
      </c>
      <c r="BH27" s="559">
        <f t="shared" si="22"/>
        <v>0.15995146813694064</v>
      </c>
      <c r="BI27" s="559">
        <f t="shared" si="22"/>
        <v>0.16103099753747788</v>
      </c>
      <c r="BJ27" s="559">
        <f t="shared" si="22"/>
        <v>0.1621341005371883</v>
      </c>
      <c r="BK27" s="559">
        <f t="shared" si="22"/>
        <v>0.16326155782222812</v>
      </c>
      <c r="BL27" s="559">
        <f t="shared" si="22"/>
        <v>0.16497663509449212</v>
      </c>
      <c r="BM27" s="559">
        <f t="shared" si="22"/>
        <v>0.16674964623179805</v>
      </c>
      <c r="BN27" s="559">
        <f t="shared" si="22"/>
        <v>0.16858357709987465</v>
      </c>
      <c r="BO27" s="559">
        <f t="shared" si="22"/>
        <v>0.17048162233665615</v>
      </c>
      <c r="BP27" s="559">
        <f t="shared" si="22"/>
        <v>0.17244720392364285</v>
      </c>
      <c r="BQ27" s="559">
        <f t="shared" si="22"/>
        <v>0.17448399177559115</v>
      </c>
      <c r="BR27" s="559">
        <f t="shared" si="22"/>
        <v>0.15186331853714108</v>
      </c>
      <c r="BS27" s="559">
        <f t="shared" si="22"/>
        <v>0.15321818073105598</v>
      </c>
      <c r="BT27" s="559">
        <f t="shared" si="22"/>
        <v>0.15461360602014812</v>
      </c>
      <c r="BU27" s="559">
        <f t="shared" si="22"/>
        <v>0.15605144370969731</v>
      </c>
      <c r="BV27" s="559">
        <f t="shared" si="22"/>
        <v>0.15753365725486929</v>
      </c>
      <c r="BW27" s="559">
        <f t="shared" ref="BW27:CC27" si="23">($E$23*BW21)+BW24*(1-$E$25)*BW22</f>
        <v>0.15906233320625243</v>
      </c>
      <c r="BX27" s="559">
        <f t="shared" si="23"/>
        <v>0.16107466395816233</v>
      </c>
      <c r="BY27" s="559">
        <f t="shared" si="23"/>
        <v>0.16317044602285263</v>
      </c>
      <c r="BZ27" s="559">
        <f t="shared" si="23"/>
        <v>0.16535498040275715</v>
      </c>
      <c r="CA27" s="559">
        <f t="shared" si="23"/>
        <v>0.16763402678694717</v>
      </c>
      <c r="CB27" s="559">
        <f t="shared" si="23"/>
        <v>0.17001385425977333</v>
      </c>
      <c r="CC27" s="559">
        <f t="shared" si="23"/>
        <v>0.17250129888872859</v>
      </c>
      <c r="CD27" s="559">
        <f t="shared" ref="CD27:DY27" si="24">($E$23*CD21)+CD24*(1-$E$25)*CD22</f>
        <v>0.15093457635027413</v>
      </c>
      <c r="CE27" s="559">
        <f t="shared" si="24"/>
        <v>0.15262742107973226</v>
      </c>
      <c r="CF27" s="559">
        <f t="shared" si="24"/>
        <v>0.15438448964765711</v>
      </c>
      <c r="CG27" s="559">
        <f t="shared" si="24"/>
        <v>0.15620950754926566</v>
      </c>
      <c r="CH27" s="559">
        <f t="shared" si="24"/>
        <v>0.15810649410580191</v>
      </c>
      <c r="CI27" s="559">
        <f t="shared" si="24"/>
        <v>0.16007979201437927</v>
      </c>
      <c r="CJ27" s="559">
        <f t="shared" si="24"/>
        <v>0.16258211606790368</v>
      </c>
      <c r="CK27" s="559">
        <f t="shared" si="24"/>
        <v>0.16521278175192339</v>
      </c>
      <c r="CL27" s="559">
        <f t="shared" si="24"/>
        <v>0.16798192270397566</v>
      </c>
      <c r="CM27" s="559">
        <f t="shared" si="24"/>
        <v>0.17090076824583869</v>
      </c>
      <c r="CN27" s="559">
        <f t="shared" si="24"/>
        <v>0.17398179558414972</v>
      </c>
      <c r="CO27" s="559">
        <f t="shared" si="24"/>
        <v>0.17723890810648221</v>
      </c>
      <c r="CP27" s="559">
        <f t="shared" si="24"/>
        <v>0.15344166300395573</v>
      </c>
      <c r="CQ27" s="559">
        <f t="shared" si="24"/>
        <v>0.15465190027117823</v>
      </c>
      <c r="CR27" s="559">
        <f t="shared" si="24"/>
        <v>0.15589389838848572</v>
      </c>
      <c r="CS27" s="559">
        <f t="shared" si="24"/>
        <v>0.15716892425312673</v>
      </c>
      <c r="CT27" s="559">
        <f t="shared" si="24"/>
        <v>0.15847831305006949</v>
      </c>
      <c r="CU27" s="559">
        <f t="shared" si="24"/>
        <v>0.15982347291586635</v>
      </c>
      <c r="CV27" s="559">
        <f t="shared" si="24"/>
        <v>0.16164578171860741</v>
      </c>
      <c r="CW27" s="559">
        <f t="shared" si="24"/>
        <v>0.16353586133616688</v>
      </c>
      <c r="CX27" s="559">
        <f t="shared" si="24"/>
        <v>0.16549756394640686</v>
      </c>
      <c r="CY27" s="559">
        <f t="shared" si="24"/>
        <v>0.16753503931576771</v>
      </c>
      <c r="CZ27" s="559">
        <f t="shared" si="24"/>
        <v>0.16965276410184277</v>
      </c>
      <c r="DA27" s="559">
        <f t="shared" si="24"/>
        <v>0.17185557468790358</v>
      </c>
      <c r="DB27" s="559">
        <f t="shared" si="24"/>
        <v>0.1503374087379766</v>
      </c>
      <c r="DC27" s="559">
        <f t="shared" si="24"/>
        <v>0.1518272470255625</v>
      </c>
      <c r="DD27" s="559">
        <f t="shared" si="24"/>
        <v>0.15336704994610134</v>
      </c>
      <c r="DE27" s="559">
        <f t="shared" si="24"/>
        <v>0.15495937385796077</v>
      </c>
      <c r="DF27" s="559">
        <f t="shared" si="24"/>
        <v>0.15660695253439089</v>
      </c>
      <c r="DG27" s="559">
        <f t="shared" si="24"/>
        <v>0.15831271282633372</v>
      </c>
      <c r="DH27" s="559">
        <f t="shared" si="24"/>
        <v>0.16050992822452401</v>
      </c>
      <c r="DI27" s="559">
        <f t="shared" si="24"/>
        <v>0.16280760100232997</v>
      </c>
      <c r="DJ27" s="559">
        <f t="shared" si="24"/>
        <v>0.16521278175192333</v>
      </c>
      <c r="DK27" s="559">
        <f t="shared" si="24"/>
        <v>0.16773319666467038</v>
      </c>
      <c r="DL27" s="559">
        <f t="shared" si="24"/>
        <v>0.17037733043847639</v>
      </c>
      <c r="DM27" s="559">
        <f t="shared" si="24"/>
        <v>0.17315452170126289</v>
      </c>
      <c r="DN27" s="559">
        <f t="shared" si="24"/>
        <v>0.14570251401766407</v>
      </c>
      <c r="DO27" s="559">
        <f t="shared" si="24"/>
        <v>0.14697751701565812</v>
      </c>
      <c r="DP27" s="559">
        <f t="shared" si="24"/>
        <v>0.14829102956167173</v>
      </c>
      <c r="DQ27" s="559">
        <f t="shared" si="24"/>
        <v>0.14964482309196148</v>
      </c>
      <c r="DR27" s="559">
        <f t="shared" si="24"/>
        <v>0.15104077938256702</v>
      </c>
      <c r="DS27" s="559">
        <f t="shared" si="24"/>
        <v>0.15248089927630795</v>
      </c>
      <c r="DT27" s="559">
        <f t="shared" si="24"/>
        <v>0.15446073837702462</v>
      </c>
      <c r="DU27" s="559">
        <f t="shared" si="24"/>
        <v>0.15652720105667228</v>
      </c>
      <c r="DV27" s="559">
        <f t="shared" si="24"/>
        <v>0.15868609950626658</v>
      </c>
      <c r="DW27" s="559">
        <f t="shared" si="24"/>
        <v>0.1609437777873699</v>
      </c>
      <c r="DX27" s="559">
        <f t="shared" si="24"/>
        <v>0.16330717409550732</v>
      </c>
      <c r="DY27" s="559">
        <f t="shared" si="24"/>
        <v>0.16578389197991583</v>
      </c>
    </row>
    <row r="28" spans="2:129" s="43" customFormat="1">
      <c r="E28" s="478"/>
      <c r="F28" s="128"/>
      <c r="G28" s="128"/>
      <c r="H28" s="128"/>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row>
    <row r="29" spans="2:129" s="43" customFormat="1">
      <c r="E29" s="478"/>
      <c r="F29" s="128"/>
      <c r="G29" s="128"/>
      <c r="H29" s="128"/>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row>
    <row r="30" spans="2:129" s="43" customFormat="1">
      <c r="B30" s="44" t="s">
        <v>83</v>
      </c>
      <c r="C30" s="43" t="s">
        <v>44</v>
      </c>
      <c r="E30" s="481">
        <f>+'Model Assumptions'!F133</f>
        <v>44927</v>
      </c>
      <c r="F30" s="125"/>
      <c r="G30" s="125"/>
      <c r="H30" s="125"/>
      <c r="I30" s="83"/>
    </row>
    <row r="31" spans="2:129" s="43" customFormat="1">
      <c r="B31" s="44"/>
      <c r="C31" s="43" t="s">
        <v>394</v>
      </c>
      <c r="E31" s="482" t="str">
        <f>+'Model Assumptions'!F137</f>
        <v>USD</v>
      </c>
      <c r="F31" s="125"/>
      <c r="G31" s="125"/>
      <c r="H31" s="125"/>
      <c r="I31" s="83"/>
    </row>
    <row r="32" spans="2:129" s="43" customFormat="1">
      <c r="C32" s="43" t="s">
        <v>386</v>
      </c>
      <c r="E32" s="482">
        <f>+'Model Assumptions'!F134</f>
        <v>1000000</v>
      </c>
      <c r="F32" s="126"/>
      <c r="G32" s="126"/>
      <c r="H32" s="126"/>
      <c r="J32" s="46">
        <f t="shared" ref="J32:AO32" si="25">+IF(J$1=$E$30,$E$32,0)</f>
        <v>1000000</v>
      </c>
      <c r="K32" s="46">
        <f t="shared" si="25"/>
        <v>0</v>
      </c>
      <c r="L32" s="46">
        <f t="shared" si="25"/>
        <v>0</v>
      </c>
      <c r="M32" s="46">
        <f t="shared" si="25"/>
        <v>0</v>
      </c>
      <c r="N32" s="46">
        <f t="shared" si="25"/>
        <v>0</v>
      </c>
      <c r="O32" s="46">
        <f t="shared" si="25"/>
        <v>0</v>
      </c>
      <c r="P32" s="46">
        <f t="shared" si="25"/>
        <v>0</v>
      </c>
      <c r="Q32" s="46">
        <f t="shared" si="25"/>
        <v>0</v>
      </c>
      <c r="R32" s="46">
        <f t="shared" si="25"/>
        <v>0</v>
      </c>
      <c r="S32" s="46">
        <f t="shared" si="25"/>
        <v>0</v>
      </c>
      <c r="T32" s="46">
        <f t="shared" si="25"/>
        <v>0</v>
      </c>
      <c r="U32" s="46">
        <f t="shared" si="25"/>
        <v>0</v>
      </c>
      <c r="V32" s="46">
        <f t="shared" si="25"/>
        <v>0</v>
      </c>
      <c r="W32" s="46">
        <f t="shared" si="25"/>
        <v>0</v>
      </c>
      <c r="X32" s="46">
        <f t="shared" si="25"/>
        <v>0</v>
      </c>
      <c r="Y32" s="46">
        <f t="shared" si="25"/>
        <v>0</v>
      </c>
      <c r="Z32" s="46">
        <f t="shared" si="25"/>
        <v>0</v>
      </c>
      <c r="AA32" s="46">
        <f t="shared" si="25"/>
        <v>0</v>
      </c>
      <c r="AB32" s="46">
        <f t="shared" si="25"/>
        <v>0</v>
      </c>
      <c r="AC32" s="46">
        <f t="shared" si="25"/>
        <v>0</v>
      </c>
      <c r="AD32" s="46">
        <f t="shared" si="25"/>
        <v>0</v>
      </c>
      <c r="AE32" s="46">
        <f t="shared" si="25"/>
        <v>0</v>
      </c>
      <c r="AF32" s="46">
        <f t="shared" si="25"/>
        <v>0</v>
      </c>
      <c r="AG32" s="46">
        <f t="shared" si="25"/>
        <v>0</v>
      </c>
      <c r="AH32" s="46">
        <f t="shared" si="25"/>
        <v>0</v>
      </c>
      <c r="AI32" s="46">
        <f t="shared" si="25"/>
        <v>0</v>
      </c>
      <c r="AJ32" s="46">
        <f t="shared" si="25"/>
        <v>0</v>
      </c>
      <c r="AK32" s="46">
        <f t="shared" si="25"/>
        <v>0</v>
      </c>
      <c r="AL32" s="46">
        <f t="shared" si="25"/>
        <v>0</v>
      </c>
      <c r="AM32" s="46">
        <f t="shared" si="25"/>
        <v>0</v>
      </c>
      <c r="AN32" s="46">
        <f t="shared" si="25"/>
        <v>0</v>
      </c>
      <c r="AO32" s="46">
        <f t="shared" si="25"/>
        <v>0</v>
      </c>
      <c r="AP32" s="46">
        <f t="shared" ref="AP32:BU32" si="26">+IF(AP$1=$E$30,$E$32,0)</f>
        <v>0</v>
      </c>
      <c r="AQ32" s="46">
        <f t="shared" si="26"/>
        <v>0</v>
      </c>
      <c r="AR32" s="46">
        <f t="shared" si="26"/>
        <v>0</v>
      </c>
      <c r="AS32" s="46">
        <f t="shared" si="26"/>
        <v>0</v>
      </c>
      <c r="AT32" s="46">
        <f t="shared" si="26"/>
        <v>0</v>
      </c>
      <c r="AU32" s="46">
        <f t="shared" si="26"/>
        <v>0</v>
      </c>
      <c r="AV32" s="46">
        <f t="shared" si="26"/>
        <v>0</v>
      </c>
      <c r="AW32" s="46">
        <f t="shared" si="26"/>
        <v>0</v>
      </c>
      <c r="AX32" s="46">
        <f t="shared" si="26"/>
        <v>0</v>
      </c>
      <c r="AY32" s="46">
        <f t="shared" si="26"/>
        <v>0</v>
      </c>
      <c r="AZ32" s="46">
        <f t="shared" si="26"/>
        <v>0</v>
      </c>
      <c r="BA32" s="46">
        <f t="shared" si="26"/>
        <v>0</v>
      </c>
      <c r="BB32" s="46">
        <f t="shared" si="26"/>
        <v>0</v>
      </c>
      <c r="BC32" s="46">
        <f t="shared" si="26"/>
        <v>0</v>
      </c>
      <c r="BD32" s="46">
        <f t="shared" si="26"/>
        <v>0</v>
      </c>
      <c r="BE32" s="46">
        <f t="shared" si="26"/>
        <v>0</v>
      </c>
      <c r="BF32" s="46">
        <f t="shared" si="26"/>
        <v>0</v>
      </c>
      <c r="BG32" s="46">
        <f t="shared" si="26"/>
        <v>0</v>
      </c>
      <c r="BH32" s="46">
        <f t="shared" si="26"/>
        <v>0</v>
      </c>
      <c r="BI32" s="46">
        <f t="shared" si="26"/>
        <v>0</v>
      </c>
      <c r="BJ32" s="46">
        <f t="shared" si="26"/>
        <v>0</v>
      </c>
      <c r="BK32" s="46">
        <f t="shared" si="26"/>
        <v>0</v>
      </c>
      <c r="BL32" s="46">
        <f t="shared" si="26"/>
        <v>0</v>
      </c>
      <c r="BM32" s="46">
        <f t="shared" si="26"/>
        <v>0</v>
      </c>
      <c r="BN32" s="46">
        <f t="shared" si="26"/>
        <v>0</v>
      </c>
      <c r="BO32" s="46">
        <f t="shared" si="26"/>
        <v>0</v>
      </c>
      <c r="BP32" s="46">
        <f t="shared" si="26"/>
        <v>0</v>
      </c>
      <c r="BQ32" s="46">
        <f t="shared" si="26"/>
        <v>0</v>
      </c>
      <c r="BR32" s="46">
        <f t="shared" si="26"/>
        <v>0</v>
      </c>
      <c r="BS32" s="46">
        <f t="shared" si="26"/>
        <v>0</v>
      </c>
      <c r="BT32" s="46">
        <f t="shared" si="26"/>
        <v>0</v>
      </c>
      <c r="BU32" s="46">
        <f t="shared" si="26"/>
        <v>0</v>
      </c>
      <c r="BV32" s="46">
        <f t="shared" ref="BV32:DY32" si="27">+IF(BV$1=$E$30,$E$32,0)</f>
        <v>0</v>
      </c>
      <c r="BW32" s="46">
        <f t="shared" si="27"/>
        <v>0</v>
      </c>
      <c r="BX32" s="46">
        <f t="shared" si="27"/>
        <v>0</v>
      </c>
      <c r="BY32" s="46">
        <f t="shared" si="27"/>
        <v>0</v>
      </c>
      <c r="BZ32" s="46">
        <f t="shared" si="27"/>
        <v>0</v>
      </c>
      <c r="CA32" s="46">
        <f t="shared" si="27"/>
        <v>0</v>
      </c>
      <c r="CB32" s="46">
        <f t="shared" si="27"/>
        <v>0</v>
      </c>
      <c r="CC32" s="46">
        <f t="shared" si="27"/>
        <v>0</v>
      </c>
      <c r="CD32" s="46">
        <f t="shared" si="27"/>
        <v>0</v>
      </c>
      <c r="CE32" s="46">
        <f t="shared" si="27"/>
        <v>0</v>
      </c>
      <c r="CF32" s="46">
        <f t="shared" si="27"/>
        <v>0</v>
      </c>
      <c r="CG32" s="46">
        <f t="shared" si="27"/>
        <v>0</v>
      </c>
      <c r="CH32" s="46">
        <f t="shared" si="27"/>
        <v>0</v>
      </c>
      <c r="CI32" s="46">
        <f t="shared" si="27"/>
        <v>0</v>
      </c>
      <c r="CJ32" s="46">
        <f t="shared" si="27"/>
        <v>0</v>
      </c>
      <c r="CK32" s="46">
        <f t="shared" si="27"/>
        <v>0</v>
      </c>
      <c r="CL32" s="46">
        <f t="shared" si="27"/>
        <v>0</v>
      </c>
      <c r="CM32" s="46">
        <f t="shared" si="27"/>
        <v>0</v>
      </c>
      <c r="CN32" s="46">
        <f t="shared" si="27"/>
        <v>0</v>
      </c>
      <c r="CO32" s="46">
        <f t="shared" si="27"/>
        <v>0</v>
      </c>
      <c r="CP32" s="46">
        <f t="shared" si="27"/>
        <v>0</v>
      </c>
      <c r="CQ32" s="46">
        <f t="shared" si="27"/>
        <v>0</v>
      </c>
      <c r="CR32" s="46">
        <f t="shared" si="27"/>
        <v>0</v>
      </c>
      <c r="CS32" s="46">
        <f t="shared" si="27"/>
        <v>0</v>
      </c>
      <c r="CT32" s="46">
        <f t="shared" si="27"/>
        <v>0</v>
      </c>
      <c r="CU32" s="46">
        <f t="shared" si="27"/>
        <v>0</v>
      </c>
      <c r="CV32" s="46">
        <f t="shared" si="27"/>
        <v>0</v>
      </c>
      <c r="CW32" s="46">
        <f t="shared" si="27"/>
        <v>0</v>
      </c>
      <c r="CX32" s="46">
        <f t="shared" si="27"/>
        <v>0</v>
      </c>
      <c r="CY32" s="46">
        <f t="shared" si="27"/>
        <v>0</v>
      </c>
      <c r="CZ32" s="46">
        <f t="shared" si="27"/>
        <v>0</v>
      </c>
      <c r="DA32" s="46">
        <f t="shared" si="27"/>
        <v>0</v>
      </c>
      <c r="DB32" s="46">
        <f t="shared" si="27"/>
        <v>0</v>
      </c>
      <c r="DC32" s="46">
        <f t="shared" si="27"/>
        <v>0</v>
      </c>
      <c r="DD32" s="46">
        <f t="shared" si="27"/>
        <v>0</v>
      </c>
      <c r="DE32" s="46">
        <f t="shared" si="27"/>
        <v>0</v>
      </c>
      <c r="DF32" s="46">
        <f t="shared" si="27"/>
        <v>0</v>
      </c>
      <c r="DG32" s="46">
        <f t="shared" si="27"/>
        <v>0</v>
      </c>
      <c r="DH32" s="46">
        <f t="shared" si="27"/>
        <v>0</v>
      </c>
      <c r="DI32" s="46">
        <f t="shared" si="27"/>
        <v>0</v>
      </c>
      <c r="DJ32" s="46">
        <f t="shared" si="27"/>
        <v>0</v>
      </c>
      <c r="DK32" s="46">
        <f t="shared" si="27"/>
        <v>0</v>
      </c>
      <c r="DL32" s="46">
        <f t="shared" si="27"/>
        <v>0</v>
      </c>
      <c r="DM32" s="46">
        <f t="shared" si="27"/>
        <v>0</v>
      </c>
      <c r="DN32" s="46">
        <f t="shared" si="27"/>
        <v>0</v>
      </c>
      <c r="DO32" s="46">
        <f t="shared" si="27"/>
        <v>0</v>
      </c>
      <c r="DP32" s="46">
        <f t="shared" si="27"/>
        <v>0</v>
      </c>
      <c r="DQ32" s="46">
        <f t="shared" si="27"/>
        <v>0</v>
      </c>
      <c r="DR32" s="46">
        <f t="shared" si="27"/>
        <v>0</v>
      </c>
      <c r="DS32" s="46">
        <f t="shared" si="27"/>
        <v>0</v>
      </c>
      <c r="DT32" s="46">
        <f t="shared" si="27"/>
        <v>0</v>
      </c>
      <c r="DU32" s="46">
        <f t="shared" si="27"/>
        <v>0</v>
      </c>
      <c r="DV32" s="46">
        <f t="shared" si="27"/>
        <v>0</v>
      </c>
      <c r="DW32" s="46">
        <f t="shared" si="27"/>
        <v>0</v>
      </c>
      <c r="DX32" s="46">
        <f t="shared" si="27"/>
        <v>0</v>
      </c>
      <c r="DY32" s="46">
        <f t="shared" si="27"/>
        <v>0</v>
      </c>
    </row>
    <row r="33" spans="2:129" s="43" customFormat="1">
      <c r="C33" s="43" t="s">
        <v>387</v>
      </c>
      <c r="E33" s="482">
        <f>+'Model Assumptions'!F136</f>
        <v>10000000</v>
      </c>
      <c r="F33" s="126"/>
      <c r="G33" s="126"/>
      <c r="H33" s="126"/>
      <c r="I33" s="159"/>
      <c r="J33" s="490">
        <f>J32*Flags!J$30</f>
        <v>10000000</v>
      </c>
      <c r="K33" s="490">
        <f>K32*Flags!K$30</f>
        <v>0</v>
      </c>
      <c r="L33" s="490">
        <f>L32*Flags!L$30</f>
        <v>0</v>
      </c>
      <c r="M33" s="490">
        <f>M32*Flags!M$30</f>
        <v>0</v>
      </c>
      <c r="N33" s="490">
        <f>N32*Flags!N$30</f>
        <v>0</v>
      </c>
      <c r="O33" s="490">
        <f>O32*Flags!O$30</f>
        <v>0</v>
      </c>
      <c r="P33" s="490">
        <f>P32*Flags!P$30</f>
        <v>0</v>
      </c>
      <c r="Q33" s="490">
        <f>Q32*Flags!Q$30</f>
        <v>0</v>
      </c>
      <c r="R33" s="490">
        <f>R32*Flags!R$30</f>
        <v>0</v>
      </c>
      <c r="S33" s="490">
        <f>S32*Flags!S$30</f>
        <v>0</v>
      </c>
      <c r="T33" s="490">
        <f>T32*Flags!T$30</f>
        <v>0</v>
      </c>
      <c r="U33" s="490">
        <f>U32*Flags!U$30</f>
        <v>0</v>
      </c>
      <c r="V33" s="490">
        <f>V32*Flags!V$30</f>
        <v>0</v>
      </c>
      <c r="W33" s="490">
        <f>W32*Flags!W$30</f>
        <v>0</v>
      </c>
      <c r="X33" s="490">
        <f>X32*Flags!X$30</f>
        <v>0</v>
      </c>
      <c r="Y33" s="490">
        <f>Y32*Flags!Y$30</f>
        <v>0</v>
      </c>
      <c r="Z33" s="490">
        <f>Z32*Flags!Z$30</f>
        <v>0</v>
      </c>
      <c r="AA33" s="490">
        <f>AA32*Flags!AA$30</f>
        <v>0</v>
      </c>
      <c r="AB33" s="490">
        <f>AB32*Flags!AB$30</f>
        <v>0</v>
      </c>
      <c r="AC33" s="490">
        <f>AC32*Flags!AC$30</f>
        <v>0</v>
      </c>
      <c r="AD33" s="490">
        <f>AD32*Flags!AD$30</f>
        <v>0</v>
      </c>
      <c r="AE33" s="490">
        <f>AE32*Flags!AE$30</f>
        <v>0</v>
      </c>
      <c r="AF33" s="490">
        <f>AF32*Flags!AF$30</f>
        <v>0</v>
      </c>
      <c r="AG33" s="490">
        <f>AG32*Flags!AG$30</f>
        <v>0</v>
      </c>
      <c r="AH33" s="490">
        <f>AH32*Flags!AH$30</f>
        <v>0</v>
      </c>
      <c r="AI33" s="490">
        <f>AI32*Flags!AI$30</f>
        <v>0</v>
      </c>
      <c r="AJ33" s="490">
        <f>AJ32*Flags!AJ$30</f>
        <v>0</v>
      </c>
      <c r="AK33" s="490">
        <f>AK32*Flags!AK$30</f>
        <v>0</v>
      </c>
      <c r="AL33" s="490">
        <f>AL32*Flags!AL$30</f>
        <v>0</v>
      </c>
      <c r="AM33" s="490">
        <f>AM32*Flags!AM$30</f>
        <v>0</v>
      </c>
      <c r="AN33" s="490">
        <f>AN32*Flags!AN$30</f>
        <v>0</v>
      </c>
      <c r="AO33" s="490">
        <f>AO32*Flags!AO$30</f>
        <v>0</v>
      </c>
      <c r="AP33" s="490">
        <f>AP32*Flags!AP$30</f>
        <v>0</v>
      </c>
      <c r="AQ33" s="490">
        <f>AQ32*Flags!AQ$30</f>
        <v>0</v>
      </c>
      <c r="AR33" s="490">
        <f>AR32*Flags!AR$30</f>
        <v>0</v>
      </c>
      <c r="AS33" s="490">
        <f>AS32*Flags!AS$30</f>
        <v>0</v>
      </c>
      <c r="AT33" s="490">
        <f>AT32*Flags!AT$30</f>
        <v>0</v>
      </c>
      <c r="AU33" s="490">
        <f>AU32*Flags!AU$30</f>
        <v>0</v>
      </c>
      <c r="AV33" s="490">
        <f>AV32*Flags!AV$30</f>
        <v>0</v>
      </c>
      <c r="AW33" s="490">
        <f>AW32*Flags!AW$30</f>
        <v>0</v>
      </c>
      <c r="AX33" s="490">
        <f>AX32*Flags!AX$30</f>
        <v>0</v>
      </c>
      <c r="AY33" s="490">
        <f>AY32*Flags!AY$30</f>
        <v>0</v>
      </c>
      <c r="AZ33" s="490">
        <f>AZ32*Flags!AZ$30</f>
        <v>0</v>
      </c>
      <c r="BA33" s="490">
        <f>BA32*Flags!BA$30</f>
        <v>0</v>
      </c>
      <c r="BB33" s="490">
        <f>BB32*Flags!BB$30</f>
        <v>0</v>
      </c>
      <c r="BC33" s="490">
        <f>BC32*Flags!BC$30</f>
        <v>0</v>
      </c>
      <c r="BD33" s="490">
        <f>BD32*Flags!BD$30</f>
        <v>0</v>
      </c>
      <c r="BE33" s="490">
        <f>BE32*Flags!BE$30</f>
        <v>0</v>
      </c>
      <c r="BF33" s="490">
        <f>BF32*Flags!BF$30</f>
        <v>0</v>
      </c>
      <c r="BG33" s="490">
        <f>BG32*Flags!BG$30</f>
        <v>0</v>
      </c>
      <c r="BH33" s="490">
        <f>BH32*Flags!BH$30</f>
        <v>0</v>
      </c>
      <c r="BI33" s="490">
        <f>BI32*Flags!BI$30</f>
        <v>0</v>
      </c>
      <c r="BJ33" s="490">
        <f>BJ32*Flags!BJ$30</f>
        <v>0</v>
      </c>
      <c r="BK33" s="490">
        <f>BK32*Flags!BK$30</f>
        <v>0</v>
      </c>
      <c r="BL33" s="490">
        <f>BL32*Flags!BL$30</f>
        <v>0</v>
      </c>
      <c r="BM33" s="490">
        <f>BM32*Flags!BM$30</f>
        <v>0</v>
      </c>
      <c r="BN33" s="490">
        <f>BN32*Flags!BN$30</f>
        <v>0</v>
      </c>
      <c r="BO33" s="490">
        <f>BO32*Flags!BO$30</f>
        <v>0</v>
      </c>
      <c r="BP33" s="490">
        <f>BP32*Flags!BP$30</f>
        <v>0</v>
      </c>
      <c r="BQ33" s="490">
        <f>BQ32*Flags!BQ$30</f>
        <v>0</v>
      </c>
      <c r="BR33" s="490">
        <f>BR32*Flags!BR$30</f>
        <v>0</v>
      </c>
      <c r="BS33" s="490">
        <f>BS32*Flags!BS$30</f>
        <v>0</v>
      </c>
      <c r="BT33" s="490">
        <f>BT32*Flags!BT$30</f>
        <v>0</v>
      </c>
      <c r="BU33" s="490">
        <f>BU32*Flags!BU$30</f>
        <v>0</v>
      </c>
      <c r="BV33" s="490">
        <f>BV32*Flags!BV$30</f>
        <v>0</v>
      </c>
      <c r="BW33" s="490">
        <f>BW32*Flags!BW$30</f>
        <v>0</v>
      </c>
      <c r="BX33" s="490">
        <f>BX32*Flags!BX$30</f>
        <v>0</v>
      </c>
      <c r="BY33" s="490">
        <f>BY32*Flags!BY$30</f>
        <v>0</v>
      </c>
      <c r="BZ33" s="490">
        <f>BZ32*Flags!BZ$30</f>
        <v>0</v>
      </c>
      <c r="CA33" s="490">
        <f>CA32*Flags!CA$30</f>
        <v>0</v>
      </c>
      <c r="CB33" s="490">
        <f>CB32*Flags!CB$30</f>
        <v>0</v>
      </c>
      <c r="CC33" s="490">
        <f>CC32*Flags!CC$30</f>
        <v>0</v>
      </c>
      <c r="CD33" s="490">
        <f>CD32*Flags!CD$30</f>
        <v>0</v>
      </c>
      <c r="CE33" s="490">
        <f>CE32*Flags!CE$30</f>
        <v>0</v>
      </c>
      <c r="CF33" s="490">
        <f>CF32*Flags!CF$30</f>
        <v>0</v>
      </c>
      <c r="CG33" s="490">
        <f>CG32*Flags!CG$30</f>
        <v>0</v>
      </c>
      <c r="CH33" s="490">
        <f>CH32*Flags!CH$30</f>
        <v>0</v>
      </c>
      <c r="CI33" s="490">
        <f>CI32*Flags!CI$30</f>
        <v>0</v>
      </c>
      <c r="CJ33" s="490">
        <f>CJ32*Flags!CJ$30</f>
        <v>0</v>
      </c>
      <c r="CK33" s="490">
        <f>CK32*Flags!CK$30</f>
        <v>0</v>
      </c>
      <c r="CL33" s="490">
        <f>CL32*Flags!CL$30</f>
        <v>0</v>
      </c>
      <c r="CM33" s="490">
        <f>CM32*Flags!CM$30</f>
        <v>0</v>
      </c>
      <c r="CN33" s="490">
        <f>CN32*Flags!CN$30</f>
        <v>0</v>
      </c>
      <c r="CO33" s="490">
        <f>CO32*Flags!CO$30</f>
        <v>0</v>
      </c>
      <c r="CP33" s="490">
        <f>CP32*Flags!CP$30</f>
        <v>0</v>
      </c>
      <c r="CQ33" s="490">
        <f>CQ32*Flags!CQ$30</f>
        <v>0</v>
      </c>
      <c r="CR33" s="490">
        <f>CR32*Flags!CR$30</f>
        <v>0</v>
      </c>
      <c r="CS33" s="490">
        <f>CS32*Flags!CS$30</f>
        <v>0</v>
      </c>
      <c r="CT33" s="490">
        <f>CT32*Flags!CT$30</f>
        <v>0</v>
      </c>
      <c r="CU33" s="490">
        <f>CU32*Flags!CU$30</f>
        <v>0</v>
      </c>
      <c r="CV33" s="490">
        <f>CV32*Flags!CV$30</f>
        <v>0</v>
      </c>
      <c r="CW33" s="490">
        <f>CW32*Flags!CW$30</f>
        <v>0</v>
      </c>
      <c r="CX33" s="490">
        <f>CX32*Flags!CX$30</f>
        <v>0</v>
      </c>
      <c r="CY33" s="490">
        <f>CY32*Flags!CY$30</f>
        <v>0</v>
      </c>
      <c r="CZ33" s="490">
        <f>CZ32*Flags!CZ$30</f>
        <v>0</v>
      </c>
      <c r="DA33" s="490">
        <f>DA32*Flags!DA$30</f>
        <v>0</v>
      </c>
      <c r="DB33" s="490">
        <f>DB32*Flags!DB$30</f>
        <v>0</v>
      </c>
      <c r="DC33" s="490">
        <f>DC32*Flags!DC$30</f>
        <v>0</v>
      </c>
      <c r="DD33" s="490">
        <f>DD32*Flags!DD$30</f>
        <v>0</v>
      </c>
      <c r="DE33" s="490">
        <f>DE32*Flags!DE$30</f>
        <v>0</v>
      </c>
      <c r="DF33" s="490">
        <f>DF32*Flags!DF$30</f>
        <v>0</v>
      </c>
      <c r="DG33" s="490">
        <f>DG32*Flags!DG$30</f>
        <v>0</v>
      </c>
      <c r="DH33" s="490">
        <f>DH32*Flags!DH$30</f>
        <v>0</v>
      </c>
      <c r="DI33" s="490">
        <f>DI32*Flags!DI$30</f>
        <v>0</v>
      </c>
      <c r="DJ33" s="490">
        <f>DJ32*Flags!DJ$30</f>
        <v>0</v>
      </c>
      <c r="DK33" s="490">
        <f>DK32*Flags!DK$30</f>
        <v>0</v>
      </c>
      <c r="DL33" s="490">
        <f>DL32*Flags!DL$30</f>
        <v>0</v>
      </c>
      <c r="DM33" s="490">
        <f>DM32*Flags!DM$30</f>
        <v>0</v>
      </c>
      <c r="DN33" s="490">
        <f>DN32*Flags!DN$30</f>
        <v>0</v>
      </c>
      <c r="DO33" s="490">
        <f>DO32*Flags!DO$30</f>
        <v>0</v>
      </c>
      <c r="DP33" s="490">
        <f>DP32*Flags!DP$30</f>
        <v>0</v>
      </c>
      <c r="DQ33" s="490">
        <f>DQ32*Flags!DQ$30</f>
        <v>0</v>
      </c>
      <c r="DR33" s="490">
        <f>DR32*Flags!DR$30</f>
        <v>0</v>
      </c>
      <c r="DS33" s="490">
        <f>DS32*Flags!DS$30</f>
        <v>0</v>
      </c>
      <c r="DT33" s="490">
        <f>DT32*Flags!DT$30</f>
        <v>0</v>
      </c>
      <c r="DU33" s="490">
        <f>DU32*Flags!DU$30</f>
        <v>0</v>
      </c>
      <c r="DV33" s="490">
        <f>DV32*Flags!DV$30</f>
        <v>0</v>
      </c>
      <c r="DW33" s="490">
        <f>DW32*Flags!DW$30</f>
        <v>0</v>
      </c>
      <c r="DX33" s="490">
        <f>DX32*Flags!DX$30</f>
        <v>0</v>
      </c>
      <c r="DY33" s="490">
        <f>DY32*Flags!DY$30</f>
        <v>0</v>
      </c>
    </row>
    <row r="34" spans="2:129" s="43" customFormat="1">
      <c r="C34" s="43" t="s">
        <v>640</v>
      </c>
      <c r="F34" s="126"/>
      <c r="G34" s="126"/>
      <c r="H34" s="126"/>
      <c r="I34" s="252"/>
      <c r="J34" s="490">
        <f>IF(J33=0,IF($E31="USD",I34*(1+Flags!$D$31)^(1/12)-J38,I34-J38),J33-J38)</f>
        <v>10000000</v>
      </c>
      <c r="K34" s="490">
        <f>IF(K33=0,IF($E31="USD",J34*(1+Flags!$D$31)^(1/12)-K38,J34-K38),K33-K38)</f>
        <v>10000000</v>
      </c>
      <c r="L34" s="490">
        <f>IF(L33=0,IF($E31="USD",K34*(1+Flags!$D$31)^(1/12)-L38,K34-L38),L33-L38)</f>
        <v>10000000</v>
      </c>
      <c r="M34" s="490">
        <f>IF(M33=0,IF($E31="USD",L34*(1+Flags!$D$31)^(1/12)-M38,L34-M38),M33-M38)</f>
        <v>10000000</v>
      </c>
      <c r="N34" s="490">
        <f>IF(N33=0,IF($E31="USD",M34*(1+Flags!$D$31)^(1/12)-N38,M34-N38),N33-N38)</f>
        <v>10000000</v>
      </c>
      <c r="O34" s="490">
        <f>IF(O33=0,IF($E31="USD",N34*(1+Flags!$D$31)^(1/12)-O38,N34-O38),O33-O38)</f>
        <v>10000000</v>
      </c>
      <c r="P34" s="490">
        <f>IF(P33=0,IF($E31="USD",O34*(1+Flags!$D$31)^(1/12)-P38,O34-P38),P33-P38)</f>
        <v>10000000</v>
      </c>
      <c r="Q34" s="490">
        <f>IF(Q33=0,IF($E31="USD",P34*(1+Flags!$D$31)^(1/12)-Q38,P34-Q38),Q33-Q38)</f>
        <v>10000000</v>
      </c>
      <c r="R34" s="490">
        <f>IF(R33=0,IF($E31="USD",Q34*(1+Flags!$D$31)^(1/12)-R38,Q34-R38),R33-R38)</f>
        <v>10000000</v>
      </c>
      <c r="S34" s="490">
        <f>IF(S33=0,IF($E31="USD",R34*(1+Flags!$D$31)^(1/12)-S38,R34-S38),S33-S38)</f>
        <v>10000000</v>
      </c>
      <c r="T34" s="490">
        <f>IF(T33=0,IF($E31="USD",S34*(1+Flags!$D$31)^(1/12)-T38,S34-T38),T33-T38)</f>
        <v>10000000</v>
      </c>
      <c r="U34" s="490">
        <f>IF(U33=0,IF($E31="USD",T34*(1+Flags!$D$31)^(1/12)-U38,T34-U38),U33-U38)</f>
        <v>10000000</v>
      </c>
      <c r="V34" s="490">
        <f>IF(V33=0,IF($E31="USD",U34*(1+Flags!$D$31)^(1/12)-V38,U34-V38),V33-V38)</f>
        <v>9583333.333333334</v>
      </c>
      <c r="W34" s="490">
        <f>IF(W33=0,IF($E31="USD",V34*(1+Flags!$D$31)^(1/12)-W38,V34-W38),W33-W38)</f>
        <v>9166666.6666666679</v>
      </c>
      <c r="X34" s="490">
        <f>IF(X33=0,IF($E31="USD",W34*(1+Flags!$D$31)^(1/12)-X38,W34-X38),X33-X38)</f>
        <v>8750000.0000000019</v>
      </c>
      <c r="Y34" s="490">
        <f>IF(Y33=0,IF($E31="USD",X34*(1+Flags!$D$31)^(1/12)-Y38,X34-Y38),Y33-Y38)</f>
        <v>8333333.3333333349</v>
      </c>
      <c r="Z34" s="490">
        <f>IF(Z33=0,IF($E31="USD",Y34*(1+Flags!$D$31)^(1/12)-Z38,Y34-Z38),Z33-Z38)</f>
        <v>7916666.6666666679</v>
      </c>
      <c r="AA34" s="490">
        <f>IF(AA33=0,IF($E31="USD",Z34*(1+Flags!$D$31)^(1/12)-AA38,Z34-AA38),AA33-AA38)</f>
        <v>7500000.0000000009</v>
      </c>
      <c r="AB34" s="490">
        <f>IF(AB33=0,IF($E31="USD",AA34*(1+Flags!$D$31)^(1/12)-AB38,AA34-AB38),AB33-AB38)</f>
        <v>7083333.333333334</v>
      </c>
      <c r="AC34" s="490">
        <f>IF(AC33=0,IF($E31="USD",AB34*(1+Flags!$D$31)^(1/12)-AC38,AB34-AC38),AC33-AC38)</f>
        <v>6666666.666666667</v>
      </c>
      <c r="AD34" s="490">
        <f>IF(AD33=0,IF($E31="USD",AC34*(1+Flags!$D$31)^(1/12)-AD38,AC34-AD38),AD33-AD38)</f>
        <v>6250000</v>
      </c>
      <c r="AE34" s="490">
        <f>IF(AE33=0,IF($E31="USD",AD34*(1+Flags!$D$31)^(1/12)-AE38,AD34-AE38),AE33-AE38)</f>
        <v>5833333.333333333</v>
      </c>
      <c r="AF34" s="490">
        <f>IF(AF33=0,IF($E31="USD",AE34*(1+Flags!$D$31)^(1/12)-AF38,AE34-AF38),AF33-AF38)</f>
        <v>5416666.666666666</v>
      </c>
      <c r="AG34" s="490">
        <f>IF(AG33=0,IF($E31="USD",AF34*(1+Flags!$D$31)^(1/12)-AG38,AF34-AG38),AG33-AG38)</f>
        <v>4999999.9999999991</v>
      </c>
      <c r="AH34" s="490">
        <f>IF(AH33=0,IF($E31="USD",AG34*(1+Flags!$D$31)^(1/12)-AH38,AG34-AH38),AH33-AH38)</f>
        <v>4583333.3333333321</v>
      </c>
      <c r="AI34" s="490">
        <f>IF(AI33=0,IF($E31="USD",AH34*(1+Flags!$D$31)^(1/12)-AI38,AH34-AI38),AI33-AI38)</f>
        <v>4166666.6666666656</v>
      </c>
      <c r="AJ34" s="490">
        <f>IF(AJ33=0,IF($E31="USD",AI34*(1+Flags!$D$31)^(1/12)-AJ38,AI34-AJ38),AJ33-AJ38)</f>
        <v>3749999.9999999991</v>
      </c>
      <c r="AK34" s="490">
        <f>IF(AK33=0,IF($E31="USD",AJ34*(1+Flags!$D$31)^(1/12)-AK38,AJ34-AK38),AK33-AK38)</f>
        <v>3333333.3333333326</v>
      </c>
      <c r="AL34" s="490">
        <f>IF(AL33=0,IF($E31="USD",AK34*(1+Flags!$D$31)^(1/12)-AL38,AK34-AL38),AL33-AL38)</f>
        <v>2916666.666666666</v>
      </c>
      <c r="AM34" s="490">
        <f>IF(AM33=0,IF($E31="USD",AL34*(1+Flags!$D$31)^(1/12)-AM38,AL34-AM38),AM33-AM38)</f>
        <v>2499999.9999999995</v>
      </c>
      <c r="AN34" s="490">
        <f>IF(AN33=0,IF($E31="USD",AM34*(1+Flags!$D$31)^(1/12)-AN38,AM34-AN38),AN33-AN38)</f>
        <v>2083333.333333333</v>
      </c>
      <c r="AO34" s="490">
        <f>IF(AO33=0,IF($E31="USD",AN34*(1+Flags!$D$31)^(1/12)-AO38,AN34-AO38),AO33-AO38)</f>
        <v>1666666.6666666665</v>
      </c>
      <c r="AP34" s="490">
        <f>IF(AP33=0,IF($E31="USD",AO34*(1+Flags!$D$31)^(1/12)-AP38,AO34-AP38),AP33-AP38)</f>
        <v>1250000</v>
      </c>
      <c r="AQ34" s="490">
        <f>IF(AQ33=0,IF($E31="USD",AP34*(1+Flags!$D$31)^(1/12)-AQ38,AP34-AQ38),AQ33-AQ38)</f>
        <v>833333.33333333337</v>
      </c>
      <c r="AR34" s="490">
        <f>IF(AR33=0,IF($E31="USD",AQ34*(1+Flags!$D$31)^(1/12)-AR38,AQ34-AR38),AR33-AR38)</f>
        <v>416666.66666666674</v>
      </c>
      <c r="AS34" s="490">
        <f>IF(AS33=0,IF($E31="USD",AR34*(1+Flags!$D$31)^(1/12)-AS38,AR34-AS38),AS33-AS38)</f>
        <v>1.1641532182693481E-10</v>
      </c>
      <c r="AT34" s="490">
        <f>IF(AT33=0,IF($E31="USD",AS34*(1+Flags!$D$31)^(1/12)-AT38,AS34-AT38),AT33-AT38)</f>
        <v>1.1641532182693481E-10</v>
      </c>
      <c r="AU34" s="490">
        <f>IF(AU33=0,IF($E31="USD",AT34*(1+Flags!$D$31)^(1/12)-AU38,AT34-AU38),AU33-AU38)</f>
        <v>1.1641532182693481E-10</v>
      </c>
      <c r="AV34" s="490">
        <f>IF(AV33=0,IF($E31="USD",AU34*(1+Flags!$D$31)^(1/12)-AV38,AU34-AV38),AV33-AV38)</f>
        <v>1.1641532182693481E-10</v>
      </c>
      <c r="AW34" s="490">
        <f>IF(AW33=0,IF($E31="USD",AV34*(1+Flags!$D$31)^(1/12)-AW38,AV34-AW38),AW33-AW38)</f>
        <v>1.1641532182693481E-10</v>
      </c>
      <c r="AX34" s="490">
        <f>IF(AX33=0,IF($E31="USD",AW34*(1+Flags!$D$31)^(1/12)-AX38,AW34-AX38),AX33-AX38)</f>
        <v>1.1641532182693481E-10</v>
      </c>
      <c r="AY34" s="490">
        <f>IF(AY33=0,IF($E31="USD",AX34*(1+Flags!$D$31)^(1/12)-AY38,AX34-AY38),AY33-AY38)</f>
        <v>1.1641532182693481E-10</v>
      </c>
      <c r="AZ34" s="490">
        <f>IF(AZ33=0,IF($E31="USD",AY34*(1+Flags!$D$31)^(1/12)-AZ38,AY34-AZ38),AZ33-AZ38)</f>
        <v>1.1641532182693481E-10</v>
      </c>
      <c r="BA34" s="490">
        <f>IF(BA33=0,IF($E31="USD",AZ34*(1+Flags!$D$31)^(1/12)-BA38,AZ34-BA38),BA33-BA38)</f>
        <v>1.1641532182693481E-10</v>
      </c>
      <c r="BB34" s="490">
        <f>IF(BB33=0,IF($E31="USD",BA34*(1+Flags!$D$31)^(1/12)-BB38,BA34-BB38),BB33-BB38)</f>
        <v>1.1641532182693481E-10</v>
      </c>
      <c r="BC34" s="490">
        <f>IF(BC33=0,IF($E31="USD",BB34*(1+Flags!$D$31)^(1/12)-BC38,BB34-BC38),BC33-BC38)</f>
        <v>1.1641532182693481E-10</v>
      </c>
      <c r="BD34" s="490">
        <f>IF(BD33=0,IF($E31="USD",BC34*(1+Flags!$D$31)^(1/12)-BD38,BC34-BD38),BD33-BD38)</f>
        <v>1.1641532182693481E-10</v>
      </c>
      <c r="BE34" s="490">
        <f>IF(BE33=0,IF($E31="USD",BD34*(1+Flags!$D$31)^(1/12)-BE38,BD34-BE38),BE33-BE38)</f>
        <v>1.1641532182693481E-10</v>
      </c>
      <c r="BF34" s="490">
        <f>IF(BF33=0,IF($E31="USD",BE34*(1+Flags!$D$31)^(1/12)-BF38,BE34-BF38),BF33-BF38)</f>
        <v>1.1641532182693481E-10</v>
      </c>
      <c r="BG34" s="490">
        <f>IF(BG33=0,IF($E31="USD",BF34*(1+Flags!$D$31)^(1/12)-BG38,BF34-BG38),BG33-BG38)</f>
        <v>1.1641532182693481E-10</v>
      </c>
      <c r="BH34" s="490">
        <f>IF(BH33=0,IF($E31="USD",BG34*(1+Flags!$D$31)^(1/12)-BH38,BG34-BH38),BH33-BH38)</f>
        <v>1.1641532182693481E-10</v>
      </c>
      <c r="BI34" s="490">
        <f>IF(BI33=0,IF($E31="USD",BH34*(1+Flags!$D$31)^(1/12)-BI38,BH34-BI38),BI33-BI38)</f>
        <v>1.1641532182693481E-10</v>
      </c>
      <c r="BJ34" s="490">
        <f>IF(BJ33=0,IF($E31="USD",BI34*(1+Flags!$D$31)^(1/12)-BJ38,BI34-BJ38),BJ33-BJ38)</f>
        <v>1.1641532182693481E-10</v>
      </c>
      <c r="BK34" s="490">
        <f>IF(BK33=0,IF($E31="USD",BJ34*(1+Flags!$D$31)^(1/12)-BK38,BJ34-BK38),BK33-BK38)</f>
        <v>1.1641532182693481E-10</v>
      </c>
      <c r="BL34" s="490">
        <f>IF(BL33=0,IF($E31="USD",BK34*(1+Flags!$D$31)^(1/12)-BL38,BK34-BL38),BL33-BL38)</f>
        <v>1.1641532182693481E-10</v>
      </c>
      <c r="BM34" s="490">
        <f>IF(BM33=0,IF($E31="USD",BL34*(1+Flags!$D$31)^(1/12)-BM38,BL34-BM38),BM33-BM38)</f>
        <v>1.1641532182693481E-10</v>
      </c>
      <c r="BN34" s="490">
        <f>IF(BN33=0,IF($E31="USD",BM34*(1+Flags!$D$31)^(1/12)-BN38,BM34-BN38),BN33-BN38)</f>
        <v>1.1641532182693481E-10</v>
      </c>
      <c r="BO34" s="490">
        <f>IF(BO33=0,IF($E31="USD",BN34*(1+Flags!$D$31)^(1/12)-BO38,BN34-BO38),BO33-BO38)</f>
        <v>1.1641532182693481E-10</v>
      </c>
      <c r="BP34" s="490">
        <f>IF(BP33=0,IF($E31="USD",BO34*(1+Flags!$D$31)^(1/12)-BP38,BO34-BP38),BP33-BP38)</f>
        <v>1.1641532182693481E-10</v>
      </c>
      <c r="BQ34" s="490">
        <f>IF(BQ33=0,IF($E31="USD",BP34*(1+Flags!$D$31)^(1/12)-BQ38,BP34-BQ38),BQ33-BQ38)</f>
        <v>1.1641532182693481E-10</v>
      </c>
      <c r="BR34" s="490">
        <f>IF(BR33=0,IF($E31="USD",BQ34*(1+Flags!$D$31)^(1/12)-BR38,BQ34-BR38),BR33-BR38)</f>
        <v>1.1641532182693481E-10</v>
      </c>
      <c r="BS34" s="490">
        <f>IF(BS33=0,IF($E31="USD",BR34*(1+Flags!$D$31)^(1/12)-BS38,BR34-BS38),BS33-BS38)</f>
        <v>1.1641532182693481E-10</v>
      </c>
      <c r="BT34" s="490">
        <f>IF(BT33=0,IF($E31="USD",BS34*(1+Flags!$D$31)^(1/12)-BT38,BS34-BT38),BT33-BT38)</f>
        <v>1.1641532182693481E-10</v>
      </c>
      <c r="BU34" s="490">
        <f>IF(BU33=0,IF($E31="USD",BT34*(1+Flags!$D$31)^(1/12)-BU38,BT34-BU38),BU33-BU38)</f>
        <v>1.1641532182693481E-10</v>
      </c>
      <c r="BV34" s="490">
        <f>IF(BV33=0,IF($E31="USD",BU34*(1+Flags!$D$31)^(1/12)-BV38,BU34-BV38),BV33-BV38)</f>
        <v>1.1641532182693481E-10</v>
      </c>
      <c r="BW34" s="490">
        <f>IF(BW33=0,IF($E31="USD",BV34*(1+Flags!$D$31)^(1/12)-BW38,BV34-BW38),BW33-BW38)</f>
        <v>1.1641532182693481E-10</v>
      </c>
      <c r="BX34" s="490">
        <f>IF(BX33=0,IF($E31="USD",BW34*(1+Flags!$D$31)^(1/12)-BX38,BW34-BX38),BX33-BX38)</f>
        <v>1.1641532182693481E-10</v>
      </c>
      <c r="BY34" s="490">
        <f>IF(BY33=0,IF($E31="USD",BX34*(1+Flags!$D$31)^(1/12)-BY38,BX34-BY38),BY33-BY38)</f>
        <v>1.1641532182693481E-10</v>
      </c>
      <c r="BZ34" s="490">
        <f>IF(BZ33=0,IF($E31="USD",BY34*(1+Flags!$D$31)^(1/12)-BZ38,BY34-BZ38),BZ33-BZ38)</f>
        <v>1.1641532182693481E-10</v>
      </c>
      <c r="CA34" s="490">
        <f>IF(CA33=0,IF($E31="USD",BZ34*(1+Flags!$D$31)^(1/12)-CA38,BZ34-CA38),CA33-CA38)</f>
        <v>1.1641532182693481E-10</v>
      </c>
      <c r="CB34" s="490">
        <f>IF(CB33=0,IF($E31="USD",CA34*(1+Flags!$D$31)^(1/12)-CB38,CA34-CB38),CB33-CB38)</f>
        <v>1.1641532182693481E-10</v>
      </c>
      <c r="CC34" s="490">
        <f>IF(CC33=0,IF($E31="USD",CB34*(1+Flags!$D$31)^(1/12)-CC38,CB34-CC38),CC33-CC38)</f>
        <v>1.1641532182693481E-10</v>
      </c>
      <c r="CD34" s="490">
        <f>IF(CD33=0,IF($E31="USD",CC34*(1+Flags!$D$31)^(1/12)-CD38,CC34-CD38),CD33-CD38)</f>
        <v>1.1641532182693481E-10</v>
      </c>
      <c r="CE34" s="490">
        <f>IF(CE33=0,IF($E31="USD",CD34*(1+Flags!$D$31)^(1/12)-CE38,CD34-CE38),CE33-CE38)</f>
        <v>1.1641532182693481E-10</v>
      </c>
      <c r="CF34" s="490">
        <f>IF(CF33=0,IF($E31="USD",CE34*(1+Flags!$D$31)^(1/12)-CF38,CE34-CF38),CF33-CF38)</f>
        <v>1.1641532182693481E-10</v>
      </c>
      <c r="CG34" s="490">
        <f>IF(CG33=0,IF($E31="USD",CF34*(1+Flags!$D$31)^(1/12)-CG38,CF34-CG38),CG33-CG38)</f>
        <v>1.1641532182693481E-10</v>
      </c>
      <c r="CH34" s="490">
        <f>IF(CH33=0,IF($E31="USD",CG34*(1+Flags!$D$31)^(1/12)-CH38,CG34-CH38),CH33-CH38)</f>
        <v>1.1641532182693481E-10</v>
      </c>
      <c r="CI34" s="490">
        <f>IF(CI33=0,IF($E31="USD",CH34*(1+Flags!$D$31)^(1/12)-CI38,CH34-CI38),CI33-CI38)</f>
        <v>1.1641532182693481E-10</v>
      </c>
      <c r="CJ34" s="490">
        <f>IF(CJ33=0,IF($E31="USD",CI34*(1+Flags!$D$31)^(1/12)-CJ38,CI34-CJ38),CJ33-CJ38)</f>
        <v>1.1641532182693481E-10</v>
      </c>
      <c r="CK34" s="490">
        <f>IF(CK33=0,IF($E31="USD",CJ34*(1+Flags!$D$31)^(1/12)-CK38,CJ34-CK38),CK33-CK38)</f>
        <v>1.1641532182693481E-10</v>
      </c>
      <c r="CL34" s="490">
        <f>IF(CL33=0,IF($E31="USD",CK34*(1+Flags!$D$31)^(1/12)-CL38,CK34-CL38),CL33-CL38)</f>
        <v>1.1641532182693481E-10</v>
      </c>
      <c r="CM34" s="490">
        <f>IF(CM33=0,IF($E31="USD",CL34*(1+Flags!$D$31)^(1/12)-CM38,CL34-CM38),CM33-CM38)</f>
        <v>1.1641532182693481E-10</v>
      </c>
      <c r="CN34" s="490">
        <f>IF(CN33=0,IF($E31="USD",CM34*(1+Flags!$D$31)^(1/12)-CN38,CM34-CN38),CN33-CN38)</f>
        <v>1.1641532182693481E-10</v>
      </c>
      <c r="CO34" s="490">
        <f>IF(CO33=0,IF($E31="USD",CN34*(1+Flags!$D$31)^(1/12)-CO38,CN34-CO38),CO33-CO38)</f>
        <v>1.1641532182693481E-10</v>
      </c>
      <c r="CP34" s="490">
        <f>IF(CP33=0,IF($E31="USD",CO34*(1+Flags!$D$31)^(1/12)-CP38,CO34-CP38),CP33-CP38)</f>
        <v>1.1641532182693481E-10</v>
      </c>
      <c r="CQ34" s="490">
        <f>IF(CQ33=0,IF($E31="USD",CP34*(1+Flags!$D$31)^(1/12)-CQ38,CP34-CQ38),CQ33-CQ38)</f>
        <v>1.1641532182693481E-10</v>
      </c>
      <c r="CR34" s="490">
        <f>IF(CR33=0,IF($E31="USD",CQ34*(1+Flags!$D$31)^(1/12)-CR38,CQ34-CR38),CR33-CR38)</f>
        <v>1.1641532182693481E-10</v>
      </c>
      <c r="CS34" s="490">
        <f>IF(CS33=0,IF($E31="USD",CR34*(1+Flags!$D$31)^(1/12)-CS38,CR34-CS38),CS33-CS38)</f>
        <v>1.1641532182693481E-10</v>
      </c>
      <c r="CT34" s="490">
        <f>IF(CT33=0,IF($E31="USD",CS34*(1+Flags!$D$31)^(1/12)-CT38,CS34-CT38),CT33-CT38)</f>
        <v>1.1641532182693481E-10</v>
      </c>
      <c r="CU34" s="490">
        <f>IF(CU33=0,IF($E31="USD",CT34*(1+Flags!$D$31)^(1/12)-CU38,CT34-CU38),CU33-CU38)</f>
        <v>1.1641532182693481E-10</v>
      </c>
      <c r="CV34" s="490">
        <f>IF(CV33=0,IF($E31="USD",CU34*(1+Flags!$D$31)^(1/12)-CV38,CU34-CV38),CV33-CV38)</f>
        <v>1.1641532182693481E-10</v>
      </c>
      <c r="CW34" s="490">
        <f>IF(CW33=0,IF($E31="USD",CV34*(1+Flags!$D$31)^(1/12)-CW38,CV34-CW38),CW33-CW38)</f>
        <v>1.1641532182693481E-10</v>
      </c>
      <c r="CX34" s="490">
        <f>IF(CX33=0,IF($E31="USD",CW34*(1+Flags!$D$31)^(1/12)-CX38,CW34-CX38),CX33-CX38)</f>
        <v>1.1641532182693481E-10</v>
      </c>
      <c r="CY34" s="490">
        <f>IF(CY33=0,IF($E31="USD",CX34*(1+Flags!$D$31)^(1/12)-CY38,CX34-CY38),CY33-CY38)</f>
        <v>1.1641532182693481E-10</v>
      </c>
      <c r="CZ34" s="490">
        <f>IF(CZ33=0,IF($E31="USD",CY34*(1+Flags!$D$31)^(1/12)-CZ38,CY34-CZ38),CZ33-CZ38)</f>
        <v>1.1641532182693481E-10</v>
      </c>
      <c r="DA34" s="490">
        <f>IF(DA33=0,IF($E31="USD",CZ34*(1+Flags!$D$31)^(1/12)-DA38,CZ34-DA38),DA33-DA38)</f>
        <v>1.1641532182693481E-10</v>
      </c>
      <c r="DB34" s="490">
        <f>IF(DB33=0,IF($E31="USD",DA34*(1+Flags!$D$31)^(1/12)-DB38,DA34-DB38),DB33-DB38)</f>
        <v>1.1641532182693481E-10</v>
      </c>
      <c r="DC34" s="490">
        <f>IF(DC33=0,IF($E31="USD",DB34*(1+Flags!$D$31)^(1/12)-DC38,DB34-DC38),DC33-DC38)</f>
        <v>1.1641532182693481E-10</v>
      </c>
      <c r="DD34" s="490">
        <f>IF(DD33=0,IF($E31="USD",DC34*(1+Flags!$D$31)^(1/12)-DD38,DC34-DD38),DD33-DD38)</f>
        <v>1.1641532182693481E-10</v>
      </c>
      <c r="DE34" s="490">
        <f>IF(DE33=0,IF($E31="USD",DD34*(1+Flags!$D$31)^(1/12)-DE38,DD34-DE38),DE33-DE38)</f>
        <v>1.1641532182693481E-10</v>
      </c>
      <c r="DF34" s="490">
        <f>IF(DF33=0,IF($E31="USD",DE34*(1+Flags!$D$31)^(1/12)-DF38,DE34-DF38),DF33-DF38)</f>
        <v>1.1641532182693481E-10</v>
      </c>
      <c r="DG34" s="490">
        <f>IF(DG33=0,IF($E31="USD",DF34*(1+Flags!$D$31)^(1/12)-DG38,DF34-DG38),DG33-DG38)</f>
        <v>1.1641532182693481E-10</v>
      </c>
      <c r="DH34" s="490">
        <f>IF(DH33=0,IF($E31="USD",DG34*(1+Flags!$D$31)^(1/12)-DH38,DG34-DH38),DH33-DH38)</f>
        <v>1.1641532182693481E-10</v>
      </c>
      <c r="DI34" s="490">
        <f>IF(DI33=0,IF($E31="USD",DH34*(1+Flags!$D$31)^(1/12)-DI38,DH34-DI38),DI33-DI38)</f>
        <v>1.1641532182693481E-10</v>
      </c>
      <c r="DJ34" s="490">
        <f>IF(DJ33=0,IF($E31="USD",DI34*(1+Flags!$D$31)^(1/12)-DJ38,DI34-DJ38),DJ33-DJ38)</f>
        <v>1.1641532182693481E-10</v>
      </c>
      <c r="DK34" s="490">
        <f>IF(DK33=0,IF($E31="USD",DJ34*(1+Flags!$D$31)^(1/12)-DK38,DJ34-DK38),DK33-DK38)</f>
        <v>1.1641532182693481E-10</v>
      </c>
      <c r="DL34" s="490">
        <f>IF(DL33=0,IF($E31="USD",DK34*(1+Flags!$D$31)^(1/12)-DL38,DK34-DL38),DL33-DL38)</f>
        <v>1.1641532182693481E-10</v>
      </c>
      <c r="DM34" s="490">
        <f>IF(DM33=0,IF($E31="USD",DL34*(1+Flags!$D$31)^(1/12)-DM38,DL34-DM38),DM33-DM38)</f>
        <v>1.1641532182693481E-10</v>
      </c>
      <c r="DN34" s="490">
        <f>IF(DN33=0,IF($E31="USD",DM34*(1+Flags!$D$31)^(1/12)-DN38,DM34-DN38),DN33-DN38)</f>
        <v>1.1641532182693481E-10</v>
      </c>
      <c r="DO34" s="490">
        <f>IF(DO33=0,IF($E31="USD",DN34*(1+Flags!$D$31)^(1/12)-DO38,DN34-DO38),DO33-DO38)</f>
        <v>1.1641532182693481E-10</v>
      </c>
      <c r="DP34" s="490">
        <f>IF(DP33=0,IF($E31="USD",DO34*(1+Flags!$D$31)^(1/12)-DP38,DO34-DP38),DP33-DP38)</f>
        <v>1.1641532182693481E-10</v>
      </c>
      <c r="DQ34" s="490">
        <f>IF(DQ33=0,IF($E31="USD",DP34*(1+Flags!$D$31)^(1/12)-DQ38,DP34-DQ38),DQ33-DQ38)</f>
        <v>1.1641532182693481E-10</v>
      </c>
      <c r="DR34" s="490">
        <f>IF(DR33=0,IF($E31="USD",DQ34*(1+Flags!$D$31)^(1/12)-DR38,DQ34-DR38),DR33-DR38)</f>
        <v>1.1641532182693481E-10</v>
      </c>
      <c r="DS34" s="490">
        <f>IF(DS33=0,IF($E31="USD",DR34*(1+Flags!$D$31)^(1/12)-DS38,DR34-DS38),DS33-DS38)</f>
        <v>1.1641532182693481E-10</v>
      </c>
      <c r="DT34" s="490">
        <f>IF(DT33=0,IF($E31="USD",DS34*(1+Flags!$D$31)^(1/12)-DT38,DS34-DT38),DT33-DT38)</f>
        <v>1.1641532182693481E-10</v>
      </c>
      <c r="DU34" s="490">
        <f>IF(DU33=0,IF($E31="USD",DT34*(1+Flags!$D$31)^(1/12)-DU38,DT34-DU38),DU33-DU38)</f>
        <v>1.1641532182693481E-10</v>
      </c>
      <c r="DV34" s="490">
        <f>IF(DV33=0,IF($E31="USD",DU34*(1+Flags!$D$31)^(1/12)-DV38,DU34-DV38),DV33-DV38)</f>
        <v>1.1641532182693481E-10</v>
      </c>
      <c r="DW34" s="490">
        <f>IF(DW33=0,IF($E31="USD",DV34*(1+Flags!$D$31)^(1/12)-DW38,DV34-DW38),DW33-DW38)</f>
        <v>1.1641532182693481E-10</v>
      </c>
      <c r="DX34" s="490">
        <f>IF(DX33=0,IF($E31="USD",DW34*(1+Flags!$D$31)^(1/12)-DX38,DW34-DX38),DX33-DX38)</f>
        <v>1.1641532182693481E-10</v>
      </c>
      <c r="DY34" s="490">
        <f>IF(DY33=0,IF($E31="USD",DX34*(1+Flags!$D$31)^(1/12)-DY38,DX34-DY38),DY33-DY38)</f>
        <v>1.1641532182693481E-10</v>
      </c>
    </row>
    <row r="35" spans="2:129" s="43" customFormat="1">
      <c r="C35" s="43" t="s">
        <v>388</v>
      </c>
      <c r="E35" s="482">
        <f>+'Model Assumptions'!F138</f>
        <v>41666.666666666664</v>
      </c>
      <c r="F35" s="126"/>
      <c r="G35" s="126"/>
      <c r="H35" s="12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row>
    <row r="36" spans="2:129" s="43" customFormat="1">
      <c r="C36" s="43" t="s">
        <v>87</v>
      </c>
      <c r="E36" s="483">
        <f>+'Model Assumptions'!F139</f>
        <v>1</v>
      </c>
      <c r="F36" s="129"/>
      <c r="G36" s="129"/>
      <c r="H36" s="129"/>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row>
    <row r="37" spans="2:129" s="43" customFormat="1">
      <c r="C37" s="43" t="s">
        <v>395</v>
      </c>
      <c r="E37" s="484">
        <f>+'Model Assumptions'!F140</f>
        <v>3</v>
      </c>
      <c r="F37" s="130"/>
      <c r="G37" s="130"/>
      <c r="H37" s="130"/>
      <c r="J37" s="46">
        <f t="shared" ref="J37:AO37" si="28">+IF(AND(J$1&gt;=DATE(YEAR($E30), MONTH($E30) + $E36*12, DAY($E30)),J$1&lt;DATE(YEAR($E30), MONTH($E30) + $E37*12, DAY($E30))),$E35,0)</f>
        <v>0</v>
      </c>
      <c r="K37" s="46">
        <f t="shared" si="28"/>
        <v>0</v>
      </c>
      <c r="L37" s="46">
        <f t="shared" si="28"/>
        <v>0</v>
      </c>
      <c r="M37" s="46">
        <f t="shared" si="28"/>
        <v>0</v>
      </c>
      <c r="N37" s="46">
        <f t="shared" si="28"/>
        <v>0</v>
      </c>
      <c r="O37" s="46">
        <f t="shared" si="28"/>
        <v>0</v>
      </c>
      <c r="P37" s="46">
        <f t="shared" si="28"/>
        <v>0</v>
      </c>
      <c r="Q37" s="46">
        <f t="shared" si="28"/>
        <v>0</v>
      </c>
      <c r="R37" s="46">
        <f t="shared" si="28"/>
        <v>0</v>
      </c>
      <c r="S37" s="46">
        <f t="shared" si="28"/>
        <v>0</v>
      </c>
      <c r="T37" s="46">
        <f t="shared" si="28"/>
        <v>0</v>
      </c>
      <c r="U37" s="46">
        <f t="shared" si="28"/>
        <v>0</v>
      </c>
      <c r="V37" s="46">
        <f t="shared" si="28"/>
        <v>41666.666666666664</v>
      </c>
      <c r="W37" s="46">
        <f t="shared" si="28"/>
        <v>41666.666666666664</v>
      </c>
      <c r="X37" s="46">
        <f t="shared" si="28"/>
        <v>41666.666666666664</v>
      </c>
      <c r="Y37" s="46">
        <f t="shared" si="28"/>
        <v>41666.666666666664</v>
      </c>
      <c r="Z37" s="46">
        <f t="shared" si="28"/>
        <v>41666.666666666664</v>
      </c>
      <c r="AA37" s="46">
        <f t="shared" si="28"/>
        <v>41666.666666666664</v>
      </c>
      <c r="AB37" s="46">
        <f t="shared" si="28"/>
        <v>41666.666666666664</v>
      </c>
      <c r="AC37" s="46">
        <f t="shared" si="28"/>
        <v>41666.666666666664</v>
      </c>
      <c r="AD37" s="46">
        <f t="shared" si="28"/>
        <v>41666.666666666664</v>
      </c>
      <c r="AE37" s="46">
        <f t="shared" si="28"/>
        <v>41666.666666666664</v>
      </c>
      <c r="AF37" s="46">
        <f t="shared" si="28"/>
        <v>41666.666666666664</v>
      </c>
      <c r="AG37" s="46">
        <f t="shared" si="28"/>
        <v>41666.666666666664</v>
      </c>
      <c r="AH37" s="46">
        <f t="shared" si="28"/>
        <v>41666.666666666664</v>
      </c>
      <c r="AI37" s="46">
        <f t="shared" si="28"/>
        <v>41666.666666666664</v>
      </c>
      <c r="AJ37" s="46">
        <f t="shared" si="28"/>
        <v>41666.666666666664</v>
      </c>
      <c r="AK37" s="46">
        <f t="shared" si="28"/>
        <v>41666.666666666664</v>
      </c>
      <c r="AL37" s="46">
        <f t="shared" si="28"/>
        <v>41666.666666666664</v>
      </c>
      <c r="AM37" s="46">
        <f t="shared" si="28"/>
        <v>41666.666666666664</v>
      </c>
      <c r="AN37" s="46">
        <f t="shared" si="28"/>
        <v>41666.666666666664</v>
      </c>
      <c r="AO37" s="46">
        <f t="shared" si="28"/>
        <v>41666.666666666664</v>
      </c>
      <c r="AP37" s="46">
        <f t="shared" ref="AP37:BU37" si="29">+IF(AND(AP$1&gt;=DATE(YEAR($E30), MONTH($E30) + $E36*12, DAY($E30)),AP$1&lt;DATE(YEAR($E30), MONTH($E30) + $E37*12, DAY($E30))),$E35,0)</f>
        <v>41666.666666666664</v>
      </c>
      <c r="AQ37" s="46">
        <f t="shared" si="29"/>
        <v>41666.666666666664</v>
      </c>
      <c r="AR37" s="46">
        <f t="shared" si="29"/>
        <v>41666.666666666664</v>
      </c>
      <c r="AS37" s="46">
        <f t="shared" si="29"/>
        <v>41666.666666666664</v>
      </c>
      <c r="AT37" s="46">
        <f t="shared" si="29"/>
        <v>0</v>
      </c>
      <c r="AU37" s="46">
        <f t="shared" si="29"/>
        <v>0</v>
      </c>
      <c r="AV37" s="46">
        <f t="shared" si="29"/>
        <v>0</v>
      </c>
      <c r="AW37" s="46">
        <f t="shared" si="29"/>
        <v>0</v>
      </c>
      <c r="AX37" s="46">
        <f t="shared" si="29"/>
        <v>0</v>
      </c>
      <c r="AY37" s="46">
        <f t="shared" si="29"/>
        <v>0</v>
      </c>
      <c r="AZ37" s="46">
        <f t="shared" si="29"/>
        <v>0</v>
      </c>
      <c r="BA37" s="46">
        <f t="shared" si="29"/>
        <v>0</v>
      </c>
      <c r="BB37" s="46">
        <f t="shared" si="29"/>
        <v>0</v>
      </c>
      <c r="BC37" s="46">
        <f t="shared" si="29"/>
        <v>0</v>
      </c>
      <c r="BD37" s="46">
        <f t="shared" si="29"/>
        <v>0</v>
      </c>
      <c r="BE37" s="46">
        <f t="shared" si="29"/>
        <v>0</v>
      </c>
      <c r="BF37" s="46">
        <f t="shared" si="29"/>
        <v>0</v>
      </c>
      <c r="BG37" s="46">
        <f t="shared" si="29"/>
        <v>0</v>
      </c>
      <c r="BH37" s="46">
        <f t="shared" si="29"/>
        <v>0</v>
      </c>
      <c r="BI37" s="46">
        <f t="shared" si="29"/>
        <v>0</v>
      </c>
      <c r="BJ37" s="46">
        <f t="shared" si="29"/>
        <v>0</v>
      </c>
      <c r="BK37" s="46">
        <f t="shared" si="29"/>
        <v>0</v>
      </c>
      <c r="BL37" s="46">
        <f t="shared" si="29"/>
        <v>0</v>
      </c>
      <c r="BM37" s="46">
        <f t="shared" si="29"/>
        <v>0</v>
      </c>
      <c r="BN37" s="46">
        <f t="shared" si="29"/>
        <v>0</v>
      </c>
      <c r="BO37" s="46">
        <f t="shared" si="29"/>
        <v>0</v>
      </c>
      <c r="BP37" s="46">
        <f t="shared" si="29"/>
        <v>0</v>
      </c>
      <c r="BQ37" s="46">
        <f t="shared" si="29"/>
        <v>0</v>
      </c>
      <c r="BR37" s="46">
        <f t="shared" si="29"/>
        <v>0</v>
      </c>
      <c r="BS37" s="46">
        <f t="shared" si="29"/>
        <v>0</v>
      </c>
      <c r="BT37" s="46">
        <f t="shared" si="29"/>
        <v>0</v>
      </c>
      <c r="BU37" s="46">
        <f t="shared" si="29"/>
        <v>0</v>
      </c>
      <c r="BV37" s="46">
        <f t="shared" ref="BV37:CC37" si="30">+IF(AND(BV$1&gt;=DATE(YEAR($E30), MONTH($E30) + $E36*12, DAY($E30)),BV$1&lt;DATE(YEAR($E30), MONTH($E30) + $E37*12, DAY($E30))),$E35,0)</f>
        <v>0</v>
      </c>
      <c r="BW37" s="46">
        <f t="shared" si="30"/>
        <v>0</v>
      </c>
      <c r="BX37" s="46">
        <f t="shared" si="30"/>
        <v>0</v>
      </c>
      <c r="BY37" s="46">
        <f t="shared" si="30"/>
        <v>0</v>
      </c>
      <c r="BZ37" s="46">
        <f t="shared" si="30"/>
        <v>0</v>
      </c>
      <c r="CA37" s="46">
        <f t="shared" si="30"/>
        <v>0</v>
      </c>
      <c r="CB37" s="46">
        <f t="shared" si="30"/>
        <v>0</v>
      </c>
      <c r="CC37" s="46">
        <f t="shared" si="30"/>
        <v>0</v>
      </c>
      <c r="CD37" s="46">
        <f t="shared" ref="CD37:DY37" si="31">+IF(AND(CD$1&gt;=DATE(YEAR($E30), MONTH($E30) + $E36*12, DAY($E30)),CD$1&lt;DATE(YEAR($E30), MONTH($E30) + $E37*12, DAY($E30))),$E35,0)</f>
        <v>0</v>
      </c>
      <c r="CE37" s="46">
        <f t="shared" si="31"/>
        <v>0</v>
      </c>
      <c r="CF37" s="46">
        <f t="shared" si="31"/>
        <v>0</v>
      </c>
      <c r="CG37" s="46">
        <f t="shared" si="31"/>
        <v>0</v>
      </c>
      <c r="CH37" s="46">
        <f t="shared" si="31"/>
        <v>0</v>
      </c>
      <c r="CI37" s="46">
        <f t="shared" si="31"/>
        <v>0</v>
      </c>
      <c r="CJ37" s="46">
        <f t="shared" si="31"/>
        <v>0</v>
      </c>
      <c r="CK37" s="46">
        <f t="shared" si="31"/>
        <v>0</v>
      </c>
      <c r="CL37" s="46">
        <f t="shared" si="31"/>
        <v>0</v>
      </c>
      <c r="CM37" s="46">
        <f t="shared" si="31"/>
        <v>0</v>
      </c>
      <c r="CN37" s="46">
        <f t="shared" si="31"/>
        <v>0</v>
      </c>
      <c r="CO37" s="46">
        <f t="shared" si="31"/>
        <v>0</v>
      </c>
      <c r="CP37" s="46">
        <f t="shared" si="31"/>
        <v>0</v>
      </c>
      <c r="CQ37" s="46">
        <f t="shared" si="31"/>
        <v>0</v>
      </c>
      <c r="CR37" s="46">
        <f t="shared" si="31"/>
        <v>0</v>
      </c>
      <c r="CS37" s="46">
        <f t="shared" si="31"/>
        <v>0</v>
      </c>
      <c r="CT37" s="46">
        <f t="shared" si="31"/>
        <v>0</v>
      </c>
      <c r="CU37" s="46">
        <f t="shared" si="31"/>
        <v>0</v>
      </c>
      <c r="CV37" s="46">
        <f t="shared" si="31"/>
        <v>0</v>
      </c>
      <c r="CW37" s="46">
        <f t="shared" si="31"/>
        <v>0</v>
      </c>
      <c r="CX37" s="46">
        <f t="shared" si="31"/>
        <v>0</v>
      </c>
      <c r="CY37" s="46">
        <f t="shared" si="31"/>
        <v>0</v>
      </c>
      <c r="CZ37" s="46">
        <f t="shared" si="31"/>
        <v>0</v>
      </c>
      <c r="DA37" s="46">
        <f t="shared" si="31"/>
        <v>0</v>
      </c>
      <c r="DB37" s="46">
        <f t="shared" si="31"/>
        <v>0</v>
      </c>
      <c r="DC37" s="46">
        <f t="shared" si="31"/>
        <v>0</v>
      </c>
      <c r="DD37" s="46">
        <f t="shared" si="31"/>
        <v>0</v>
      </c>
      <c r="DE37" s="46">
        <f t="shared" si="31"/>
        <v>0</v>
      </c>
      <c r="DF37" s="46">
        <f t="shared" si="31"/>
        <v>0</v>
      </c>
      <c r="DG37" s="46">
        <f t="shared" si="31"/>
        <v>0</v>
      </c>
      <c r="DH37" s="46">
        <f t="shared" si="31"/>
        <v>0</v>
      </c>
      <c r="DI37" s="46">
        <f t="shared" si="31"/>
        <v>0</v>
      </c>
      <c r="DJ37" s="46">
        <f t="shared" si="31"/>
        <v>0</v>
      </c>
      <c r="DK37" s="46">
        <f t="shared" si="31"/>
        <v>0</v>
      </c>
      <c r="DL37" s="46">
        <f t="shared" si="31"/>
        <v>0</v>
      </c>
      <c r="DM37" s="46">
        <f t="shared" si="31"/>
        <v>0</v>
      </c>
      <c r="DN37" s="46">
        <f t="shared" si="31"/>
        <v>0</v>
      </c>
      <c r="DO37" s="46">
        <f t="shared" si="31"/>
        <v>0</v>
      </c>
      <c r="DP37" s="46">
        <f t="shared" si="31"/>
        <v>0</v>
      </c>
      <c r="DQ37" s="46">
        <f t="shared" si="31"/>
        <v>0</v>
      </c>
      <c r="DR37" s="46">
        <f t="shared" si="31"/>
        <v>0</v>
      </c>
      <c r="DS37" s="46">
        <f t="shared" si="31"/>
        <v>0</v>
      </c>
      <c r="DT37" s="46">
        <f t="shared" si="31"/>
        <v>0</v>
      </c>
      <c r="DU37" s="46">
        <f t="shared" si="31"/>
        <v>0</v>
      </c>
      <c r="DV37" s="46">
        <f t="shared" si="31"/>
        <v>0</v>
      </c>
      <c r="DW37" s="46">
        <f t="shared" si="31"/>
        <v>0</v>
      </c>
      <c r="DX37" s="46">
        <f t="shared" si="31"/>
        <v>0</v>
      </c>
      <c r="DY37" s="46">
        <f t="shared" si="31"/>
        <v>0</v>
      </c>
    </row>
    <row r="38" spans="2:129" s="43" customFormat="1">
      <c r="C38" s="43" t="s">
        <v>389</v>
      </c>
      <c r="E38" s="527"/>
      <c r="F38" s="130"/>
      <c r="G38" s="130"/>
      <c r="H38" s="130"/>
      <c r="J38" s="491">
        <f>IF($E31="LCY",J37*'Model Assumptions'!$F$135,Financing!J37*Flags!J$30)</f>
        <v>0</v>
      </c>
      <c r="K38" s="491">
        <f>IF($E31="LCY",K37*'Model Assumptions'!$F$135,Financing!K37*Flags!K$30)</f>
        <v>0</v>
      </c>
      <c r="L38" s="491">
        <f>IF($E31="LCY",L37*'Model Assumptions'!$F$135,Financing!L37*Flags!L$30)</f>
        <v>0</v>
      </c>
      <c r="M38" s="491">
        <f>IF($E31="LCY",M37*'Model Assumptions'!$F$135,Financing!M37*Flags!M$30)</f>
        <v>0</v>
      </c>
      <c r="N38" s="491">
        <f>IF($E31="LCY",N37*'Model Assumptions'!$F$135,Financing!N37*Flags!N$30)</f>
        <v>0</v>
      </c>
      <c r="O38" s="491">
        <f>IF($E31="LCY",O37*'Model Assumptions'!$F$135,Financing!O37*Flags!O$30)</f>
        <v>0</v>
      </c>
      <c r="P38" s="491">
        <f>IF($E31="LCY",P37*'Model Assumptions'!$F$135,Financing!P37*Flags!P$30)</f>
        <v>0</v>
      </c>
      <c r="Q38" s="491">
        <f>IF($E31="LCY",Q37*'Model Assumptions'!$F$135,Financing!Q37*Flags!Q$30)</f>
        <v>0</v>
      </c>
      <c r="R38" s="491">
        <f>IF($E31="LCY",R37*'Model Assumptions'!$F$135,Financing!R37*Flags!R$30)</f>
        <v>0</v>
      </c>
      <c r="S38" s="491">
        <f>IF($E31="LCY",S37*'Model Assumptions'!$F$135,Financing!S37*Flags!S$30)</f>
        <v>0</v>
      </c>
      <c r="T38" s="491">
        <f>IF($E31="LCY",T37*'Model Assumptions'!$F$135,Financing!T37*Flags!T$30)</f>
        <v>0</v>
      </c>
      <c r="U38" s="491">
        <f>IF($E31="LCY",U37*'Model Assumptions'!$F$135,Financing!U37*Flags!U$30)</f>
        <v>0</v>
      </c>
      <c r="V38" s="491">
        <f>IF($E31="LCY",V37*'Model Assumptions'!$F$135,Financing!V37*Flags!V$30)</f>
        <v>416666.66666666663</v>
      </c>
      <c r="W38" s="491">
        <f>IF($E31="LCY",W37*'Model Assumptions'!$F$135,Financing!W37*Flags!W$30)</f>
        <v>416666.66666666663</v>
      </c>
      <c r="X38" s="491">
        <f>IF($E31="LCY",X37*'Model Assumptions'!$F$135,Financing!X37*Flags!X$30)</f>
        <v>416666.66666666663</v>
      </c>
      <c r="Y38" s="491">
        <f>IF($E31="LCY",Y37*'Model Assumptions'!$F$135,Financing!Y37*Flags!Y$30)</f>
        <v>416666.66666666663</v>
      </c>
      <c r="Z38" s="491">
        <f>IF($E31="LCY",Z37*'Model Assumptions'!$F$135,Financing!Z37*Flags!Z$30)</f>
        <v>416666.66666666663</v>
      </c>
      <c r="AA38" s="491">
        <f>IF($E31="LCY",AA37*'Model Assumptions'!$F$135,Financing!AA37*Flags!AA$30)</f>
        <v>416666.66666666663</v>
      </c>
      <c r="AB38" s="491">
        <f>IF($E31="LCY",AB37*'Model Assumptions'!$F$135,Financing!AB37*Flags!AB$30)</f>
        <v>416666.66666666663</v>
      </c>
      <c r="AC38" s="491">
        <f>IF($E31="LCY",AC37*'Model Assumptions'!$F$135,Financing!AC37*Flags!AC$30)</f>
        <v>416666.66666666663</v>
      </c>
      <c r="AD38" s="491">
        <f>IF($E31="LCY",AD37*'Model Assumptions'!$F$135,Financing!AD37*Flags!AD$30)</f>
        <v>416666.66666666663</v>
      </c>
      <c r="AE38" s="491">
        <f>IF($E31="LCY",AE37*'Model Assumptions'!$F$135,Financing!AE37*Flags!AE$30)</f>
        <v>416666.66666666663</v>
      </c>
      <c r="AF38" s="491">
        <f>IF($E31="LCY",AF37*'Model Assumptions'!$F$135,Financing!AF37*Flags!AF$30)</f>
        <v>416666.66666666663</v>
      </c>
      <c r="AG38" s="491">
        <f>IF($E31="LCY",AG37*'Model Assumptions'!$F$135,Financing!AG37*Flags!AG$30)</f>
        <v>416666.66666666663</v>
      </c>
      <c r="AH38" s="491">
        <f>IF($E31="LCY",AH37*'Model Assumptions'!$F$135,Financing!AH37*Flags!AH$30)</f>
        <v>416666.66666666663</v>
      </c>
      <c r="AI38" s="491">
        <f>IF($E31="LCY",AI37*'Model Assumptions'!$F$135,Financing!AI37*Flags!AI$30)</f>
        <v>416666.66666666663</v>
      </c>
      <c r="AJ38" s="491">
        <f>IF($E31="LCY",AJ37*'Model Assumptions'!$F$135,Financing!AJ37*Flags!AJ$30)</f>
        <v>416666.66666666663</v>
      </c>
      <c r="AK38" s="491">
        <f>IF($E31="LCY",AK37*'Model Assumptions'!$F$135,Financing!AK37*Flags!AK$30)</f>
        <v>416666.66666666663</v>
      </c>
      <c r="AL38" s="491">
        <f>IF($E31="LCY",AL37*'Model Assumptions'!$F$135,Financing!AL37*Flags!AL$30)</f>
        <v>416666.66666666663</v>
      </c>
      <c r="AM38" s="491">
        <f>IF($E31="LCY",AM37*'Model Assumptions'!$F$135,Financing!AM37*Flags!AM$30)</f>
        <v>416666.66666666663</v>
      </c>
      <c r="AN38" s="491">
        <f>IF($E31="LCY",AN37*'Model Assumptions'!$F$135,Financing!AN37*Flags!AN$30)</f>
        <v>416666.66666666663</v>
      </c>
      <c r="AO38" s="491">
        <f>IF($E31="LCY",AO37*'Model Assumptions'!$F$135,Financing!AO37*Flags!AO$30)</f>
        <v>416666.66666666663</v>
      </c>
      <c r="AP38" s="491">
        <f>IF($E31="LCY",AP37*'Model Assumptions'!$F$135,Financing!AP37*Flags!AP$30)</f>
        <v>416666.66666666663</v>
      </c>
      <c r="AQ38" s="491">
        <f>IF($E31="LCY",AQ37*'Model Assumptions'!$F$135,Financing!AQ37*Flags!AQ$30)</f>
        <v>416666.66666666663</v>
      </c>
      <c r="AR38" s="491">
        <f>IF($E31="LCY",AR37*'Model Assumptions'!$F$135,Financing!AR37*Flags!AR$30)</f>
        <v>416666.66666666663</v>
      </c>
      <c r="AS38" s="491">
        <f>IF($E31="LCY",AS37*'Model Assumptions'!$F$135,Financing!AS37*Flags!AS$30)</f>
        <v>416666.66666666663</v>
      </c>
      <c r="AT38" s="491">
        <f>IF($E31="LCY",AT37*'Model Assumptions'!$F$135,Financing!AT37*Flags!AT$30)</f>
        <v>0</v>
      </c>
      <c r="AU38" s="491">
        <f>IF($E31="LCY",AU37*'Model Assumptions'!$F$135,Financing!AU37*Flags!AU$30)</f>
        <v>0</v>
      </c>
      <c r="AV38" s="491">
        <f>IF($E31="LCY",AV37*'Model Assumptions'!$F$135,Financing!AV37*Flags!AV$30)</f>
        <v>0</v>
      </c>
      <c r="AW38" s="491">
        <f>IF($E31="LCY",AW37*'Model Assumptions'!$F$135,Financing!AW37*Flags!AW$30)</f>
        <v>0</v>
      </c>
      <c r="AX38" s="491">
        <f>IF($E31="LCY",AX37*'Model Assumptions'!$F$135,Financing!AX37*Flags!AX$30)</f>
        <v>0</v>
      </c>
      <c r="AY38" s="491">
        <f>IF($E31="LCY",AY37*'Model Assumptions'!$F$135,Financing!AY37*Flags!AY$30)</f>
        <v>0</v>
      </c>
      <c r="AZ38" s="491">
        <f>IF($E31="LCY",AZ37*'Model Assumptions'!$F$135,Financing!AZ37*Flags!AZ$30)</f>
        <v>0</v>
      </c>
      <c r="BA38" s="491">
        <f>IF($E31="LCY",BA37*'Model Assumptions'!$F$135,Financing!BA37*Flags!BA$30)</f>
        <v>0</v>
      </c>
      <c r="BB38" s="491">
        <f>IF($E31="LCY",BB37*'Model Assumptions'!$F$135,Financing!BB37*Flags!BB$30)</f>
        <v>0</v>
      </c>
      <c r="BC38" s="491">
        <f>IF($E31="LCY",BC37*'Model Assumptions'!$F$135,Financing!BC37*Flags!BC$30)</f>
        <v>0</v>
      </c>
      <c r="BD38" s="491">
        <f>IF($E31="LCY",BD37*'Model Assumptions'!$F$135,Financing!BD37*Flags!BD$30)</f>
        <v>0</v>
      </c>
      <c r="BE38" s="491">
        <f>IF($E31="LCY",BE37*'Model Assumptions'!$F$135,Financing!BE37*Flags!BE$30)</f>
        <v>0</v>
      </c>
      <c r="BF38" s="491">
        <f>IF($E31="LCY",BF37*'Model Assumptions'!$F$135,Financing!BF37*Flags!BF$30)</f>
        <v>0</v>
      </c>
      <c r="BG38" s="491">
        <f>IF($E31="LCY",BG37*'Model Assumptions'!$F$135,Financing!BG37*Flags!BG$30)</f>
        <v>0</v>
      </c>
      <c r="BH38" s="491">
        <f>IF($E31="LCY",BH37*'Model Assumptions'!$F$135,Financing!BH37*Flags!BH$30)</f>
        <v>0</v>
      </c>
      <c r="BI38" s="491">
        <f>IF($E31="LCY",BI37*'Model Assumptions'!$F$135,Financing!BI37*Flags!BI$30)</f>
        <v>0</v>
      </c>
      <c r="BJ38" s="491">
        <f>IF($E31="LCY",BJ37*'Model Assumptions'!$F$135,Financing!BJ37*Flags!BJ$30)</f>
        <v>0</v>
      </c>
      <c r="BK38" s="491">
        <f>IF($E31="LCY",BK37*'Model Assumptions'!$F$135,Financing!BK37*Flags!BK$30)</f>
        <v>0</v>
      </c>
      <c r="BL38" s="491">
        <f>IF($E31="LCY",BL37*'Model Assumptions'!$F$135,Financing!BL37*Flags!BL$30)</f>
        <v>0</v>
      </c>
      <c r="BM38" s="491">
        <f>IF($E31="LCY",BM37*'Model Assumptions'!$F$135,Financing!BM37*Flags!BM$30)</f>
        <v>0</v>
      </c>
      <c r="BN38" s="491">
        <f>IF($E31="LCY",BN37*'Model Assumptions'!$F$135,Financing!BN37*Flags!BN$30)</f>
        <v>0</v>
      </c>
      <c r="BO38" s="491">
        <f>IF($E31="LCY",BO37*'Model Assumptions'!$F$135,Financing!BO37*Flags!BO$30)</f>
        <v>0</v>
      </c>
      <c r="BP38" s="491">
        <f>IF($E31="LCY",BP37*'Model Assumptions'!$F$135,Financing!BP37*Flags!BP$30)</f>
        <v>0</v>
      </c>
      <c r="BQ38" s="491">
        <f>IF($E31="LCY",BQ37*'Model Assumptions'!$F$135,Financing!BQ37*Flags!BQ$30)</f>
        <v>0</v>
      </c>
      <c r="BR38" s="491">
        <f>IF($E31="LCY",BR37*'Model Assumptions'!$F$135,Financing!BR37*Flags!BR$30)</f>
        <v>0</v>
      </c>
      <c r="BS38" s="491">
        <f>IF($E31="LCY",BS37*'Model Assumptions'!$F$135,Financing!BS37*Flags!BS$30)</f>
        <v>0</v>
      </c>
      <c r="BT38" s="491">
        <f>IF($E31="LCY",BT37*'Model Assumptions'!$F$135,Financing!BT37*Flags!BT$30)</f>
        <v>0</v>
      </c>
      <c r="BU38" s="491">
        <f>IF($E31="LCY",BU37*'Model Assumptions'!$F$135,Financing!BU37*Flags!BU$30)</f>
        <v>0</v>
      </c>
      <c r="BV38" s="491">
        <f>IF($E31="LCY",BV37*'Model Assumptions'!$F$135,Financing!BV37*Flags!BV$30)</f>
        <v>0</v>
      </c>
      <c r="BW38" s="491">
        <f>IF($E31="LCY",BW37*'Model Assumptions'!$F$135,Financing!BW37*Flags!BW$30)</f>
        <v>0</v>
      </c>
      <c r="BX38" s="491">
        <f>IF($E31="LCY",BX37*'Model Assumptions'!$F$135,Financing!BX37*Flags!BX$30)</f>
        <v>0</v>
      </c>
      <c r="BY38" s="491">
        <f>IF($E31="LCY",BY37*'Model Assumptions'!$F$135,Financing!BY37*Flags!BY$30)</f>
        <v>0</v>
      </c>
      <c r="BZ38" s="491">
        <f>IF($E31="LCY",BZ37*'Model Assumptions'!$F$135,Financing!BZ37*Flags!BZ$30)</f>
        <v>0</v>
      </c>
      <c r="CA38" s="491">
        <f>IF($E31="LCY",CA37*'Model Assumptions'!$F$135,Financing!CA37*Flags!CA$30)</f>
        <v>0</v>
      </c>
      <c r="CB38" s="491">
        <f>IF($E31="LCY",CB37*'Model Assumptions'!$F$135,Financing!CB37*Flags!CB$30)</f>
        <v>0</v>
      </c>
      <c r="CC38" s="491">
        <f>IF($E31="LCY",CC37*'Model Assumptions'!$F$135,Financing!CC37*Flags!CC$30)</f>
        <v>0</v>
      </c>
      <c r="CD38" s="491">
        <f>IF($E31="LCY",CD37*'Model Assumptions'!$F$135,Financing!CD37*Flags!CD$30)</f>
        <v>0</v>
      </c>
      <c r="CE38" s="491">
        <f>IF($E31="LCY",CE37*'Model Assumptions'!$F$135,Financing!CE37*Flags!CE$30)</f>
        <v>0</v>
      </c>
      <c r="CF38" s="491">
        <f>IF($E31="LCY",CF37*'Model Assumptions'!$F$135,Financing!CF37*Flags!CF$30)</f>
        <v>0</v>
      </c>
      <c r="CG38" s="491">
        <f>IF($E31="LCY",CG37*'Model Assumptions'!$F$135,Financing!CG37*Flags!CG$30)</f>
        <v>0</v>
      </c>
      <c r="CH38" s="491">
        <f>IF($E31="LCY",CH37*'Model Assumptions'!$F$135,Financing!CH37*Flags!CH$30)</f>
        <v>0</v>
      </c>
      <c r="CI38" s="491">
        <f>IF($E31="LCY",CI37*'Model Assumptions'!$F$135,Financing!CI37*Flags!CI$30)</f>
        <v>0</v>
      </c>
      <c r="CJ38" s="491">
        <f>IF($E31="LCY",CJ37*'Model Assumptions'!$F$135,Financing!CJ37*Flags!CJ$30)</f>
        <v>0</v>
      </c>
      <c r="CK38" s="491">
        <f>IF($E31="LCY",CK37*'Model Assumptions'!$F$135,Financing!CK37*Flags!CK$30)</f>
        <v>0</v>
      </c>
      <c r="CL38" s="491">
        <f>IF($E31="LCY",CL37*'Model Assumptions'!$F$135,Financing!CL37*Flags!CL$30)</f>
        <v>0</v>
      </c>
      <c r="CM38" s="491">
        <f>IF($E31="LCY",CM37*'Model Assumptions'!$F$135,Financing!CM37*Flags!CM$30)</f>
        <v>0</v>
      </c>
      <c r="CN38" s="491">
        <f>IF($E31="LCY",CN37*'Model Assumptions'!$F$135,Financing!CN37*Flags!CN$30)</f>
        <v>0</v>
      </c>
      <c r="CO38" s="491">
        <f>IF($E31="LCY",CO37*'Model Assumptions'!$F$135,Financing!CO37*Flags!CO$30)</f>
        <v>0</v>
      </c>
      <c r="CP38" s="491">
        <f>IF($E31="LCY",CP37*'Model Assumptions'!$F$135,Financing!CP37*Flags!CP$30)</f>
        <v>0</v>
      </c>
      <c r="CQ38" s="491">
        <f>IF($E31="LCY",CQ37*'Model Assumptions'!$F$135,Financing!CQ37*Flags!CQ$30)</f>
        <v>0</v>
      </c>
      <c r="CR38" s="491">
        <f>IF($E31="LCY",CR37*'Model Assumptions'!$F$135,Financing!CR37*Flags!CR$30)</f>
        <v>0</v>
      </c>
      <c r="CS38" s="491">
        <f>IF($E31="LCY",CS37*'Model Assumptions'!$F$135,Financing!CS37*Flags!CS$30)</f>
        <v>0</v>
      </c>
      <c r="CT38" s="491">
        <f>IF($E31="LCY",CT37*'Model Assumptions'!$F$135,Financing!CT37*Flags!CT$30)</f>
        <v>0</v>
      </c>
      <c r="CU38" s="491">
        <f>IF($E31="LCY",CU37*'Model Assumptions'!$F$135,Financing!CU37*Flags!CU$30)</f>
        <v>0</v>
      </c>
      <c r="CV38" s="491">
        <f>IF($E31="LCY",CV37*'Model Assumptions'!$F$135,Financing!CV37*Flags!CV$30)</f>
        <v>0</v>
      </c>
      <c r="CW38" s="491">
        <f>IF($E31="LCY",CW37*'Model Assumptions'!$F$135,Financing!CW37*Flags!CW$30)</f>
        <v>0</v>
      </c>
      <c r="CX38" s="491">
        <f>IF($E31="LCY",CX37*'Model Assumptions'!$F$135,Financing!CX37*Flags!CX$30)</f>
        <v>0</v>
      </c>
      <c r="CY38" s="491">
        <f>IF($E31="LCY",CY37*'Model Assumptions'!$F$135,Financing!CY37*Flags!CY$30)</f>
        <v>0</v>
      </c>
      <c r="CZ38" s="491">
        <f>IF($E31="LCY",CZ37*'Model Assumptions'!$F$135,Financing!CZ37*Flags!CZ$30)</f>
        <v>0</v>
      </c>
      <c r="DA38" s="491">
        <f>IF($E31="LCY",DA37*'Model Assumptions'!$F$135,Financing!DA37*Flags!DA$30)</f>
        <v>0</v>
      </c>
      <c r="DB38" s="491">
        <f>IF($E31="LCY",DB37*'Model Assumptions'!$F$135,Financing!DB37*Flags!DB$30)</f>
        <v>0</v>
      </c>
      <c r="DC38" s="491">
        <f>IF($E31="LCY",DC37*'Model Assumptions'!$F$135,Financing!DC37*Flags!DC$30)</f>
        <v>0</v>
      </c>
      <c r="DD38" s="491">
        <f>IF($E31="LCY",DD37*'Model Assumptions'!$F$135,Financing!DD37*Flags!DD$30)</f>
        <v>0</v>
      </c>
      <c r="DE38" s="491">
        <f>IF($E31="LCY",DE37*'Model Assumptions'!$F$135,Financing!DE37*Flags!DE$30)</f>
        <v>0</v>
      </c>
      <c r="DF38" s="491">
        <f>IF($E31="LCY",DF37*'Model Assumptions'!$F$135,Financing!DF37*Flags!DF$30)</f>
        <v>0</v>
      </c>
      <c r="DG38" s="491">
        <f>IF($E31="LCY",DG37*'Model Assumptions'!$F$135,Financing!DG37*Flags!DG$30)</f>
        <v>0</v>
      </c>
      <c r="DH38" s="491">
        <f>IF($E31="LCY",DH37*'Model Assumptions'!$F$135,Financing!DH37*Flags!DH$30)</f>
        <v>0</v>
      </c>
      <c r="DI38" s="491">
        <f>IF($E31="LCY",DI37*'Model Assumptions'!$F$135,Financing!DI37*Flags!DI$30)</f>
        <v>0</v>
      </c>
      <c r="DJ38" s="491">
        <f>IF($E31="LCY",DJ37*'Model Assumptions'!$F$135,Financing!DJ37*Flags!DJ$30)</f>
        <v>0</v>
      </c>
      <c r="DK38" s="491">
        <f>IF($E31="LCY",DK37*'Model Assumptions'!$F$135,Financing!DK37*Flags!DK$30)</f>
        <v>0</v>
      </c>
      <c r="DL38" s="491">
        <f>IF($E31="LCY",DL37*'Model Assumptions'!$F$135,Financing!DL37*Flags!DL$30)</f>
        <v>0</v>
      </c>
      <c r="DM38" s="491">
        <f>IF($E31="LCY",DM37*'Model Assumptions'!$F$135,Financing!DM37*Flags!DM$30)</f>
        <v>0</v>
      </c>
      <c r="DN38" s="491">
        <f>IF($E31="LCY",DN37*'Model Assumptions'!$F$135,Financing!DN37*Flags!DN$30)</f>
        <v>0</v>
      </c>
      <c r="DO38" s="491">
        <f>IF($E31="LCY",DO37*'Model Assumptions'!$F$135,Financing!DO37*Flags!DO$30)</f>
        <v>0</v>
      </c>
      <c r="DP38" s="491">
        <f>IF($E31="LCY",DP37*'Model Assumptions'!$F$135,Financing!DP37*Flags!DP$30)</f>
        <v>0</v>
      </c>
      <c r="DQ38" s="491">
        <f>IF($E31="LCY",DQ37*'Model Assumptions'!$F$135,Financing!DQ37*Flags!DQ$30)</f>
        <v>0</v>
      </c>
      <c r="DR38" s="491">
        <f>IF($E31="LCY",DR37*'Model Assumptions'!$F$135,Financing!DR37*Flags!DR$30)</f>
        <v>0</v>
      </c>
      <c r="DS38" s="491">
        <f>IF($E31="LCY",DS37*'Model Assumptions'!$F$135,Financing!DS37*Flags!DS$30)</f>
        <v>0</v>
      </c>
      <c r="DT38" s="491">
        <f>IF($E31="LCY",DT37*'Model Assumptions'!$F$135,Financing!DT37*Flags!DT$30)</f>
        <v>0</v>
      </c>
      <c r="DU38" s="491">
        <f>IF($E31="LCY",DU37*'Model Assumptions'!$F$135,Financing!DU37*Flags!DU$30)</f>
        <v>0</v>
      </c>
      <c r="DV38" s="491">
        <f>IF($E31="LCY",DV37*'Model Assumptions'!$F$135,Financing!DV37*Flags!DV$30)</f>
        <v>0</v>
      </c>
      <c r="DW38" s="491">
        <f>IF($E31="LCY",DW37*'Model Assumptions'!$F$135,Financing!DW37*Flags!DW$30)</f>
        <v>0</v>
      </c>
      <c r="DX38" s="491">
        <f>IF($E31="LCY",DX37*'Model Assumptions'!$F$135,Financing!DX37*Flags!DX$30)</f>
        <v>0</v>
      </c>
      <c r="DY38" s="491">
        <f>IF($E31="LCY",DY37*'Model Assumptions'!$F$135,Financing!DY37*Flags!DY$30)</f>
        <v>0</v>
      </c>
    </row>
    <row r="39" spans="2:129" s="43" customFormat="1">
      <c r="C39" s="43" t="s">
        <v>396</v>
      </c>
      <c r="E39" s="485">
        <f>+'Model Assumptions'!F141</f>
        <v>0.125</v>
      </c>
      <c r="F39" s="131"/>
      <c r="G39" s="131"/>
      <c r="H39" s="131"/>
      <c r="J39" s="251">
        <f>(SUM(J32:$J32)-SUM(J37:$J37))*$E39/12</f>
        <v>10416.666666666666</v>
      </c>
      <c r="K39" s="251">
        <f>(SUM($J32:K32)-SUM($J37:K37))*$E39/12</f>
        <v>10416.666666666666</v>
      </c>
      <c r="L39" s="251">
        <f>(SUM($J32:L32)-SUM($J37:L37))*$E39/12</f>
        <v>10416.666666666666</v>
      </c>
      <c r="M39" s="251">
        <f>(SUM($J32:M32)-SUM($J37:M37))*$E39/12</f>
        <v>10416.666666666666</v>
      </c>
      <c r="N39" s="251">
        <f>(SUM($J32:N32)-SUM($J37:N37))*$E39/12</f>
        <v>10416.666666666666</v>
      </c>
      <c r="O39" s="251">
        <f>(SUM($J32:O32)-SUM($J37:O37))*$E39/12</f>
        <v>10416.666666666666</v>
      </c>
      <c r="P39" s="251">
        <f>(SUM($J32:P32)-SUM($J37:P37))*$E39/12</f>
        <v>10416.666666666666</v>
      </c>
      <c r="Q39" s="251">
        <f>(SUM($J32:Q32)-SUM($J37:Q37))*$E39/12</f>
        <v>10416.666666666666</v>
      </c>
      <c r="R39" s="251">
        <f>(SUM($J32:R32)-SUM($J37:R37))*$E39/12</f>
        <v>10416.666666666666</v>
      </c>
      <c r="S39" s="251">
        <f>(SUM($J32:S32)-SUM($J37:S37))*$E39/12</f>
        <v>10416.666666666666</v>
      </c>
      <c r="T39" s="251">
        <f>(SUM($J32:T32)-SUM($J37:T37))*$E39/12</f>
        <v>10416.666666666666</v>
      </c>
      <c r="U39" s="251">
        <f>(SUM($J32:U32)-SUM($J37:U37))*$E39/12</f>
        <v>10416.666666666666</v>
      </c>
      <c r="V39" s="251">
        <f>(SUM($J32:V32)-SUM($J37:V37))*$E39/12</f>
        <v>9982.6388888888887</v>
      </c>
      <c r="W39" s="251">
        <f>(SUM($J32:W32)-SUM($J37:W37))*$E39/12</f>
        <v>9548.6111111111113</v>
      </c>
      <c r="X39" s="251">
        <f>(SUM($J32:X32)-SUM($J37:X37))*$E39/12</f>
        <v>9114.5833333333339</v>
      </c>
      <c r="Y39" s="251">
        <f>(SUM($J32:Y32)-SUM($J37:Y37))*$E39/12</f>
        <v>8680.5555555555566</v>
      </c>
      <c r="Z39" s="251">
        <f>(SUM($J32:Z32)-SUM($J37:Z37))*$E39/12</f>
        <v>8246.5277777777792</v>
      </c>
      <c r="AA39" s="251">
        <f>(SUM($J32:AA32)-SUM($J37:AA37))*$E39/12</f>
        <v>7812.5</v>
      </c>
      <c r="AB39" s="251">
        <f>(SUM($J32:AB32)-SUM($J37:AB37))*$E39/12</f>
        <v>7378.4722222222226</v>
      </c>
      <c r="AC39" s="251">
        <f>(SUM($J32:AC32)-SUM($J37:AC37))*$E39/12</f>
        <v>6944.4444444444453</v>
      </c>
      <c r="AD39" s="251">
        <f>(SUM($J32:AD32)-SUM($J37:AD37))*$E39/12</f>
        <v>6510.416666666667</v>
      </c>
      <c r="AE39" s="251">
        <f>(SUM($J32:AE32)-SUM($J37:AE37))*$E39/12</f>
        <v>6076.3888888888878</v>
      </c>
      <c r="AF39" s="251">
        <f>(SUM($J32:AF32)-SUM($J37:AF37))*$E39/12</f>
        <v>5642.3611111111104</v>
      </c>
      <c r="AG39" s="251">
        <f>(SUM($J32:AG32)-SUM($J37:AG37))*$E39/12</f>
        <v>5208.333333333333</v>
      </c>
      <c r="AH39" s="251">
        <f>(SUM($J32:AH32)-SUM($J37:AH37))*$E39/12</f>
        <v>4774.3055555555547</v>
      </c>
      <c r="AI39" s="251">
        <f>(SUM($J32:AI32)-SUM($J37:AI37))*$E39/12</f>
        <v>4340.2777777777774</v>
      </c>
      <c r="AJ39" s="251">
        <f>(SUM($J32:AJ32)-SUM($J37:AJ37))*$E39/12</f>
        <v>3906.25</v>
      </c>
      <c r="AK39" s="251">
        <f>(SUM($J32:AK32)-SUM($J37:AK37))*$E39/12</f>
        <v>3472.2222222222226</v>
      </c>
      <c r="AL39" s="251">
        <f>(SUM($J32:AL32)-SUM($J37:AL37))*$E39/12</f>
        <v>3038.1944444444453</v>
      </c>
      <c r="AM39" s="251">
        <f>(SUM($J32:AM32)-SUM($J37:AM37))*$E39/12</f>
        <v>2604.1666666666679</v>
      </c>
      <c r="AN39" s="251">
        <f>(SUM($J32:AN32)-SUM($J37:AN37))*$E39/12</f>
        <v>2170.1388888888905</v>
      </c>
      <c r="AO39" s="251">
        <f>(SUM($J32:AO32)-SUM($J37:AO37))*$E39/12</f>
        <v>1736.1111111111131</v>
      </c>
      <c r="AP39" s="251">
        <f>(SUM($J32:AP32)-SUM($J37:AP37))*$E39/12</f>
        <v>1302.0833333333358</v>
      </c>
      <c r="AQ39" s="251">
        <f>(SUM($J32:AQ32)-SUM($J37:AQ37))*$E39/12</f>
        <v>868.05555555555839</v>
      </c>
      <c r="AR39" s="251">
        <f>(SUM($J32:AR32)-SUM($J37:AR37))*$E39/12</f>
        <v>434.02777777778101</v>
      </c>
      <c r="AS39" s="251">
        <f>(SUM($J32:AS32)-SUM($J37:AS37))*$E39/12</f>
        <v>3.637978807091713E-12</v>
      </c>
      <c r="AT39" s="251">
        <f>(SUM($J32:AT32)-SUM($J37:AT37))*$E39/12</f>
        <v>3.637978807091713E-12</v>
      </c>
      <c r="AU39" s="251">
        <f>(SUM($J32:AU32)-SUM($J37:AU37))*$E39/12</f>
        <v>3.637978807091713E-12</v>
      </c>
      <c r="AV39" s="251">
        <f>(SUM($J32:AV32)-SUM($J37:AV37))*$E39/12</f>
        <v>3.637978807091713E-12</v>
      </c>
      <c r="AW39" s="251">
        <f>(SUM($J32:AW32)-SUM($J37:AW37))*$E39/12</f>
        <v>3.637978807091713E-12</v>
      </c>
      <c r="AX39" s="251">
        <f>(SUM($J32:AX32)-SUM($J37:AX37))*$E39/12</f>
        <v>3.637978807091713E-12</v>
      </c>
      <c r="AY39" s="251">
        <f>(SUM($J32:AY32)-SUM($J37:AY37))*$E39/12</f>
        <v>3.637978807091713E-12</v>
      </c>
      <c r="AZ39" s="251">
        <f>(SUM($J32:AZ32)-SUM($J37:AZ37))*$E39/12</f>
        <v>3.637978807091713E-12</v>
      </c>
      <c r="BA39" s="251">
        <f>(SUM($J32:BA32)-SUM($J37:BA37))*$E39/12</f>
        <v>3.637978807091713E-12</v>
      </c>
      <c r="BB39" s="251">
        <f>(SUM($J32:BB32)-SUM($J37:BB37))*$E39/12</f>
        <v>3.637978807091713E-12</v>
      </c>
      <c r="BC39" s="251">
        <f>(SUM($J32:BC32)-SUM($J37:BC37))*$E39/12</f>
        <v>3.637978807091713E-12</v>
      </c>
      <c r="BD39" s="251">
        <f>(SUM($J32:BD32)-SUM($J37:BD37))*$E39/12</f>
        <v>3.637978807091713E-12</v>
      </c>
      <c r="BE39" s="251">
        <f>(SUM($J32:BE32)-SUM($J37:BE37))*$E39/12</f>
        <v>3.637978807091713E-12</v>
      </c>
      <c r="BF39" s="251">
        <f>(SUM($J32:BF32)-SUM($J37:BF37))*$E39/12</f>
        <v>3.637978807091713E-12</v>
      </c>
      <c r="BG39" s="251">
        <f>(SUM($J32:BG32)-SUM($J37:BG37))*$E39/12</f>
        <v>3.637978807091713E-12</v>
      </c>
      <c r="BH39" s="251">
        <f>(SUM($J32:BH32)-SUM($J37:BH37))*$E39/12</f>
        <v>3.637978807091713E-12</v>
      </c>
      <c r="BI39" s="251">
        <f>(SUM($J32:BI32)-SUM($J37:BI37))*$E39/12</f>
        <v>3.637978807091713E-12</v>
      </c>
      <c r="BJ39" s="251">
        <f>(SUM($J32:BJ32)-SUM($J37:BJ37))*$E39/12</f>
        <v>3.637978807091713E-12</v>
      </c>
      <c r="BK39" s="251">
        <f>(SUM($J32:BK32)-SUM($J37:BK37))*$E39/12</f>
        <v>3.637978807091713E-12</v>
      </c>
      <c r="BL39" s="251">
        <f>(SUM($J32:BL32)-SUM($J37:BL37))*$E39/12</f>
        <v>3.637978807091713E-12</v>
      </c>
      <c r="BM39" s="251">
        <f>(SUM($J32:BM32)-SUM($J37:BM37))*$E39/12</f>
        <v>3.637978807091713E-12</v>
      </c>
      <c r="BN39" s="251">
        <f>(SUM($J32:BN32)-SUM($J37:BN37))*$E39/12</f>
        <v>3.637978807091713E-12</v>
      </c>
      <c r="BO39" s="251">
        <f>(SUM($J32:BO32)-SUM($J37:BO37))*$E39/12</f>
        <v>3.637978807091713E-12</v>
      </c>
      <c r="BP39" s="251">
        <f>(SUM($J32:BP32)-SUM($J37:BP37))*$E39/12</f>
        <v>3.637978807091713E-12</v>
      </c>
      <c r="BQ39" s="251">
        <f>(SUM($J32:BQ32)-SUM($J37:BQ37))*$E39/12</f>
        <v>3.637978807091713E-12</v>
      </c>
      <c r="BR39" s="251">
        <f>(SUM($J32:BR32)-SUM($J37:BR37))*$E39/12</f>
        <v>3.637978807091713E-12</v>
      </c>
      <c r="BS39" s="251">
        <f>(SUM($J32:BS32)-SUM($J37:BS37))*$E39/12</f>
        <v>3.637978807091713E-12</v>
      </c>
      <c r="BT39" s="251">
        <f>(SUM($J32:BT32)-SUM($J37:BT37))*$E39/12</f>
        <v>3.637978807091713E-12</v>
      </c>
      <c r="BU39" s="251">
        <f>(SUM($J32:BU32)-SUM($J37:BU37))*$E39/12</f>
        <v>3.637978807091713E-12</v>
      </c>
      <c r="BV39" s="251">
        <f>(SUM($J32:BV32)-SUM($J37:BV37))*$E39/12</f>
        <v>3.637978807091713E-12</v>
      </c>
      <c r="BW39" s="251">
        <f>(SUM($J32:BW32)-SUM($J37:BW37))*$E39/12</f>
        <v>3.637978807091713E-12</v>
      </c>
      <c r="BX39" s="251">
        <f>(SUM($J32:BX32)-SUM($J37:BX37))*$E39/12</f>
        <v>3.637978807091713E-12</v>
      </c>
      <c r="BY39" s="251">
        <f>(SUM($J32:BY32)-SUM($J37:BY37))*$E39/12</f>
        <v>3.637978807091713E-12</v>
      </c>
      <c r="BZ39" s="251">
        <f>(SUM($J32:BZ32)-SUM($J37:BZ37))*$E39/12</f>
        <v>3.637978807091713E-12</v>
      </c>
      <c r="CA39" s="251">
        <f>(SUM($J32:CA32)-SUM($J37:CA37))*$E39/12</f>
        <v>3.637978807091713E-12</v>
      </c>
      <c r="CB39" s="251">
        <f>(SUM($J32:CB32)-SUM($J37:CB37))*$E39/12</f>
        <v>3.637978807091713E-12</v>
      </c>
      <c r="CC39" s="251">
        <f>(SUM($J32:CC32)-SUM($J37:CC37))*$E39/12</f>
        <v>3.637978807091713E-12</v>
      </c>
      <c r="CD39" s="251">
        <f>(SUM($J32:CD32)-SUM($J37:CD37))*$E39/12</f>
        <v>3.637978807091713E-12</v>
      </c>
      <c r="CE39" s="251">
        <f>(SUM($J32:CE32)-SUM($J37:CE37))*$E39/12</f>
        <v>3.637978807091713E-12</v>
      </c>
      <c r="CF39" s="251">
        <f>(SUM($J32:CF32)-SUM($J37:CF37))*$E39/12</f>
        <v>3.637978807091713E-12</v>
      </c>
      <c r="CG39" s="251">
        <f>(SUM($J32:CG32)-SUM($J37:CG37))*$E39/12</f>
        <v>3.637978807091713E-12</v>
      </c>
      <c r="CH39" s="251">
        <f>(SUM($J32:CH32)-SUM($J37:CH37))*$E39/12</f>
        <v>3.637978807091713E-12</v>
      </c>
      <c r="CI39" s="251">
        <f>(SUM($J32:CI32)-SUM($J37:CI37))*$E39/12</f>
        <v>3.637978807091713E-12</v>
      </c>
      <c r="CJ39" s="251">
        <f>(SUM($J32:CJ32)-SUM($J37:CJ37))*$E39/12</f>
        <v>3.637978807091713E-12</v>
      </c>
      <c r="CK39" s="251">
        <f>(SUM($J32:CK32)-SUM($J37:CK37))*$E39/12</f>
        <v>3.637978807091713E-12</v>
      </c>
      <c r="CL39" s="251">
        <f>(SUM($J32:CL32)-SUM($J37:CL37))*$E39/12</f>
        <v>3.637978807091713E-12</v>
      </c>
      <c r="CM39" s="251">
        <f>(SUM($J32:CM32)-SUM($J37:CM37))*$E39/12</f>
        <v>3.637978807091713E-12</v>
      </c>
      <c r="CN39" s="251">
        <f>(SUM($J32:CN32)-SUM($J37:CN37))*$E39/12</f>
        <v>3.637978807091713E-12</v>
      </c>
      <c r="CO39" s="251">
        <f>(SUM($J32:CO32)-SUM($J37:CO37))*$E39/12</f>
        <v>3.637978807091713E-12</v>
      </c>
      <c r="CP39" s="251">
        <f>(SUM($J32:CP32)-SUM($J37:CP37))*$E39/12</f>
        <v>3.637978807091713E-12</v>
      </c>
      <c r="CQ39" s="251">
        <f>(SUM($J32:CQ32)-SUM($J37:CQ37))*$E39/12</f>
        <v>3.637978807091713E-12</v>
      </c>
      <c r="CR39" s="251">
        <f>(SUM($J32:CR32)-SUM($J37:CR37))*$E39/12</f>
        <v>3.637978807091713E-12</v>
      </c>
      <c r="CS39" s="251">
        <f>(SUM($J32:CS32)-SUM($J37:CS37))*$E39/12</f>
        <v>3.637978807091713E-12</v>
      </c>
      <c r="CT39" s="251">
        <f>(SUM($J32:CT32)-SUM($J37:CT37))*$E39/12</f>
        <v>3.637978807091713E-12</v>
      </c>
      <c r="CU39" s="251">
        <f>(SUM($J32:CU32)-SUM($J37:CU37))*$E39/12</f>
        <v>3.637978807091713E-12</v>
      </c>
      <c r="CV39" s="251">
        <f>(SUM($J32:CV32)-SUM($J37:CV37))*$E39/12</f>
        <v>3.637978807091713E-12</v>
      </c>
      <c r="CW39" s="251">
        <f>(SUM($J32:CW32)-SUM($J37:CW37))*$E39/12</f>
        <v>3.637978807091713E-12</v>
      </c>
      <c r="CX39" s="251">
        <f>(SUM($J32:CX32)-SUM($J37:CX37))*$E39/12</f>
        <v>3.637978807091713E-12</v>
      </c>
      <c r="CY39" s="251">
        <f>(SUM($J32:CY32)-SUM($J37:CY37))*$E39/12</f>
        <v>3.637978807091713E-12</v>
      </c>
      <c r="CZ39" s="251">
        <f>(SUM($J32:CZ32)-SUM($J37:CZ37))*$E39/12</f>
        <v>3.637978807091713E-12</v>
      </c>
      <c r="DA39" s="251">
        <f>(SUM($J32:DA32)-SUM($J37:DA37))*$E39/12</f>
        <v>3.637978807091713E-12</v>
      </c>
      <c r="DB39" s="251">
        <f>(SUM($J32:DB32)-SUM($J37:DB37))*$E39/12</f>
        <v>3.637978807091713E-12</v>
      </c>
      <c r="DC39" s="251">
        <f>(SUM($J32:DC32)-SUM($J37:DC37))*$E39/12</f>
        <v>3.637978807091713E-12</v>
      </c>
      <c r="DD39" s="251">
        <f>(SUM($J32:DD32)-SUM($J37:DD37))*$E39/12</f>
        <v>3.637978807091713E-12</v>
      </c>
      <c r="DE39" s="251">
        <f>(SUM($J32:DE32)-SUM($J37:DE37))*$E39/12</f>
        <v>3.637978807091713E-12</v>
      </c>
      <c r="DF39" s="251">
        <f>(SUM($J32:DF32)-SUM($J37:DF37))*$E39/12</f>
        <v>3.637978807091713E-12</v>
      </c>
      <c r="DG39" s="251">
        <f>(SUM($J32:DG32)-SUM($J37:DG37))*$E39/12</f>
        <v>3.637978807091713E-12</v>
      </c>
      <c r="DH39" s="251">
        <f>(SUM($J32:DH32)-SUM($J37:DH37))*$E39/12</f>
        <v>3.637978807091713E-12</v>
      </c>
      <c r="DI39" s="251">
        <f>(SUM($J32:DI32)-SUM($J37:DI37))*$E39/12</f>
        <v>3.637978807091713E-12</v>
      </c>
      <c r="DJ39" s="251">
        <f>(SUM($J32:DJ32)-SUM($J37:DJ37))*$E39/12</f>
        <v>3.637978807091713E-12</v>
      </c>
      <c r="DK39" s="251">
        <f>(SUM($J32:DK32)-SUM($J37:DK37))*$E39/12</f>
        <v>3.637978807091713E-12</v>
      </c>
      <c r="DL39" s="251">
        <f>(SUM($J32:DL32)-SUM($J37:DL37))*$E39/12</f>
        <v>3.637978807091713E-12</v>
      </c>
      <c r="DM39" s="251">
        <f>(SUM($J32:DM32)-SUM($J37:DM37))*$E39/12</f>
        <v>3.637978807091713E-12</v>
      </c>
      <c r="DN39" s="251">
        <f>(SUM($J32:DN32)-SUM($J37:DN37))*$E39/12</f>
        <v>3.637978807091713E-12</v>
      </c>
      <c r="DO39" s="251">
        <f>(SUM($J32:DO32)-SUM($J37:DO37))*$E39/12</f>
        <v>3.637978807091713E-12</v>
      </c>
      <c r="DP39" s="251">
        <f>(SUM($J32:DP32)-SUM($J37:DP37))*$E39/12</f>
        <v>3.637978807091713E-12</v>
      </c>
      <c r="DQ39" s="251">
        <f>(SUM($J32:DQ32)-SUM($J37:DQ37))*$E39/12</f>
        <v>3.637978807091713E-12</v>
      </c>
      <c r="DR39" s="251">
        <f>(SUM($J32:DR32)-SUM($J37:DR37))*$E39/12</f>
        <v>3.637978807091713E-12</v>
      </c>
      <c r="DS39" s="251">
        <f>(SUM($J32:DS32)-SUM($J37:DS37))*$E39/12</f>
        <v>3.637978807091713E-12</v>
      </c>
      <c r="DT39" s="251">
        <f>(SUM($J32:DT32)-SUM($J37:DT37))*$E39/12</f>
        <v>3.637978807091713E-12</v>
      </c>
      <c r="DU39" s="251">
        <f>(SUM($J32:DU32)-SUM($J37:DU37))*$E39/12</f>
        <v>3.637978807091713E-12</v>
      </c>
      <c r="DV39" s="251">
        <f>(SUM($J32:DV32)-SUM($J37:DV37))*$E39/12</f>
        <v>3.637978807091713E-12</v>
      </c>
      <c r="DW39" s="251">
        <f>(SUM($J32:DW32)-SUM($J37:DW37))*$E39/12</f>
        <v>3.637978807091713E-12</v>
      </c>
      <c r="DX39" s="251">
        <f>(SUM($J32:DX32)-SUM($J37:DX37))*$E39/12</f>
        <v>3.637978807091713E-12</v>
      </c>
      <c r="DY39" s="251">
        <f>(SUM($J32:DY32)-SUM($J37:DY37))*$E39/12</f>
        <v>3.637978807091713E-12</v>
      </c>
    </row>
    <row r="40" spans="2:129" s="43" customFormat="1">
      <c r="C40" s="43" t="s">
        <v>390</v>
      </c>
      <c r="E40" s="486"/>
      <c r="F40" s="127"/>
      <c r="G40" s="127"/>
      <c r="H40" s="127"/>
      <c r="J40" s="491">
        <f>J34*$E39/12</f>
        <v>104166.66666666667</v>
      </c>
      <c r="K40" s="491">
        <f t="shared" ref="K40:U40" si="32">K34*$E39/12</f>
        <v>104166.66666666667</v>
      </c>
      <c r="L40" s="491">
        <f t="shared" si="32"/>
        <v>104166.66666666667</v>
      </c>
      <c r="M40" s="491">
        <f t="shared" si="32"/>
        <v>104166.66666666667</v>
      </c>
      <c r="N40" s="491">
        <f t="shared" si="32"/>
        <v>104166.66666666667</v>
      </c>
      <c r="O40" s="491">
        <f t="shared" si="32"/>
        <v>104166.66666666667</v>
      </c>
      <c r="P40" s="491">
        <f t="shared" si="32"/>
        <v>104166.66666666667</v>
      </c>
      <c r="Q40" s="491">
        <f t="shared" si="32"/>
        <v>104166.66666666667</v>
      </c>
      <c r="R40" s="491">
        <f t="shared" si="32"/>
        <v>104166.66666666667</v>
      </c>
      <c r="S40" s="491">
        <f t="shared" si="32"/>
        <v>104166.66666666667</v>
      </c>
      <c r="T40" s="491">
        <f t="shared" si="32"/>
        <v>104166.66666666667</v>
      </c>
      <c r="U40" s="491">
        <f t="shared" si="32"/>
        <v>104166.66666666667</v>
      </c>
      <c r="V40" s="491">
        <f>V34*$E39/12</f>
        <v>99826.388888888891</v>
      </c>
      <c r="W40" s="491">
        <f t="shared" ref="W40:CC40" si="33">W34*$E39/12</f>
        <v>95486.111111111124</v>
      </c>
      <c r="X40" s="491">
        <f t="shared" si="33"/>
        <v>91145.833333333358</v>
      </c>
      <c r="Y40" s="491">
        <f t="shared" si="33"/>
        <v>86805.555555555577</v>
      </c>
      <c r="Z40" s="491">
        <f t="shared" si="33"/>
        <v>82465.277777777796</v>
      </c>
      <c r="AA40" s="491">
        <f t="shared" si="33"/>
        <v>78125.000000000015</v>
      </c>
      <c r="AB40" s="491">
        <f t="shared" si="33"/>
        <v>73784.722222222234</v>
      </c>
      <c r="AC40" s="491">
        <f t="shared" si="33"/>
        <v>69444.444444444453</v>
      </c>
      <c r="AD40" s="491">
        <f t="shared" si="33"/>
        <v>65104.166666666664</v>
      </c>
      <c r="AE40" s="491">
        <f t="shared" si="33"/>
        <v>60763.888888888883</v>
      </c>
      <c r="AF40" s="491">
        <f t="shared" si="33"/>
        <v>56423.611111111102</v>
      </c>
      <c r="AG40" s="491">
        <f t="shared" si="33"/>
        <v>52083.333333333321</v>
      </c>
      <c r="AH40" s="491">
        <f t="shared" si="33"/>
        <v>47743.05555555554</v>
      </c>
      <c r="AI40" s="491">
        <f t="shared" si="33"/>
        <v>43402.777777777766</v>
      </c>
      <c r="AJ40" s="491">
        <f t="shared" si="33"/>
        <v>39062.499999999993</v>
      </c>
      <c r="AK40" s="491">
        <f t="shared" si="33"/>
        <v>34722.222222222212</v>
      </c>
      <c r="AL40" s="491">
        <f t="shared" si="33"/>
        <v>30381.944444444438</v>
      </c>
      <c r="AM40" s="491">
        <f t="shared" si="33"/>
        <v>26041.666666666661</v>
      </c>
      <c r="AN40" s="491">
        <f t="shared" si="33"/>
        <v>21701.388888888887</v>
      </c>
      <c r="AO40" s="491">
        <f t="shared" si="33"/>
        <v>17361.111111111109</v>
      </c>
      <c r="AP40" s="491">
        <f t="shared" si="33"/>
        <v>13020.833333333334</v>
      </c>
      <c r="AQ40" s="491">
        <f t="shared" si="33"/>
        <v>8680.5555555555566</v>
      </c>
      <c r="AR40" s="491">
        <f t="shared" si="33"/>
        <v>4340.2777777777783</v>
      </c>
      <c r="AS40" s="491">
        <f t="shared" si="33"/>
        <v>1.2126596023639042E-12</v>
      </c>
      <c r="AT40" s="491">
        <f t="shared" si="33"/>
        <v>1.2126596023639042E-12</v>
      </c>
      <c r="AU40" s="491">
        <f t="shared" si="33"/>
        <v>1.2126596023639042E-12</v>
      </c>
      <c r="AV40" s="491">
        <f t="shared" si="33"/>
        <v>1.2126596023639042E-12</v>
      </c>
      <c r="AW40" s="491">
        <f t="shared" si="33"/>
        <v>1.2126596023639042E-12</v>
      </c>
      <c r="AX40" s="491">
        <f t="shared" si="33"/>
        <v>1.2126596023639042E-12</v>
      </c>
      <c r="AY40" s="491">
        <f t="shared" si="33"/>
        <v>1.2126596023639042E-12</v>
      </c>
      <c r="AZ40" s="491">
        <f t="shared" si="33"/>
        <v>1.2126596023639042E-12</v>
      </c>
      <c r="BA40" s="491">
        <f t="shared" si="33"/>
        <v>1.2126596023639042E-12</v>
      </c>
      <c r="BB40" s="491">
        <f t="shared" si="33"/>
        <v>1.2126596023639042E-12</v>
      </c>
      <c r="BC40" s="491">
        <f t="shared" si="33"/>
        <v>1.2126596023639042E-12</v>
      </c>
      <c r="BD40" s="491">
        <f t="shared" si="33"/>
        <v>1.2126596023639042E-12</v>
      </c>
      <c r="BE40" s="491">
        <f t="shared" si="33"/>
        <v>1.2126596023639042E-12</v>
      </c>
      <c r="BF40" s="491">
        <f t="shared" si="33"/>
        <v>1.2126596023639042E-12</v>
      </c>
      <c r="BG40" s="491">
        <f t="shared" si="33"/>
        <v>1.2126596023639042E-12</v>
      </c>
      <c r="BH40" s="491">
        <f t="shared" si="33"/>
        <v>1.2126596023639042E-12</v>
      </c>
      <c r="BI40" s="491">
        <f t="shared" si="33"/>
        <v>1.2126596023639042E-12</v>
      </c>
      <c r="BJ40" s="491">
        <f t="shared" si="33"/>
        <v>1.2126596023639042E-12</v>
      </c>
      <c r="BK40" s="491">
        <f t="shared" si="33"/>
        <v>1.2126596023639042E-12</v>
      </c>
      <c r="BL40" s="491">
        <f t="shared" si="33"/>
        <v>1.2126596023639042E-12</v>
      </c>
      <c r="BM40" s="491">
        <f t="shared" si="33"/>
        <v>1.2126596023639042E-12</v>
      </c>
      <c r="BN40" s="491">
        <f t="shared" si="33"/>
        <v>1.2126596023639042E-12</v>
      </c>
      <c r="BO40" s="491">
        <f t="shared" si="33"/>
        <v>1.2126596023639042E-12</v>
      </c>
      <c r="BP40" s="491">
        <f t="shared" si="33"/>
        <v>1.2126596023639042E-12</v>
      </c>
      <c r="BQ40" s="491">
        <f t="shared" si="33"/>
        <v>1.2126596023639042E-12</v>
      </c>
      <c r="BR40" s="491">
        <f t="shared" si="33"/>
        <v>1.2126596023639042E-12</v>
      </c>
      <c r="BS40" s="491">
        <f t="shared" si="33"/>
        <v>1.2126596023639042E-12</v>
      </c>
      <c r="BT40" s="491">
        <f t="shared" si="33"/>
        <v>1.2126596023639042E-12</v>
      </c>
      <c r="BU40" s="491">
        <f t="shared" si="33"/>
        <v>1.2126596023639042E-12</v>
      </c>
      <c r="BV40" s="491">
        <f t="shared" si="33"/>
        <v>1.2126596023639042E-12</v>
      </c>
      <c r="BW40" s="491">
        <f t="shared" si="33"/>
        <v>1.2126596023639042E-12</v>
      </c>
      <c r="BX40" s="491">
        <f t="shared" si="33"/>
        <v>1.2126596023639042E-12</v>
      </c>
      <c r="BY40" s="491">
        <f t="shared" si="33"/>
        <v>1.2126596023639042E-12</v>
      </c>
      <c r="BZ40" s="491">
        <f t="shared" si="33"/>
        <v>1.2126596023639042E-12</v>
      </c>
      <c r="CA40" s="491">
        <f t="shared" si="33"/>
        <v>1.2126596023639042E-12</v>
      </c>
      <c r="CB40" s="491">
        <f t="shared" si="33"/>
        <v>1.2126596023639042E-12</v>
      </c>
      <c r="CC40" s="491">
        <f t="shared" si="33"/>
        <v>1.2126596023639042E-12</v>
      </c>
      <c r="CD40" s="491">
        <f t="shared" ref="CD40:DY40" si="34">CD34*$E39/12</f>
        <v>1.2126596023639042E-12</v>
      </c>
      <c r="CE40" s="491">
        <f t="shared" si="34"/>
        <v>1.2126596023639042E-12</v>
      </c>
      <c r="CF40" s="491">
        <f t="shared" si="34"/>
        <v>1.2126596023639042E-12</v>
      </c>
      <c r="CG40" s="491">
        <f t="shared" si="34"/>
        <v>1.2126596023639042E-12</v>
      </c>
      <c r="CH40" s="491">
        <f t="shared" si="34"/>
        <v>1.2126596023639042E-12</v>
      </c>
      <c r="CI40" s="491">
        <f t="shared" si="34"/>
        <v>1.2126596023639042E-12</v>
      </c>
      <c r="CJ40" s="491">
        <f t="shared" si="34"/>
        <v>1.2126596023639042E-12</v>
      </c>
      <c r="CK40" s="491">
        <f t="shared" si="34"/>
        <v>1.2126596023639042E-12</v>
      </c>
      <c r="CL40" s="491">
        <f t="shared" si="34"/>
        <v>1.2126596023639042E-12</v>
      </c>
      <c r="CM40" s="491">
        <f t="shared" si="34"/>
        <v>1.2126596023639042E-12</v>
      </c>
      <c r="CN40" s="491">
        <f t="shared" si="34"/>
        <v>1.2126596023639042E-12</v>
      </c>
      <c r="CO40" s="491">
        <f t="shared" si="34"/>
        <v>1.2126596023639042E-12</v>
      </c>
      <c r="CP40" s="491">
        <f t="shared" si="34"/>
        <v>1.2126596023639042E-12</v>
      </c>
      <c r="CQ40" s="491">
        <f t="shared" si="34"/>
        <v>1.2126596023639042E-12</v>
      </c>
      <c r="CR40" s="491">
        <f t="shared" si="34"/>
        <v>1.2126596023639042E-12</v>
      </c>
      <c r="CS40" s="491">
        <f t="shared" si="34"/>
        <v>1.2126596023639042E-12</v>
      </c>
      <c r="CT40" s="491">
        <f t="shared" si="34"/>
        <v>1.2126596023639042E-12</v>
      </c>
      <c r="CU40" s="491">
        <f t="shared" si="34"/>
        <v>1.2126596023639042E-12</v>
      </c>
      <c r="CV40" s="491">
        <f t="shared" si="34"/>
        <v>1.2126596023639042E-12</v>
      </c>
      <c r="CW40" s="491">
        <f t="shared" si="34"/>
        <v>1.2126596023639042E-12</v>
      </c>
      <c r="CX40" s="491">
        <f t="shared" si="34"/>
        <v>1.2126596023639042E-12</v>
      </c>
      <c r="CY40" s="491">
        <f t="shared" si="34"/>
        <v>1.2126596023639042E-12</v>
      </c>
      <c r="CZ40" s="491">
        <f t="shared" si="34"/>
        <v>1.2126596023639042E-12</v>
      </c>
      <c r="DA40" s="491">
        <f t="shared" si="34"/>
        <v>1.2126596023639042E-12</v>
      </c>
      <c r="DB40" s="491">
        <f t="shared" si="34"/>
        <v>1.2126596023639042E-12</v>
      </c>
      <c r="DC40" s="491">
        <f t="shared" si="34"/>
        <v>1.2126596023639042E-12</v>
      </c>
      <c r="DD40" s="491">
        <f t="shared" si="34"/>
        <v>1.2126596023639042E-12</v>
      </c>
      <c r="DE40" s="491">
        <f t="shared" si="34"/>
        <v>1.2126596023639042E-12</v>
      </c>
      <c r="DF40" s="491">
        <f t="shared" si="34"/>
        <v>1.2126596023639042E-12</v>
      </c>
      <c r="DG40" s="491">
        <f t="shared" si="34"/>
        <v>1.2126596023639042E-12</v>
      </c>
      <c r="DH40" s="491">
        <f t="shared" si="34"/>
        <v>1.2126596023639042E-12</v>
      </c>
      <c r="DI40" s="491">
        <f t="shared" si="34"/>
        <v>1.2126596023639042E-12</v>
      </c>
      <c r="DJ40" s="491">
        <f t="shared" si="34"/>
        <v>1.2126596023639042E-12</v>
      </c>
      <c r="DK40" s="491">
        <f t="shared" si="34"/>
        <v>1.2126596023639042E-12</v>
      </c>
      <c r="DL40" s="491">
        <f t="shared" si="34"/>
        <v>1.2126596023639042E-12</v>
      </c>
      <c r="DM40" s="491">
        <f t="shared" si="34"/>
        <v>1.2126596023639042E-12</v>
      </c>
      <c r="DN40" s="491">
        <f t="shared" si="34"/>
        <v>1.2126596023639042E-12</v>
      </c>
      <c r="DO40" s="491">
        <f t="shared" si="34"/>
        <v>1.2126596023639042E-12</v>
      </c>
      <c r="DP40" s="491">
        <f t="shared" si="34"/>
        <v>1.2126596023639042E-12</v>
      </c>
      <c r="DQ40" s="491">
        <f t="shared" si="34"/>
        <v>1.2126596023639042E-12</v>
      </c>
      <c r="DR40" s="491">
        <f t="shared" si="34"/>
        <v>1.2126596023639042E-12</v>
      </c>
      <c r="DS40" s="491">
        <f t="shared" si="34"/>
        <v>1.2126596023639042E-12</v>
      </c>
      <c r="DT40" s="491">
        <f t="shared" si="34"/>
        <v>1.2126596023639042E-12</v>
      </c>
      <c r="DU40" s="491">
        <f t="shared" si="34"/>
        <v>1.2126596023639042E-12</v>
      </c>
      <c r="DV40" s="491">
        <f t="shared" si="34"/>
        <v>1.2126596023639042E-12</v>
      </c>
      <c r="DW40" s="491">
        <f t="shared" si="34"/>
        <v>1.2126596023639042E-12</v>
      </c>
      <c r="DX40" s="491">
        <f t="shared" si="34"/>
        <v>1.2126596023639042E-12</v>
      </c>
      <c r="DY40" s="491">
        <f t="shared" si="34"/>
        <v>1.2126596023639042E-12</v>
      </c>
    </row>
    <row r="41" spans="2:129" s="43" customFormat="1">
      <c r="C41" s="43" t="s">
        <v>392</v>
      </c>
      <c r="E41" s="486"/>
      <c r="F41" s="127"/>
      <c r="G41" s="127"/>
      <c r="H41" s="127"/>
      <c r="J41" s="491">
        <f>IF($E31="USD",J34*(1-Flags!$K$29),0)</f>
        <v>0</v>
      </c>
      <c r="K41" s="491">
        <f>IF($E31="USD",K34*(1-Flags!$K$29),0)</f>
        <v>0</v>
      </c>
      <c r="L41" s="491">
        <f>IF($E31="USD",L34*(1-Flags!$K$29),0)</f>
        <v>0</v>
      </c>
      <c r="M41" s="491">
        <f>IF($E31="USD",M34*(1-Flags!$K$29),0)</f>
        <v>0</v>
      </c>
      <c r="N41" s="491">
        <f>IF($E31="USD",N34*(1-Flags!$K$29),0)</f>
        <v>0</v>
      </c>
      <c r="O41" s="491">
        <f>IF($E31="USD",O34*(1-Flags!$K$29),0)</f>
        <v>0</v>
      </c>
      <c r="P41" s="491">
        <f>IF($E31="USD",P34*(1-Flags!$K$29),0)</f>
        <v>0</v>
      </c>
      <c r="Q41" s="491">
        <f>IF($E31="USD",Q34*(1-Flags!$K$29),0)</f>
        <v>0</v>
      </c>
      <c r="R41" s="491">
        <f>IF($E31="USD",R34*(1-Flags!$K$29),0)</f>
        <v>0</v>
      </c>
      <c r="S41" s="491">
        <f>IF($E31="USD",S34*(1-Flags!$K$29),0)</f>
        <v>0</v>
      </c>
      <c r="T41" s="491">
        <f>IF($E31="USD",T34*(1-Flags!$K$29),0)</f>
        <v>0</v>
      </c>
      <c r="U41" s="491">
        <f>IF($E31="USD",U34*(1-Flags!$K$29),0)</f>
        <v>0</v>
      </c>
      <c r="V41" s="491">
        <f>IF($E31="USD",V34*(1-Flags!$K$29),0)</f>
        <v>0</v>
      </c>
      <c r="W41" s="491">
        <f>IF($E31="USD",W34*(1-Flags!$K$29),0)</f>
        <v>0</v>
      </c>
      <c r="X41" s="491">
        <f>IF($E31="USD",X34*(1-Flags!$K$29),0)</f>
        <v>0</v>
      </c>
      <c r="Y41" s="491">
        <f>IF($E31="USD",Y34*(1-Flags!$K$29),0)</f>
        <v>0</v>
      </c>
      <c r="Z41" s="491">
        <f>IF($E31="USD",Z34*(1-Flags!$K$29),0)</f>
        <v>0</v>
      </c>
      <c r="AA41" s="491">
        <f>IF($E31="USD",AA34*(1-Flags!$K$29),0)</f>
        <v>0</v>
      </c>
      <c r="AB41" s="491">
        <f>IF($E31="USD",AB34*(1-Flags!$K$29),0)</f>
        <v>0</v>
      </c>
      <c r="AC41" s="491">
        <f>IF($E31="USD",AC34*(1-Flags!$K$29),0)</f>
        <v>0</v>
      </c>
      <c r="AD41" s="491">
        <f>IF($E31="USD",AD34*(1-Flags!$K$29),0)</f>
        <v>0</v>
      </c>
      <c r="AE41" s="491">
        <f>IF($E31="USD",AE34*(1-Flags!$K$29),0)</f>
        <v>0</v>
      </c>
      <c r="AF41" s="491">
        <f>IF($E31="USD",AF34*(1-Flags!$K$29),0)</f>
        <v>0</v>
      </c>
      <c r="AG41" s="491">
        <f>IF($E31="USD",AG34*(1-Flags!$K$29),0)</f>
        <v>0</v>
      </c>
      <c r="AH41" s="491">
        <f>IF($E31="USD",AH34*(1-Flags!$K$29),0)</f>
        <v>0</v>
      </c>
      <c r="AI41" s="491">
        <f>IF($E31="USD",AI34*(1-Flags!$K$29),0)</f>
        <v>0</v>
      </c>
      <c r="AJ41" s="491">
        <f>IF($E31="USD",AJ34*(1-Flags!$K$29),0)</f>
        <v>0</v>
      </c>
      <c r="AK41" s="491">
        <f>IF($E31="USD",AK34*(1-Flags!$K$29),0)</f>
        <v>0</v>
      </c>
      <c r="AL41" s="491">
        <f>IF($E31="USD",AL34*(1-Flags!$K$29),0)</f>
        <v>0</v>
      </c>
      <c r="AM41" s="491">
        <f>IF($E31="USD",AM34*(1-Flags!$K$29),0)</f>
        <v>0</v>
      </c>
      <c r="AN41" s="491">
        <f>IF($E31="USD",AN34*(1-Flags!$K$29),0)</f>
        <v>0</v>
      </c>
      <c r="AO41" s="491">
        <f>IF($E31="USD",AO34*(1-Flags!$K$29),0)</f>
        <v>0</v>
      </c>
      <c r="AP41" s="491">
        <f>IF($E31="USD",AP34*(1-Flags!$K$29),0)</f>
        <v>0</v>
      </c>
      <c r="AQ41" s="491">
        <f>IF($E31="USD",AQ34*(1-Flags!$K$29),0)</f>
        <v>0</v>
      </c>
      <c r="AR41" s="491">
        <f>IF($E31="USD",AR34*(1-Flags!$K$29),0)</f>
        <v>0</v>
      </c>
      <c r="AS41" s="491">
        <f>IF($E31="USD",AS34*(1-Flags!$K$29),0)</f>
        <v>0</v>
      </c>
      <c r="AT41" s="491">
        <f>IF($E31="USD",AT34*(1-Flags!$K$29),0)</f>
        <v>0</v>
      </c>
      <c r="AU41" s="491">
        <f>IF($E31="USD",AU34*(1-Flags!$K$29),0)</f>
        <v>0</v>
      </c>
      <c r="AV41" s="491">
        <f>IF($E31="USD",AV34*(1-Flags!$K$29),0)</f>
        <v>0</v>
      </c>
      <c r="AW41" s="491">
        <f>IF($E31="USD",AW34*(1-Flags!$K$29),0)</f>
        <v>0</v>
      </c>
      <c r="AX41" s="491">
        <f>IF($E31="USD",AX34*(1-Flags!$K$29),0)</f>
        <v>0</v>
      </c>
      <c r="AY41" s="491">
        <f>IF($E31="USD",AY34*(1-Flags!$K$29),0)</f>
        <v>0</v>
      </c>
      <c r="AZ41" s="491">
        <f>IF($E31="USD",AZ34*(1-Flags!$K$29),0)</f>
        <v>0</v>
      </c>
      <c r="BA41" s="491">
        <f>IF($E31="USD",BA34*(1-Flags!$K$29),0)</f>
        <v>0</v>
      </c>
      <c r="BB41" s="491">
        <f>IF($E31="USD",BB34*(1-Flags!$K$29),0)</f>
        <v>0</v>
      </c>
      <c r="BC41" s="491">
        <f>IF($E31="USD",BC34*(1-Flags!$K$29),0)</f>
        <v>0</v>
      </c>
      <c r="BD41" s="491">
        <f>IF($E31="USD",BD34*(1-Flags!$K$29),0)</f>
        <v>0</v>
      </c>
      <c r="BE41" s="491">
        <f>IF($E31="USD",BE34*(1-Flags!$K$29),0)</f>
        <v>0</v>
      </c>
      <c r="BF41" s="491">
        <f>IF($E31="USD",BF34*(1-Flags!$K$29),0)</f>
        <v>0</v>
      </c>
      <c r="BG41" s="491">
        <f>IF($E31="USD",BG34*(1-Flags!$K$29),0)</f>
        <v>0</v>
      </c>
      <c r="BH41" s="491">
        <f>IF($E31="USD",BH34*(1-Flags!$K$29),0)</f>
        <v>0</v>
      </c>
      <c r="BI41" s="491">
        <f>IF($E31="USD",BI34*(1-Flags!$K$29),0)</f>
        <v>0</v>
      </c>
      <c r="BJ41" s="491">
        <f>IF($E31="USD",BJ34*(1-Flags!$K$29),0)</f>
        <v>0</v>
      </c>
      <c r="BK41" s="491">
        <f>IF($E31="USD",BK34*(1-Flags!$K$29),0)</f>
        <v>0</v>
      </c>
      <c r="BL41" s="491">
        <f>IF($E31="USD",BL34*(1-Flags!$K$29),0)</f>
        <v>0</v>
      </c>
      <c r="BM41" s="491">
        <f>IF($E31="USD",BM34*(1-Flags!$K$29),0)</f>
        <v>0</v>
      </c>
      <c r="BN41" s="491">
        <f>IF($E31="USD",BN34*(1-Flags!$K$29),0)</f>
        <v>0</v>
      </c>
      <c r="BO41" s="491">
        <f>IF($E31="USD",BO34*(1-Flags!$K$29),0)</f>
        <v>0</v>
      </c>
      <c r="BP41" s="491">
        <f>IF($E31="USD",BP34*(1-Flags!$K$29),0)</f>
        <v>0</v>
      </c>
      <c r="BQ41" s="491">
        <f>IF($E31="USD",BQ34*(1-Flags!$K$29),0)</f>
        <v>0</v>
      </c>
      <c r="BR41" s="491">
        <f>IF($E31="USD",BR34*(1-Flags!$K$29),0)</f>
        <v>0</v>
      </c>
      <c r="BS41" s="491">
        <f>IF($E31="USD",BS34*(1-Flags!$K$29),0)</f>
        <v>0</v>
      </c>
      <c r="BT41" s="491">
        <f>IF($E31="USD",BT34*(1-Flags!$K$29),0)</f>
        <v>0</v>
      </c>
      <c r="BU41" s="491">
        <f>IF($E31="USD",BU34*(1-Flags!$K$29),0)</f>
        <v>0</v>
      </c>
      <c r="BV41" s="491">
        <f>IF($E31="USD",BV34*(1-Flags!$K$29),0)</f>
        <v>0</v>
      </c>
      <c r="BW41" s="491">
        <f>IF($E31="USD",BW34*(1-Flags!$K$29),0)</f>
        <v>0</v>
      </c>
      <c r="BX41" s="491">
        <f>IF($E31="USD",BX34*(1-Flags!$K$29),0)</f>
        <v>0</v>
      </c>
      <c r="BY41" s="491">
        <f>IF($E31="USD",BY34*(1-Flags!$K$29),0)</f>
        <v>0</v>
      </c>
      <c r="BZ41" s="491">
        <f>IF($E31="USD",BZ34*(1-Flags!$K$29),0)</f>
        <v>0</v>
      </c>
      <c r="CA41" s="491">
        <f>IF($E31="USD",CA34*(1-Flags!$K$29),0)</f>
        <v>0</v>
      </c>
      <c r="CB41" s="491">
        <f>IF($E31="USD",CB34*(1-Flags!$K$29),0)</f>
        <v>0</v>
      </c>
      <c r="CC41" s="491">
        <f>IF($E31="USD",CC34*(1-Flags!$K$29),0)</f>
        <v>0</v>
      </c>
      <c r="CD41" s="491">
        <f>IF($E31="USD",CD34*(1-Flags!$K$29),0)</f>
        <v>0</v>
      </c>
      <c r="CE41" s="491">
        <f>IF($E31="USD",CE34*(1-Flags!$K$29),0)</f>
        <v>0</v>
      </c>
      <c r="CF41" s="491">
        <f>IF($E31="USD",CF34*(1-Flags!$K$29),0)</f>
        <v>0</v>
      </c>
      <c r="CG41" s="491">
        <f>IF($E31="USD",CG34*(1-Flags!$K$29),0)</f>
        <v>0</v>
      </c>
      <c r="CH41" s="491">
        <f>IF($E31="USD",CH34*(1-Flags!$K$29),0)</f>
        <v>0</v>
      </c>
      <c r="CI41" s="491">
        <f>IF($E31="USD",CI34*(1-Flags!$K$29),0)</f>
        <v>0</v>
      </c>
      <c r="CJ41" s="491">
        <f>IF($E31="USD",CJ34*(1-Flags!$K$29),0)</f>
        <v>0</v>
      </c>
      <c r="CK41" s="491">
        <f>IF($E31="USD",CK34*(1-Flags!$K$29),0)</f>
        <v>0</v>
      </c>
      <c r="CL41" s="491">
        <f>IF($E31="USD",CL34*(1-Flags!$K$29),0)</f>
        <v>0</v>
      </c>
      <c r="CM41" s="491">
        <f>IF($E31="USD",CM34*(1-Flags!$K$29),0)</f>
        <v>0</v>
      </c>
      <c r="CN41" s="491">
        <f>IF($E31="USD",CN34*(1-Flags!$K$29),0)</f>
        <v>0</v>
      </c>
      <c r="CO41" s="491">
        <f>IF($E31="USD",CO34*(1-Flags!$K$29),0)</f>
        <v>0</v>
      </c>
      <c r="CP41" s="491">
        <f>IF($E31="USD",CP34*(1-Flags!$K$29),0)</f>
        <v>0</v>
      </c>
      <c r="CQ41" s="491">
        <f>IF($E31="USD",CQ34*(1-Flags!$K$29),0)</f>
        <v>0</v>
      </c>
      <c r="CR41" s="491">
        <f>IF($E31="USD",CR34*(1-Flags!$K$29),0)</f>
        <v>0</v>
      </c>
      <c r="CS41" s="491">
        <f>IF($E31="USD",CS34*(1-Flags!$K$29),0)</f>
        <v>0</v>
      </c>
      <c r="CT41" s="491">
        <f>IF($E31="USD",CT34*(1-Flags!$K$29),0)</f>
        <v>0</v>
      </c>
      <c r="CU41" s="491">
        <f>IF($E31="USD",CU34*(1-Flags!$K$29),0)</f>
        <v>0</v>
      </c>
      <c r="CV41" s="491">
        <f>IF($E31="USD",CV34*(1-Flags!$K$29),0)</f>
        <v>0</v>
      </c>
      <c r="CW41" s="491">
        <f>IF($E31="USD",CW34*(1-Flags!$K$29),0)</f>
        <v>0</v>
      </c>
      <c r="CX41" s="491">
        <f>IF($E31="USD",CX34*(1-Flags!$K$29),0)</f>
        <v>0</v>
      </c>
      <c r="CY41" s="491">
        <f>IF($E31="USD",CY34*(1-Flags!$K$29),0)</f>
        <v>0</v>
      </c>
      <c r="CZ41" s="491">
        <f>IF($E31="USD",CZ34*(1-Flags!$K$29),0)</f>
        <v>0</v>
      </c>
      <c r="DA41" s="491">
        <f>IF($E31="USD",DA34*(1-Flags!$K$29),0)</f>
        <v>0</v>
      </c>
      <c r="DB41" s="491">
        <f>IF($E31="USD",DB34*(1-Flags!$K$29),0)</f>
        <v>0</v>
      </c>
      <c r="DC41" s="491">
        <f>IF($E31="USD",DC34*(1-Flags!$K$29),0)</f>
        <v>0</v>
      </c>
      <c r="DD41" s="491">
        <f>IF($E31="USD",DD34*(1-Flags!$K$29),0)</f>
        <v>0</v>
      </c>
      <c r="DE41" s="491">
        <f>IF($E31="USD",DE34*(1-Flags!$K$29),0)</f>
        <v>0</v>
      </c>
      <c r="DF41" s="491">
        <f>IF($E31="USD",DF34*(1-Flags!$K$29),0)</f>
        <v>0</v>
      </c>
      <c r="DG41" s="491">
        <f>IF($E31="USD",DG34*(1-Flags!$K$29),0)</f>
        <v>0</v>
      </c>
      <c r="DH41" s="491">
        <f>IF($E31="USD",DH34*(1-Flags!$K$29),0)</f>
        <v>0</v>
      </c>
      <c r="DI41" s="491">
        <f>IF($E31="USD",DI34*(1-Flags!$K$29),0)</f>
        <v>0</v>
      </c>
      <c r="DJ41" s="491">
        <f>IF($E31="USD",DJ34*(1-Flags!$K$29),0)</f>
        <v>0</v>
      </c>
      <c r="DK41" s="491">
        <f>IF($E31="USD",DK34*(1-Flags!$K$29),0)</f>
        <v>0</v>
      </c>
      <c r="DL41" s="491">
        <f>IF($E31="USD",DL34*(1-Flags!$K$29),0)</f>
        <v>0</v>
      </c>
      <c r="DM41" s="491">
        <f>IF($E31="USD",DM34*(1-Flags!$K$29),0)</f>
        <v>0</v>
      </c>
      <c r="DN41" s="491">
        <f>IF($E31="USD",DN34*(1-Flags!$K$29),0)</f>
        <v>0</v>
      </c>
      <c r="DO41" s="491">
        <f>IF($E31="USD",DO34*(1-Flags!$K$29),0)</f>
        <v>0</v>
      </c>
      <c r="DP41" s="491">
        <f>IF($E31="USD",DP34*(1-Flags!$K$29),0)</f>
        <v>0</v>
      </c>
      <c r="DQ41" s="491">
        <f>IF($E31="USD",DQ34*(1-Flags!$K$29),0)</f>
        <v>0</v>
      </c>
      <c r="DR41" s="491">
        <f>IF($E31="USD",DR34*(1-Flags!$K$29),0)</f>
        <v>0</v>
      </c>
      <c r="DS41" s="491">
        <f>IF($E31="USD",DS34*(1-Flags!$K$29),0)</f>
        <v>0</v>
      </c>
      <c r="DT41" s="491">
        <f>IF($E31="USD",DT34*(1-Flags!$K$29),0)</f>
        <v>0</v>
      </c>
      <c r="DU41" s="491">
        <f>IF($E31="USD",DU34*(1-Flags!$K$29),0)</f>
        <v>0</v>
      </c>
      <c r="DV41" s="491">
        <f>IF($E31="USD",DV34*(1-Flags!$K$29),0)</f>
        <v>0</v>
      </c>
      <c r="DW41" s="491">
        <f>IF($E31="USD",DW34*(1-Flags!$K$29),0)</f>
        <v>0</v>
      </c>
      <c r="DX41" s="491">
        <f>IF($E31="USD",DX34*(1-Flags!$K$29),0)</f>
        <v>0</v>
      </c>
      <c r="DY41" s="491">
        <f>IF($E31="USD",DY34*(1-Flags!$K$29),0)</f>
        <v>0</v>
      </c>
    </row>
    <row r="42" spans="2:129">
      <c r="C42" s="43" t="s">
        <v>637</v>
      </c>
      <c r="E42" s="578">
        <f>'Model Assumptions'!F142</f>
        <v>0.01</v>
      </c>
      <c r="F42"/>
      <c r="G42"/>
      <c r="H42"/>
      <c r="J42" s="159">
        <f>J32*$E$42</f>
        <v>10000</v>
      </c>
      <c r="K42" s="159">
        <f t="shared" ref="K42:BV42" si="35">K32*$E$42</f>
        <v>0</v>
      </c>
      <c r="L42" s="159">
        <f t="shared" si="35"/>
        <v>0</v>
      </c>
      <c r="M42" s="159">
        <f t="shared" si="35"/>
        <v>0</v>
      </c>
      <c r="N42" s="159">
        <f t="shared" si="35"/>
        <v>0</v>
      </c>
      <c r="O42" s="159">
        <f t="shared" si="35"/>
        <v>0</v>
      </c>
      <c r="P42" s="159">
        <f t="shared" si="35"/>
        <v>0</v>
      </c>
      <c r="Q42" s="159">
        <f t="shared" si="35"/>
        <v>0</v>
      </c>
      <c r="R42" s="159">
        <f t="shared" si="35"/>
        <v>0</v>
      </c>
      <c r="S42" s="159">
        <f t="shared" si="35"/>
        <v>0</v>
      </c>
      <c r="T42" s="159">
        <f t="shared" si="35"/>
        <v>0</v>
      </c>
      <c r="U42" s="159">
        <f t="shared" si="35"/>
        <v>0</v>
      </c>
      <c r="V42" s="159">
        <f t="shared" si="35"/>
        <v>0</v>
      </c>
      <c r="W42" s="159">
        <f t="shared" si="35"/>
        <v>0</v>
      </c>
      <c r="X42" s="159">
        <f t="shared" si="35"/>
        <v>0</v>
      </c>
      <c r="Y42" s="159">
        <f t="shared" si="35"/>
        <v>0</v>
      </c>
      <c r="Z42" s="159">
        <f t="shared" si="35"/>
        <v>0</v>
      </c>
      <c r="AA42" s="159">
        <f t="shared" si="35"/>
        <v>0</v>
      </c>
      <c r="AB42" s="159">
        <f t="shared" si="35"/>
        <v>0</v>
      </c>
      <c r="AC42" s="159">
        <f t="shared" si="35"/>
        <v>0</v>
      </c>
      <c r="AD42" s="159">
        <f t="shared" si="35"/>
        <v>0</v>
      </c>
      <c r="AE42" s="159">
        <f t="shared" si="35"/>
        <v>0</v>
      </c>
      <c r="AF42" s="159">
        <f t="shared" si="35"/>
        <v>0</v>
      </c>
      <c r="AG42" s="159">
        <f t="shared" si="35"/>
        <v>0</v>
      </c>
      <c r="AH42" s="159">
        <f t="shared" si="35"/>
        <v>0</v>
      </c>
      <c r="AI42" s="159">
        <f t="shared" si="35"/>
        <v>0</v>
      </c>
      <c r="AJ42" s="159">
        <f t="shared" si="35"/>
        <v>0</v>
      </c>
      <c r="AK42" s="159">
        <f t="shared" si="35"/>
        <v>0</v>
      </c>
      <c r="AL42" s="159">
        <f t="shared" si="35"/>
        <v>0</v>
      </c>
      <c r="AM42" s="159">
        <f t="shared" si="35"/>
        <v>0</v>
      </c>
      <c r="AN42" s="159">
        <f t="shared" si="35"/>
        <v>0</v>
      </c>
      <c r="AO42" s="159">
        <f t="shared" si="35"/>
        <v>0</v>
      </c>
      <c r="AP42" s="159">
        <f t="shared" si="35"/>
        <v>0</v>
      </c>
      <c r="AQ42" s="159">
        <f t="shared" si="35"/>
        <v>0</v>
      </c>
      <c r="AR42" s="159">
        <f t="shared" si="35"/>
        <v>0</v>
      </c>
      <c r="AS42" s="159">
        <f t="shared" si="35"/>
        <v>0</v>
      </c>
      <c r="AT42" s="159">
        <f t="shared" si="35"/>
        <v>0</v>
      </c>
      <c r="AU42" s="159">
        <f t="shared" si="35"/>
        <v>0</v>
      </c>
      <c r="AV42" s="159">
        <f t="shared" si="35"/>
        <v>0</v>
      </c>
      <c r="AW42" s="159">
        <f t="shared" si="35"/>
        <v>0</v>
      </c>
      <c r="AX42" s="159">
        <f t="shared" si="35"/>
        <v>0</v>
      </c>
      <c r="AY42" s="159">
        <f t="shared" si="35"/>
        <v>0</v>
      </c>
      <c r="AZ42" s="159">
        <f t="shared" si="35"/>
        <v>0</v>
      </c>
      <c r="BA42" s="159">
        <f t="shared" si="35"/>
        <v>0</v>
      </c>
      <c r="BB42" s="159">
        <f t="shared" si="35"/>
        <v>0</v>
      </c>
      <c r="BC42" s="159">
        <f t="shared" si="35"/>
        <v>0</v>
      </c>
      <c r="BD42" s="159">
        <f t="shared" si="35"/>
        <v>0</v>
      </c>
      <c r="BE42" s="159">
        <f t="shared" si="35"/>
        <v>0</v>
      </c>
      <c r="BF42" s="159">
        <f t="shared" si="35"/>
        <v>0</v>
      </c>
      <c r="BG42" s="159">
        <f t="shared" si="35"/>
        <v>0</v>
      </c>
      <c r="BH42" s="159">
        <f t="shared" si="35"/>
        <v>0</v>
      </c>
      <c r="BI42" s="159">
        <f t="shared" si="35"/>
        <v>0</v>
      </c>
      <c r="BJ42" s="159">
        <f t="shared" si="35"/>
        <v>0</v>
      </c>
      <c r="BK42" s="159">
        <f t="shared" si="35"/>
        <v>0</v>
      </c>
      <c r="BL42" s="159">
        <f t="shared" si="35"/>
        <v>0</v>
      </c>
      <c r="BM42" s="159">
        <f t="shared" si="35"/>
        <v>0</v>
      </c>
      <c r="BN42" s="159">
        <f t="shared" si="35"/>
        <v>0</v>
      </c>
      <c r="BO42" s="159">
        <f t="shared" si="35"/>
        <v>0</v>
      </c>
      <c r="BP42" s="159">
        <f t="shared" si="35"/>
        <v>0</v>
      </c>
      <c r="BQ42" s="159">
        <f t="shared" si="35"/>
        <v>0</v>
      </c>
      <c r="BR42" s="159">
        <f t="shared" si="35"/>
        <v>0</v>
      </c>
      <c r="BS42" s="159">
        <f t="shared" si="35"/>
        <v>0</v>
      </c>
      <c r="BT42" s="159">
        <f t="shared" si="35"/>
        <v>0</v>
      </c>
      <c r="BU42" s="159">
        <f t="shared" si="35"/>
        <v>0</v>
      </c>
      <c r="BV42" s="159">
        <f t="shared" si="35"/>
        <v>0</v>
      </c>
      <c r="BW42" s="159">
        <f t="shared" ref="BW42:DY42" si="36">BW32*$E$42</f>
        <v>0</v>
      </c>
      <c r="BX42" s="159">
        <f t="shared" si="36"/>
        <v>0</v>
      </c>
      <c r="BY42" s="159">
        <f t="shared" si="36"/>
        <v>0</v>
      </c>
      <c r="BZ42" s="159">
        <f t="shared" si="36"/>
        <v>0</v>
      </c>
      <c r="CA42" s="159">
        <f t="shared" si="36"/>
        <v>0</v>
      </c>
      <c r="CB42" s="159">
        <f t="shared" si="36"/>
        <v>0</v>
      </c>
      <c r="CC42" s="159">
        <f t="shared" si="36"/>
        <v>0</v>
      </c>
      <c r="CD42" s="159">
        <f t="shared" si="36"/>
        <v>0</v>
      </c>
      <c r="CE42" s="159">
        <f t="shared" si="36"/>
        <v>0</v>
      </c>
      <c r="CF42" s="159">
        <f t="shared" si="36"/>
        <v>0</v>
      </c>
      <c r="CG42" s="159">
        <f t="shared" si="36"/>
        <v>0</v>
      </c>
      <c r="CH42" s="159">
        <f t="shared" si="36"/>
        <v>0</v>
      </c>
      <c r="CI42" s="159">
        <f t="shared" si="36"/>
        <v>0</v>
      </c>
      <c r="CJ42" s="159">
        <f t="shared" si="36"/>
        <v>0</v>
      </c>
      <c r="CK42" s="159">
        <f t="shared" si="36"/>
        <v>0</v>
      </c>
      <c r="CL42" s="159">
        <f t="shared" si="36"/>
        <v>0</v>
      </c>
      <c r="CM42" s="159">
        <f t="shared" si="36"/>
        <v>0</v>
      </c>
      <c r="CN42" s="159">
        <f t="shared" si="36"/>
        <v>0</v>
      </c>
      <c r="CO42" s="159">
        <f t="shared" si="36"/>
        <v>0</v>
      </c>
      <c r="CP42" s="159">
        <f t="shared" si="36"/>
        <v>0</v>
      </c>
      <c r="CQ42" s="159">
        <f t="shared" si="36"/>
        <v>0</v>
      </c>
      <c r="CR42" s="159">
        <f t="shared" si="36"/>
        <v>0</v>
      </c>
      <c r="CS42" s="159">
        <f t="shared" si="36"/>
        <v>0</v>
      </c>
      <c r="CT42" s="159">
        <f t="shared" si="36"/>
        <v>0</v>
      </c>
      <c r="CU42" s="159">
        <f t="shared" si="36"/>
        <v>0</v>
      </c>
      <c r="CV42" s="159">
        <f t="shared" si="36"/>
        <v>0</v>
      </c>
      <c r="CW42" s="159">
        <f t="shared" si="36"/>
        <v>0</v>
      </c>
      <c r="CX42" s="159">
        <f t="shared" si="36"/>
        <v>0</v>
      </c>
      <c r="CY42" s="159">
        <f t="shared" si="36"/>
        <v>0</v>
      </c>
      <c r="CZ42" s="159">
        <f t="shared" si="36"/>
        <v>0</v>
      </c>
      <c r="DA42" s="159">
        <f t="shared" si="36"/>
        <v>0</v>
      </c>
      <c r="DB42" s="159">
        <f t="shared" si="36"/>
        <v>0</v>
      </c>
      <c r="DC42" s="159">
        <f t="shared" si="36"/>
        <v>0</v>
      </c>
      <c r="DD42" s="159">
        <f t="shared" si="36"/>
        <v>0</v>
      </c>
      <c r="DE42" s="159">
        <f t="shared" si="36"/>
        <v>0</v>
      </c>
      <c r="DF42" s="159">
        <f t="shared" si="36"/>
        <v>0</v>
      </c>
      <c r="DG42" s="159">
        <f t="shared" si="36"/>
        <v>0</v>
      </c>
      <c r="DH42" s="159">
        <f t="shared" si="36"/>
        <v>0</v>
      </c>
      <c r="DI42" s="159">
        <f t="shared" si="36"/>
        <v>0</v>
      </c>
      <c r="DJ42" s="159">
        <f t="shared" si="36"/>
        <v>0</v>
      </c>
      <c r="DK42" s="159">
        <f t="shared" si="36"/>
        <v>0</v>
      </c>
      <c r="DL42" s="159">
        <f t="shared" si="36"/>
        <v>0</v>
      </c>
      <c r="DM42" s="159">
        <f t="shared" si="36"/>
        <v>0</v>
      </c>
      <c r="DN42" s="159">
        <f t="shared" si="36"/>
        <v>0</v>
      </c>
      <c r="DO42" s="159">
        <f t="shared" si="36"/>
        <v>0</v>
      </c>
      <c r="DP42" s="159">
        <f t="shared" si="36"/>
        <v>0</v>
      </c>
      <c r="DQ42" s="159">
        <f t="shared" si="36"/>
        <v>0</v>
      </c>
      <c r="DR42" s="159">
        <f t="shared" si="36"/>
        <v>0</v>
      </c>
      <c r="DS42" s="159">
        <f t="shared" si="36"/>
        <v>0</v>
      </c>
      <c r="DT42" s="159">
        <f t="shared" si="36"/>
        <v>0</v>
      </c>
      <c r="DU42" s="159">
        <f t="shared" si="36"/>
        <v>0</v>
      </c>
      <c r="DV42" s="159">
        <f t="shared" si="36"/>
        <v>0</v>
      </c>
      <c r="DW42" s="159">
        <f t="shared" si="36"/>
        <v>0</v>
      </c>
      <c r="DX42" s="159">
        <f t="shared" si="36"/>
        <v>0</v>
      </c>
      <c r="DY42" s="159">
        <f t="shared" si="36"/>
        <v>0</v>
      </c>
    </row>
    <row r="43" spans="2:129">
      <c r="C43" s="43" t="s">
        <v>638</v>
      </c>
      <c r="F43"/>
      <c r="G43"/>
      <c r="H43"/>
      <c r="J43" s="579">
        <f>J33*$E$42</f>
        <v>100000</v>
      </c>
      <c r="K43" s="579">
        <f t="shared" ref="K43:BV43" si="37">K33*$E$42</f>
        <v>0</v>
      </c>
      <c r="L43" s="579">
        <f t="shared" si="37"/>
        <v>0</v>
      </c>
      <c r="M43" s="579">
        <f t="shared" si="37"/>
        <v>0</v>
      </c>
      <c r="N43" s="579">
        <f t="shared" si="37"/>
        <v>0</v>
      </c>
      <c r="O43" s="579">
        <f t="shared" si="37"/>
        <v>0</v>
      </c>
      <c r="P43" s="579">
        <f t="shared" si="37"/>
        <v>0</v>
      </c>
      <c r="Q43" s="579">
        <f t="shared" si="37"/>
        <v>0</v>
      </c>
      <c r="R43" s="579">
        <f t="shared" si="37"/>
        <v>0</v>
      </c>
      <c r="S43" s="579">
        <f t="shared" si="37"/>
        <v>0</v>
      </c>
      <c r="T43" s="579">
        <f t="shared" si="37"/>
        <v>0</v>
      </c>
      <c r="U43" s="579">
        <f t="shared" si="37"/>
        <v>0</v>
      </c>
      <c r="V43" s="579">
        <f t="shared" si="37"/>
        <v>0</v>
      </c>
      <c r="W43" s="579">
        <f t="shared" si="37"/>
        <v>0</v>
      </c>
      <c r="X43" s="579">
        <f t="shared" si="37"/>
        <v>0</v>
      </c>
      <c r="Y43" s="579">
        <f t="shared" si="37"/>
        <v>0</v>
      </c>
      <c r="Z43" s="579">
        <f t="shared" si="37"/>
        <v>0</v>
      </c>
      <c r="AA43" s="579">
        <f t="shared" si="37"/>
        <v>0</v>
      </c>
      <c r="AB43" s="579">
        <f t="shared" si="37"/>
        <v>0</v>
      </c>
      <c r="AC43" s="579">
        <f t="shared" si="37"/>
        <v>0</v>
      </c>
      <c r="AD43" s="579">
        <f t="shared" si="37"/>
        <v>0</v>
      </c>
      <c r="AE43" s="579">
        <f t="shared" si="37"/>
        <v>0</v>
      </c>
      <c r="AF43" s="579">
        <f t="shared" si="37"/>
        <v>0</v>
      </c>
      <c r="AG43" s="579">
        <f t="shared" si="37"/>
        <v>0</v>
      </c>
      <c r="AH43" s="579">
        <f t="shared" si="37"/>
        <v>0</v>
      </c>
      <c r="AI43" s="579">
        <f t="shared" si="37"/>
        <v>0</v>
      </c>
      <c r="AJ43" s="579">
        <f t="shared" si="37"/>
        <v>0</v>
      </c>
      <c r="AK43" s="579">
        <f t="shared" si="37"/>
        <v>0</v>
      </c>
      <c r="AL43" s="579">
        <f t="shared" si="37"/>
        <v>0</v>
      </c>
      <c r="AM43" s="579">
        <f t="shared" si="37"/>
        <v>0</v>
      </c>
      <c r="AN43" s="579">
        <f t="shared" si="37"/>
        <v>0</v>
      </c>
      <c r="AO43" s="579">
        <f t="shared" si="37"/>
        <v>0</v>
      </c>
      <c r="AP43" s="579">
        <f t="shared" si="37"/>
        <v>0</v>
      </c>
      <c r="AQ43" s="579">
        <f t="shared" si="37"/>
        <v>0</v>
      </c>
      <c r="AR43" s="579">
        <f t="shared" si="37"/>
        <v>0</v>
      </c>
      <c r="AS43" s="579">
        <f t="shared" si="37"/>
        <v>0</v>
      </c>
      <c r="AT43" s="579">
        <f t="shared" si="37"/>
        <v>0</v>
      </c>
      <c r="AU43" s="579">
        <f t="shared" si="37"/>
        <v>0</v>
      </c>
      <c r="AV43" s="579">
        <f t="shared" si="37"/>
        <v>0</v>
      </c>
      <c r="AW43" s="579">
        <f t="shared" si="37"/>
        <v>0</v>
      </c>
      <c r="AX43" s="579">
        <f t="shared" si="37"/>
        <v>0</v>
      </c>
      <c r="AY43" s="579">
        <f t="shared" si="37"/>
        <v>0</v>
      </c>
      <c r="AZ43" s="579">
        <f t="shared" si="37"/>
        <v>0</v>
      </c>
      <c r="BA43" s="579">
        <f t="shared" si="37"/>
        <v>0</v>
      </c>
      <c r="BB43" s="579">
        <f t="shared" si="37"/>
        <v>0</v>
      </c>
      <c r="BC43" s="579">
        <f t="shared" si="37"/>
        <v>0</v>
      </c>
      <c r="BD43" s="579">
        <f t="shared" si="37"/>
        <v>0</v>
      </c>
      <c r="BE43" s="579">
        <f t="shared" si="37"/>
        <v>0</v>
      </c>
      <c r="BF43" s="579">
        <f t="shared" si="37"/>
        <v>0</v>
      </c>
      <c r="BG43" s="579">
        <f t="shared" si="37"/>
        <v>0</v>
      </c>
      <c r="BH43" s="579">
        <f t="shared" si="37"/>
        <v>0</v>
      </c>
      <c r="BI43" s="579">
        <f t="shared" si="37"/>
        <v>0</v>
      </c>
      <c r="BJ43" s="579">
        <f t="shared" si="37"/>
        <v>0</v>
      </c>
      <c r="BK43" s="579">
        <f t="shared" si="37"/>
        <v>0</v>
      </c>
      <c r="BL43" s="579">
        <f t="shared" si="37"/>
        <v>0</v>
      </c>
      <c r="BM43" s="579">
        <f t="shared" si="37"/>
        <v>0</v>
      </c>
      <c r="BN43" s="579">
        <f t="shared" si="37"/>
        <v>0</v>
      </c>
      <c r="BO43" s="579">
        <f t="shared" si="37"/>
        <v>0</v>
      </c>
      <c r="BP43" s="579">
        <f t="shared" si="37"/>
        <v>0</v>
      </c>
      <c r="BQ43" s="579">
        <f t="shared" si="37"/>
        <v>0</v>
      </c>
      <c r="BR43" s="579">
        <f t="shared" si="37"/>
        <v>0</v>
      </c>
      <c r="BS43" s="579">
        <f t="shared" si="37"/>
        <v>0</v>
      </c>
      <c r="BT43" s="579">
        <f t="shared" si="37"/>
        <v>0</v>
      </c>
      <c r="BU43" s="579">
        <f t="shared" si="37"/>
        <v>0</v>
      </c>
      <c r="BV43" s="579">
        <f t="shared" si="37"/>
        <v>0</v>
      </c>
      <c r="BW43" s="579">
        <f t="shared" ref="BW43:DY43" si="38">BW33*$E$42</f>
        <v>0</v>
      </c>
      <c r="BX43" s="579">
        <f t="shared" si="38"/>
        <v>0</v>
      </c>
      <c r="BY43" s="579">
        <f t="shared" si="38"/>
        <v>0</v>
      </c>
      <c r="BZ43" s="579">
        <f t="shared" si="38"/>
        <v>0</v>
      </c>
      <c r="CA43" s="579">
        <f t="shared" si="38"/>
        <v>0</v>
      </c>
      <c r="CB43" s="579">
        <f t="shared" si="38"/>
        <v>0</v>
      </c>
      <c r="CC43" s="579">
        <f t="shared" si="38"/>
        <v>0</v>
      </c>
      <c r="CD43" s="579">
        <f t="shared" si="38"/>
        <v>0</v>
      </c>
      <c r="CE43" s="579">
        <f t="shared" si="38"/>
        <v>0</v>
      </c>
      <c r="CF43" s="579">
        <f t="shared" si="38"/>
        <v>0</v>
      </c>
      <c r="CG43" s="579">
        <f t="shared" si="38"/>
        <v>0</v>
      </c>
      <c r="CH43" s="579">
        <f t="shared" si="38"/>
        <v>0</v>
      </c>
      <c r="CI43" s="579">
        <f t="shared" si="38"/>
        <v>0</v>
      </c>
      <c r="CJ43" s="579">
        <f t="shared" si="38"/>
        <v>0</v>
      </c>
      <c r="CK43" s="579">
        <f t="shared" si="38"/>
        <v>0</v>
      </c>
      <c r="CL43" s="579">
        <f t="shared" si="38"/>
        <v>0</v>
      </c>
      <c r="CM43" s="579">
        <f t="shared" si="38"/>
        <v>0</v>
      </c>
      <c r="CN43" s="579">
        <f t="shared" si="38"/>
        <v>0</v>
      </c>
      <c r="CO43" s="579">
        <f t="shared" si="38"/>
        <v>0</v>
      </c>
      <c r="CP43" s="579">
        <f t="shared" si="38"/>
        <v>0</v>
      </c>
      <c r="CQ43" s="579">
        <f t="shared" si="38"/>
        <v>0</v>
      </c>
      <c r="CR43" s="579">
        <f t="shared" si="38"/>
        <v>0</v>
      </c>
      <c r="CS43" s="579">
        <f t="shared" si="38"/>
        <v>0</v>
      </c>
      <c r="CT43" s="579">
        <f t="shared" si="38"/>
        <v>0</v>
      </c>
      <c r="CU43" s="579">
        <f t="shared" si="38"/>
        <v>0</v>
      </c>
      <c r="CV43" s="579">
        <f t="shared" si="38"/>
        <v>0</v>
      </c>
      <c r="CW43" s="579">
        <f t="shared" si="38"/>
        <v>0</v>
      </c>
      <c r="CX43" s="579">
        <f t="shared" si="38"/>
        <v>0</v>
      </c>
      <c r="CY43" s="579">
        <f t="shared" si="38"/>
        <v>0</v>
      </c>
      <c r="CZ43" s="579">
        <f t="shared" si="38"/>
        <v>0</v>
      </c>
      <c r="DA43" s="579">
        <f t="shared" si="38"/>
        <v>0</v>
      </c>
      <c r="DB43" s="579">
        <f t="shared" si="38"/>
        <v>0</v>
      </c>
      <c r="DC43" s="579">
        <f t="shared" si="38"/>
        <v>0</v>
      </c>
      <c r="DD43" s="579">
        <f t="shared" si="38"/>
        <v>0</v>
      </c>
      <c r="DE43" s="579">
        <f t="shared" si="38"/>
        <v>0</v>
      </c>
      <c r="DF43" s="579">
        <f t="shared" si="38"/>
        <v>0</v>
      </c>
      <c r="DG43" s="579">
        <f t="shared" si="38"/>
        <v>0</v>
      </c>
      <c r="DH43" s="579">
        <f t="shared" si="38"/>
        <v>0</v>
      </c>
      <c r="DI43" s="579">
        <f t="shared" si="38"/>
        <v>0</v>
      </c>
      <c r="DJ43" s="579">
        <f t="shared" si="38"/>
        <v>0</v>
      </c>
      <c r="DK43" s="579">
        <f t="shared" si="38"/>
        <v>0</v>
      </c>
      <c r="DL43" s="579">
        <f t="shared" si="38"/>
        <v>0</v>
      </c>
      <c r="DM43" s="579">
        <f t="shared" si="38"/>
        <v>0</v>
      </c>
      <c r="DN43" s="579">
        <f t="shared" si="38"/>
        <v>0</v>
      </c>
      <c r="DO43" s="579">
        <f t="shared" si="38"/>
        <v>0</v>
      </c>
      <c r="DP43" s="579">
        <f t="shared" si="38"/>
        <v>0</v>
      </c>
      <c r="DQ43" s="579">
        <f t="shared" si="38"/>
        <v>0</v>
      </c>
      <c r="DR43" s="579">
        <f t="shared" si="38"/>
        <v>0</v>
      </c>
      <c r="DS43" s="579">
        <f t="shared" si="38"/>
        <v>0</v>
      </c>
      <c r="DT43" s="579">
        <f t="shared" si="38"/>
        <v>0</v>
      </c>
      <c r="DU43" s="579">
        <f t="shared" si="38"/>
        <v>0</v>
      </c>
      <c r="DV43" s="579">
        <f t="shared" si="38"/>
        <v>0</v>
      </c>
      <c r="DW43" s="579">
        <f t="shared" si="38"/>
        <v>0</v>
      </c>
      <c r="DX43" s="579">
        <f t="shared" si="38"/>
        <v>0</v>
      </c>
      <c r="DY43" s="579">
        <f t="shared" si="38"/>
        <v>0</v>
      </c>
    </row>
    <row r="44" spans="2:129">
      <c r="F44"/>
      <c r="G44"/>
      <c r="H44"/>
      <c r="J44" s="43"/>
      <c r="K44" s="254"/>
      <c r="L44" s="254"/>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row>
    <row r="45" spans="2:129" s="43" customFormat="1">
      <c r="B45" s="44" t="s">
        <v>84</v>
      </c>
      <c r="C45" s="43" t="s">
        <v>44</v>
      </c>
      <c r="E45" s="481">
        <f>+'Model Assumptions'!G133</f>
        <v>45658</v>
      </c>
      <c r="F45" s="125"/>
      <c r="G45" s="125"/>
      <c r="H45" s="125"/>
      <c r="V45" s="159"/>
      <c r="W45" s="159"/>
    </row>
    <row r="46" spans="2:129" s="43" customFormat="1">
      <c r="B46" s="44"/>
      <c r="C46" s="43" t="s">
        <v>394</v>
      </c>
      <c r="E46" s="482" t="str">
        <f>+'Model Assumptions'!G137</f>
        <v>USD</v>
      </c>
      <c r="F46" s="125"/>
      <c r="G46" s="125"/>
      <c r="H46" s="125"/>
      <c r="V46" s="159"/>
      <c r="W46" s="159"/>
    </row>
    <row r="47" spans="2:129" s="43" customFormat="1">
      <c r="C47" s="43" t="s">
        <v>386</v>
      </c>
      <c r="E47" s="482">
        <f>+'Model Assumptions'!G134</f>
        <v>2500000</v>
      </c>
      <c r="F47" s="126"/>
      <c r="G47" s="126"/>
      <c r="H47" s="126"/>
      <c r="J47" s="46">
        <f t="shared" ref="J47:AO47" si="39">+IF(J$1=$E$45,$E$47,0)</f>
        <v>0</v>
      </c>
      <c r="K47" s="46">
        <f t="shared" si="39"/>
        <v>0</v>
      </c>
      <c r="L47" s="46">
        <f t="shared" si="39"/>
        <v>0</v>
      </c>
      <c r="M47" s="46">
        <f t="shared" si="39"/>
        <v>0</v>
      </c>
      <c r="N47" s="46">
        <f t="shared" si="39"/>
        <v>0</v>
      </c>
      <c r="O47" s="46">
        <f t="shared" si="39"/>
        <v>0</v>
      </c>
      <c r="P47" s="46">
        <f t="shared" si="39"/>
        <v>0</v>
      </c>
      <c r="Q47" s="46">
        <f t="shared" si="39"/>
        <v>0</v>
      </c>
      <c r="R47" s="46">
        <f t="shared" si="39"/>
        <v>0</v>
      </c>
      <c r="S47" s="46">
        <f t="shared" si="39"/>
        <v>0</v>
      </c>
      <c r="T47" s="46">
        <f t="shared" si="39"/>
        <v>0</v>
      </c>
      <c r="U47" s="46">
        <f t="shared" si="39"/>
        <v>0</v>
      </c>
      <c r="V47" s="46">
        <f t="shared" si="39"/>
        <v>0</v>
      </c>
      <c r="W47" s="46">
        <f t="shared" si="39"/>
        <v>0</v>
      </c>
      <c r="X47" s="46">
        <f t="shared" si="39"/>
        <v>0</v>
      </c>
      <c r="Y47" s="46">
        <f t="shared" si="39"/>
        <v>0</v>
      </c>
      <c r="Z47" s="46">
        <f t="shared" si="39"/>
        <v>0</v>
      </c>
      <c r="AA47" s="46">
        <f t="shared" si="39"/>
        <v>0</v>
      </c>
      <c r="AB47" s="46">
        <f t="shared" si="39"/>
        <v>0</v>
      </c>
      <c r="AC47" s="46">
        <f t="shared" si="39"/>
        <v>0</v>
      </c>
      <c r="AD47" s="46">
        <f t="shared" si="39"/>
        <v>0</v>
      </c>
      <c r="AE47" s="46">
        <f t="shared" si="39"/>
        <v>0</v>
      </c>
      <c r="AF47" s="46">
        <f t="shared" si="39"/>
        <v>0</v>
      </c>
      <c r="AG47" s="46">
        <f t="shared" si="39"/>
        <v>0</v>
      </c>
      <c r="AH47" s="46">
        <f t="shared" si="39"/>
        <v>2500000</v>
      </c>
      <c r="AI47" s="46">
        <f t="shared" si="39"/>
        <v>0</v>
      </c>
      <c r="AJ47" s="46">
        <f t="shared" si="39"/>
        <v>0</v>
      </c>
      <c r="AK47" s="46">
        <f t="shared" si="39"/>
        <v>0</v>
      </c>
      <c r="AL47" s="46">
        <f t="shared" si="39"/>
        <v>0</v>
      </c>
      <c r="AM47" s="46">
        <f t="shared" si="39"/>
        <v>0</v>
      </c>
      <c r="AN47" s="46">
        <f t="shared" si="39"/>
        <v>0</v>
      </c>
      <c r="AO47" s="46">
        <f t="shared" si="39"/>
        <v>0</v>
      </c>
      <c r="AP47" s="46">
        <f t="shared" ref="AP47:BU47" si="40">+IF(AP$1=$E$45,$E$47,0)</f>
        <v>0</v>
      </c>
      <c r="AQ47" s="46">
        <f t="shared" si="40"/>
        <v>0</v>
      </c>
      <c r="AR47" s="46">
        <f t="shared" si="40"/>
        <v>0</v>
      </c>
      <c r="AS47" s="46">
        <f t="shared" si="40"/>
        <v>0</v>
      </c>
      <c r="AT47" s="46">
        <f t="shared" si="40"/>
        <v>0</v>
      </c>
      <c r="AU47" s="46">
        <f t="shared" si="40"/>
        <v>0</v>
      </c>
      <c r="AV47" s="46">
        <f t="shared" si="40"/>
        <v>0</v>
      </c>
      <c r="AW47" s="46">
        <f t="shared" si="40"/>
        <v>0</v>
      </c>
      <c r="AX47" s="46">
        <f t="shared" si="40"/>
        <v>0</v>
      </c>
      <c r="AY47" s="46">
        <f t="shared" si="40"/>
        <v>0</v>
      </c>
      <c r="AZ47" s="46">
        <f t="shared" si="40"/>
        <v>0</v>
      </c>
      <c r="BA47" s="46">
        <f t="shared" si="40"/>
        <v>0</v>
      </c>
      <c r="BB47" s="46">
        <f t="shared" si="40"/>
        <v>0</v>
      </c>
      <c r="BC47" s="46">
        <f t="shared" si="40"/>
        <v>0</v>
      </c>
      <c r="BD47" s="46">
        <f t="shared" si="40"/>
        <v>0</v>
      </c>
      <c r="BE47" s="46">
        <f t="shared" si="40"/>
        <v>0</v>
      </c>
      <c r="BF47" s="46">
        <f t="shared" si="40"/>
        <v>0</v>
      </c>
      <c r="BG47" s="46">
        <f t="shared" si="40"/>
        <v>0</v>
      </c>
      <c r="BH47" s="46">
        <f t="shared" si="40"/>
        <v>0</v>
      </c>
      <c r="BI47" s="46">
        <f t="shared" si="40"/>
        <v>0</v>
      </c>
      <c r="BJ47" s="46">
        <f t="shared" si="40"/>
        <v>0</v>
      </c>
      <c r="BK47" s="46">
        <f t="shared" si="40"/>
        <v>0</v>
      </c>
      <c r="BL47" s="46">
        <f t="shared" si="40"/>
        <v>0</v>
      </c>
      <c r="BM47" s="46">
        <f t="shared" si="40"/>
        <v>0</v>
      </c>
      <c r="BN47" s="46">
        <f t="shared" si="40"/>
        <v>0</v>
      </c>
      <c r="BO47" s="46">
        <f t="shared" si="40"/>
        <v>0</v>
      </c>
      <c r="BP47" s="46">
        <f t="shared" si="40"/>
        <v>0</v>
      </c>
      <c r="BQ47" s="46">
        <f t="shared" si="40"/>
        <v>0</v>
      </c>
      <c r="BR47" s="46">
        <f t="shared" si="40"/>
        <v>0</v>
      </c>
      <c r="BS47" s="46">
        <f t="shared" si="40"/>
        <v>0</v>
      </c>
      <c r="BT47" s="46">
        <f t="shared" si="40"/>
        <v>0</v>
      </c>
      <c r="BU47" s="46">
        <f t="shared" si="40"/>
        <v>0</v>
      </c>
      <c r="BV47" s="46">
        <f t="shared" ref="BV47:DY47" si="41">+IF(BV$1=$E$45,$E$47,0)</f>
        <v>0</v>
      </c>
      <c r="BW47" s="46">
        <f t="shared" si="41"/>
        <v>0</v>
      </c>
      <c r="BX47" s="46">
        <f t="shared" si="41"/>
        <v>0</v>
      </c>
      <c r="BY47" s="46">
        <f t="shared" si="41"/>
        <v>0</v>
      </c>
      <c r="BZ47" s="46">
        <f t="shared" si="41"/>
        <v>0</v>
      </c>
      <c r="CA47" s="46">
        <f t="shared" si="41"/>
        <v>0</v>
      </c>
      <c r="CB47" s="46">
        <f t="shared" si="41"/>
        <v>0</v>
      </c>
      <c r="CC47" s="46">
        <f t="shared" si="41"/>
        <v>0</v>
      </c>
      <c r="CD47" s="46">
        <f t="shared" si="41"/>
        <v>0</v>
      </c>
      <c r="CE47" s="46">
        <f t="shared" si="41"/>
        <v>0</v>
      </c>
      <c r="CF47" s="46">
        <f t="shared" si="41"/>
        <v>0</v>
      </c>
      <c r="CG47" s="46">
        <f t="shared" si="41"/>
        <v>0</v>
      </c>
      <c r="CH47" s="46">
        <f t="shared" si="41"/>
        <v>0</v>
      </c>
      <c r="CI47" s="46">
        <f t="shared" si="41"/>
        <v>0</v>
      </c>
      <c r="CJ47" s="46">
        <f t="shared" si="41"/>
        <v>0</v>
      </c>
      <c r="CK47" s="46">
        <f t="shared" si="41"/>
        <v>0</v>
      </c>
      <c r="CL47" s="46">
        <f t="shared" si="41"/>
        <v>0</v>
      </c>
      <c r="CM47" s="46">
        <f t="shared" si="41"/>
        <v>0</v>
      </c>
      <c r="CN47" s="46">
        <f t="shared" si="41"/>
        <v>0</v>
      </c>
      <c r="CO47" s="46">
        <f t="shared" si="41"/>
        <v>0</v>
      </c>
      <c r="CP47" s="46">
        <f t="shared" si="41"/>
        <v>0</v>
      </c>
      <c r="CQ47" s="46">
        <f t="shared" si="41"/>
        <v>0</v>
      </c>
      <c r="CR47" s="46">
        <f t="shared" si="41"/>
        <v>0</v>
      </c>
      <c r="CS47" s="46">
        <f t="shared" si="41"/>
        <v>0</v>
      </c>
      <c r="CT47" s="46">
        <f t="shared" si="41"/>
        <v>0</v>
      </c>
      <c r="CU47" s="46">
        <f t="shared" si="41"/>
        <v>0</v>
      </c>
      <c r="CV47" s="46">
        <f t="shared" si="41"/>
        <v>0</v>
      </c>
      <c r="CW47" s="46">
        <f t="shared" si="41"/>
        <v>0</v>
      </c>
      <c r="CX47" s="46">
        <f t="shared" si="41"/>
        <v>0</v>
      </c>
      <c r="CY47" s="46">
        <f t="shared" si="41"/>
        <v>0</v>
      </c>
      <c r="CZ47" s="46">
        <f t="shared" si="41"/>
        <v>0</v>
      </c>
      <c r="DA47" s="46">
        <f t="shared" si="41"/>
        <v>0</v>
      </c>
      <c r="DB47" s="46">
        <f t="shared" si="41"/>
        <v>0</v>
      </c>
      <c r="DC47" s="46">
        <f t="shared" si="41"/>
        <v>0</v>
      </c>
      <c r="DD47" s="46">
        <f t="shared" si="41"/>
        <v>0</v>
      </c>
      <c r="DE47" s="46">
        <f t="shared" si="41"/>
        <v>0</v>
      </c>
      <c r="DF47" s="46">
        <f t="shared" si="41"/>
        <v>0</v>
      </c>
      <c r="DG47" s="46">
        <f t="shared" si="41"/>
        <v>0</v>
      </c>
      <c r="DH47" s="46">
        <f t="shared" si="41"/>
        <v>0</v>
      </c>
      <c r="DI47" s="46">
        <f t="shared" si="41"/>
        <v>0</v>
      </c>
      <c r="DJ47" s="46">
        <f t="shared" si="41"/>
        <v>0</v>
      </c>
      <c r="DK47" s="46">
        <f t="shared" si="41"/>
        <v>0</v>
      </c>
      <c r="DL47" s="46">
        <f t="shared" si="41"/>
        <v>0</v>
      </c>
      <c r="DM47" s="46">
        <f t="shared" si="41"/>
        <v>0</v>
      </c>
      <c r="DN47" s="46">
        <f t="shared" si="41"/>
        <v>0</v>
      </c>
      <c r="DO47" s="46">
        <f t="shared" si="41"/>
        <v>0</v>
      </c>
      <c r="DP47" s="46">
        <f t="shared" si="41"/>
        <v>0</v>
      </c>
      <c r="DQ47" s="46">
        <f t="shared" si="41"/>
        <v>0</v>
      </c>
      <c r="DR47" s="46">
        <f t="shared" si="41"/>
        <v>0</v>
      </c>
      <c r="DS47" s="46">
        <f t="shared" si="41"/>
        <v>0</v>
      </c>
      <c r="DT47" s="46">
        <f t="shared" si="41"/>
        <v>0</v>
      </c>
      <c r="DU47" s="46">
        <f t="shared" si="41"/>
        <v>0</v>
      </c>
      <c r="DV47" s="46">
        <f t="shared" si="41"/>
        <v>0</v>
      </c>
      <c r="DW47" s="46">
        <f t="shared" si="41"/>
        <v>0</v>
      </c>
      <c r="DX47" s="46">
        <f t="shared" si="41"/>
        <v>0</v>
      </c>
      <c r="DY47" s="46">
        <f t="shared" si="41"/>
        <v>0</v>
      </c>
    </row>
    <row r="48" spans="2:129" s="43" customFormat="1">
      <c r="C48" s="43" t="s">
        <v>387</v>
      </c>
      <c r="E48" s="482">
        <f>+'Model Assumptions'!G136</f>
        <v>25000000</v>
      </c>
      <c r="F48" s="126"/>
      <c r="G48" s="126"/>
      <c r="H48" s="126"/>
      <c r="J48" s="490">
        <f>J47*Flags!J$30</f>
        <v>0</v>
      </c>
      <c r="K48" s="490">
        <f>K47*Flags!K$30</f>
        <v>0</v>
      </c>
      <c r="L48" s="490">
        <f>L47*Flags!L$30</f>
        <v>0</v>
      </c>
      <c r="M48" s="490">
        <f>M47*Flags!M$30</f>
        <v>0</v>
      </c>
      <c r="N48" s="490">
        <f>N47*Flags!N$30</f>
        <v>0</v>
      </c>
      <c r="O48" s="490">
        <f>O47*Flags!O$30</f>
        <v>0</v>
      </c>
      <c r="P48" s="490">
        <f>P47*Flags!P$30</f>
        <v>0</v>
      </c>
      <c r="Q48" s="490">
        <f>Q47*Flags!Q$30</f>
        <v>0</v>
      </c>
      <c r="R48" s="490">
        <f>R47*Flags!R$30</f>
        <v>0</v>
      </c>
      <c r="S48" s="490">
        <f>S47*Flags!S$30</f>
        <v>0</v>
      </c>
      <c r="T48" s="490">
        <f>T47*Flags!T$30</f>
        <v>0</v>
      </c>
      <c r="U48" s="490">
        <f>U47*Flags!U$30</f>
        <v>0</v>
      </c>
      <c r="V48" s="490">
        <f>V47*Flags!V$30</f>
        <v>0</v>
      </c>
      <c r="W48" s="490">
        <f>W47*Flags!W$30</f>
        <v>0</v>
      </c>
      <c r="X48" s="490">
        <f>X47*Flags!X$30</f>
        <v>0</v>
      </c>
      <c r="Y48" s="490">
        <f>Y47*Flags!Y$30</f>
        <v>0</v>
      </c>
      <c r="Z48" s="490">
        <f>Z47*Flags!Z$30</f>
        <v>0</v>
      </c>
      <c r="AA48" s="490">
        <f>AA47*Flags!AA$30</f>
        <v>0</v>
      </c>
      <c r="AB48" s="490">
        <f>AB47*Flags!AB$30</f>
        <v>0</v>
      </c>
      <c r="AC48" s="490">
        <f>AC47*Flags!AC$30</f>
        <v>0</v>
      </c>
      <c r="AD48" s="490">
        <f>AD47*Flags!AD$30</f>
        <v>0</v>
      </c>
      <c r="AE48" s="490">
        <f>AE47*Flags!AE$30</f>
        <v>0</v>
      </c>
      <c r="AF48" s="490">
        <f>AF47*Flags!AF$30</f>
        <v>0</v>
      </c>
      <c r="AG48" s="490">
        <f>AG47*Flags!AG$30</f>
        <v>0</v>
      </c>
      <c r="AH48" s="490">
        <f>AH47*Flags!AH$30</f>
        <v>25000000</v>
      </c>
      <c r="AI48" s="490">
        <f>AI47*Flags!AI$30</f>
        <v>0</v>
      </c>
      <c r="AJ48" s="490">
        <f>AJ47*Flags!AJ$30</f>
        <v>0</v>
      </c>
      <c r="AK48" s="490">
        <f>AK47*Flags!AK$30</f>
        <v>0</v>
      </c>
      <c r="AL48" s="490">
        <f>AL47*Flags!AL$30</f>
        <v>0</v>
      </c>
      <c r="AM48" s="490">
        <f>AM47*Flags!AM$30</f>
        <v>0</v>
      </c>
      <c r="AN48" s="490">
        <f>AN47*Flags!AN$30</f>
        <v>0</v>
      </c>
      <c r="AO48" s="490">
        <f>AO47*Flags!AO$30</f>
        <v>0</v>
      </c>
      <c r="AP48" s="490">
        <f>AP47*Flags!AP$30</f>
        <v>0</v>
      </c>
      <c r="AQ48" s="490">
        <f>AQ47*Flags!AQ$30</f>
        <v>0</v>
      </c>
      <c r="AR48" s="490">
        <f>AR47*Flags!AR$30</f>
        <v>0</v>
      </c>
      <c r="AS48" s="490">
        <f>AS47*Flags!AS$30</f>
        <v>0</v>
      </c>
      <c r="AT48" s="490">
        <f>AT47*Flags!AT$30</f>
        <v>0</v>
      </c>
      <c r="AU48" s="490">
        <f>AU47*Flags!AU$30</f>
        <v>0</v>
      </c>
      <c r="AV48" s="490">
        <f>AV47*Flags!AV$30</f>
        <v>0</v>
      </c>
      <c r="AW48" s="490">
        <f>AW47*Flags!AW$30</f>
        <v>0</v>
      </c>
      <c r="AX48" s="490">
        <f>AX47*Flags!AX$30</f>
        <v>0</v>
      </c>
      <c r="AY48" s="490">
        <f>AY47*Flags!AY$30</f>
        <v>0</v>
      </c>
      <c r="AZ48" s="490">
        <f>AZ47*Flags!AZ$30</f>
        <v>0</v>
      </c>
      <c r="BA48" s="490">
        <f>BA47*Flags!BA$30</f>
        <v>0</v>
      </c>
      <c r="BB48" s="490">
        <f>BB47*Flags!BB$30</f>
        <v>0</v>
      </c>
      <c r="BC48" s="490">
        <f>BC47*Flags!BC$30</f>
        <v>0</v>
      </c>
      <c r="BD48" s="490">
        <f>BD47*Flags!BD$30</f>
        <v>0</v>
      </c>
      <c r="BE48" s="490">
        <f>BE47*Flags!BE$30</f>
        <v>0</v>
      </c>
      <c r="BF48" s="490">
        <f>BF47*Flags!BF$30</f>
        <v>0</v>
      </c>
      <c r="BG48" s="490">
        <f>BG47*Flags!BG$30</f>
        <v>0</v>
      </c>
      <c r="BH48" s="490">
        <f>BH47*Flags!BH$30</f>
        <v>0</v>
      </c>
      <c r="BI48" s="490">
        <f>BI47*Flags!BI$30</f>
        <v>0</v>
      </c>
      <c r="BJ48" s="490">
        <f>BJ47*Flags!BJ$30</f>
        <v>0</v>
      </c>
      <c r="BK48" s="490">
        <f>BK47*Flags!BK$30</f>
        <v>0</v>
      </c>
      <c r="BL48" s="490">
        <f>BL47*Flags!BL$30</f>
        <v>0</v>
      </c>
      <c r="BM48" s="490">
        <f>BM47*Flags!BM$30</f>
        <v>0</v>
      </c>
      <c r="BN48" s="490">
        <f>BN47*Flags!BN$30</f>
        <v>0</v>
      </c>
      <c r="BO48" s="490">
        <f>BO47*Flags!BO$30</f>
        <v>0</v>
      </c>
      <c r="BP48" s="490">
        <f>BP47*Flags!BP$30</f>
        <v>0</v>
      </c>
      <c r="BQ48" s="490">
        <f>BQ47*Flags!BQ$30</f>
        <v>0</v>
      </c>
      <c r="BR48" s="490">
        <f>BR47*Flags!BR$30</f>
        <v>0</v>
      </c>
      <c r="BS48" s="490">
        <f>BS47*Flags!BS$30</f>
        <v>0</v>
      </c>
      <c r="BT48" s="490">
        <f>BT47*Flags!BT$30</f>
        <v>0</v>
      </c>
      <c r="BU48" s="490">
        <f>BU47*Flags!BU$30</f>
        <v>0</v>
      </c>
      <c r="BV48" s="490">
        <f>BV47*Flags!BV$30</f>
        <v>0</v>
      </c>
      <c r="BW48" s="490">
        <f>BW47*Flags!BW$30</f>
        <v>0</v>
      </c>
      <c r="BX48" s="490">
        <f>BX47*Flags!BX$30</f>
        <v>0</v>
      </c>
      <c r="BY48" s="490">
        <f>BY47*Flags!BY$30</f>
        <v>0</v>
      </c>
      <c r="BZ48" s="490">
        <f>BZ47*Flags!BZ$30</f>
        <v>0</v>
      </c>
      <c r="CA48" s="490">
        <f>CA47*Flags!CA$30</f>
        <v>0</v>
      </c>
      <c r="CB48" s="490">
        <f>CB47*Flags!CB$30</f>
        <v>0</v>
      </c>
      <c r="CC48" s="490">
        <f>CC47*Flags!CC$30</f>
        <v>0</v>
      </c>
      <c r="CD48" s="490">
        <f>CD47*Flags!CD$30</f>
        <v>0</v>
      </c>
      <c r="CE48" s="490">
        <f>CE47*Flags!CE$30</f>
        <v>0</v>
      </c>
      <c r="CF48" s="490">
        <f>CF47*Flags!CF$30</f>
        <v>0</v>
      </c>
      <c r="CG48" s="490">
        <f>CG47*Flags!CG$30</f>
        <v>0</v>
      </c>
      <c r="CH48" s="490">
        <f>CH47*Flags!CH$30</f>
        <v>0</v>
      </c>
      <c r="CI48" s="490">
        <f>CI47*Flags!CI$30</f>
        <v>0</v>
      </c>
      <c r="CJ48" s="490">
        <f>CJ47*Flags!CJ$30</f>
        <v>0</v>
      </c>
      <c r="CK48" s="490">
        <f>CK47*Flags!CK$30</f>
        <v>0</v>
      </c>
      <c r="CL48" s="490">
        <f>CL47*Flags!CL$30</f>
        <v>0</v>
      </c>
      <c r="CM48" s="490">
        <f>CM47*Flags!CM$30</f>
        <v>0</v>
      </c>
      <c r="CN48" s="490">
        <f>CN47*Flags!CN$30</f>
        <v>0</v>
      </c>
      <c r="CO48" s="490">
        <f>CO47*Flags!CO$30</f>
        <v>0</v>
      </c>
      <c r="CP48" s="490">
        <f>CP47*Flags!CP$30</f>
        <v>0</v>
      </c>
      <c r="CQ48" s="490">
        <f>CQ47*Flags!CQ$30</f>
        <v>0</v>
      </c>
      <c r="CR48" s="490">
        <f>CR47*Flags!CR$30</f>
        <v>0</v>
      </c>
      <c r="CS48" s="490">
        <f>CS47*Flags!CS$30</f>
        <v>0</v>
      </c>
      <c r="CT48" s="490">
        <f>CT47*Flags!CT$30</f>
        <v>0</v>
      </c>
      <c r="CU48" s="490">
        <f>CU47*Flags!CU$30</f>
        <v>0</v>
      </c>
      <c r="CV48" s="490">
        <f>CV47*Flags!CV$30</f>
        <v>0</v>
      </c>
      <c r="CW48" s="490">
        <f>CW47*Flags!CW$30</f>
        <v>0</v>
      </c>
      <c r="CX48" s="490">
        <f>CX47*Flags!CX$30</f>
        <v>0</v>
      </c>
      <c r="CY48" s="490">
        <f>CY47*Flags!CY$30</f>
        <v>0</v>
      </c>
      <c r="CZ48" s="490">
        <f>CZ47*Flags!CZ$30</f>
        <v>0</v>
      </c>
      <c r="DA48" s="490">
        <f>DA47*Flags!DA$30</f>
        <v>0</v>
      </c>
      <c r="DB48" s="490">
        <f>DB47*Flags!DB$30</f>
        <v>0</v>
      </c>
      <c r="DC48" s="490">
        <f>DC47*Flags!DC$30</f>
        <v>0</v>
      </c>
      <c r="DD48" s="490">
        <f>DD47*Flags!DD$30</f>
        <v>0</v>
      </c>
      <c r="DE48" s="490">
        <f>DE47*Flags!DE$30</f>
        <v>0</v>
      </c>
      <c r="DF48" s="490">
        <f>DF47*Flags!DF$30</f>
        <v>0</v>
      </c>
      <c r="DG48" s="490">
        <f>DG47*Flags!DG$30</f>
        <v>0</v>
      </c>
      <c r="DH48" s="490">
        <f>DH47*Flags!DH$30</f>
        <v>0</v>
      </c>
      <c r="DI48" s="490">
        <f>DI47*Flags!DI$30</f>
        <v>0</v>
      </c>
      <c r="DJ48" s="490">
        <f>DJ47*Flags!DJ$30</f>
        <v>0</v>
      </c>
      <c r="DK48" s="490">
        <f>DK47*Flags!DK$30</f>
        <v>0</v>
      </c>
      <c r="DL48" s="490">
        <f>DL47*Flags!DL$30</f>
        <v>0</v>
      </c>
      <c r="DM48" s="490">
        <f>DM47*Flags!DM$30</f>
        <v>0</v>
      </c>
      <c r="DN48" s="490">
        <f>DN47*Flags!DN$30</f>
        <v>0</v>
      </c>
      <c r="DO48" s="490">
        <f>DO47*Flags!DO$30</f>
        <v>0</v>
      </c>
      <c r="DP48" s="490">
        <f>DP47*Flags!DP$30</f>
        <v>0</v>
      </c>
      <c r="DQ48" s="490">
        <f>DQ47*Flags!DQ$30</f>
        <v>0</v>
      </c>
      <c r="DR48" s="490">
        <f>DR47*Flags!DR$30</f>
        <v>0</v>
      </c>
      <c r="DS48" s="490">
        <f>DS47*Flags!DS$30</f>
        <v>0</v>
      </c>
      <c r="DT48" s="490">
        <f>DT47*Flags!DT$30</f>
        <v>0</v>
      </c>
      <c r="DU48" s="490">
        <f>DU47*Flags!DU$30</f>
        <v>0</v>
      </c>
      <c r="DV48" s="490">
        <f>DV47*Flags!DV$30</f>
        <v>0</v>
      </c>
      <c r="DW48" s="490">
        <f>DW47*Flags!DW$30</f>
        <v>0</v>
      </c>
      <c r="DX48" s="490">
        <f>DX47*Flags!DX$30</f>
        <v>0</v>
      </c>
      <c r="DY48" s="490">
        <f>DY47*Flags!DY$30</f>
        <v>0</v>
      </c>
    </row>
    <row r="49" spans="2:129" s="43" customFormat="1">
      <c r="C49" s="43" t="s">
        <v>640</v>
      </c>
      <c r="F49" s="126"/>
      <c r="G49" s="126"/>
      <c r="H49" s="126"/>
      <c r="J49" s="490">
        <f>IF(J48=0,IF($E46="USD",I49*(1+Flags!$D$31)^(1/12)-J53,I49-J53),J48-J53)</f>
        <v>0</v>
      </c>
      <c r="K49" s="490">
        <f>IF(K48=0,IF($E46="USD",J49*(1+Flags!$D$31)^(1/12)-K53,J49-K53),K48-K53)</f>
        <v>0</v>
      </c>
      <c r="L49" s="490">
        <f>IF(L48=0,IF($E46="USD",K49*(1+Flags!$D$31)^(1/12)-L53,K49-L53),L48-L53)</f>
        <v>0</v>
      </c>
      <c r="M49" s="490">
        <f>IF(M48=0,IF($E46="USD",L49*(1+Flags!$D$31)^(1/12)-M53,L49-M53),M48-M53)</f>
        <v>0</v>
      </c>
      <c r="N49" s="490">
        <f>IF(N48=0,IF($E46="USD",M49*(1+Flags!$D$31)^(1/12)-N53,M49-N53),N48-N53)</f>
        <v>0</v>
      </c>
      <c r="O49" s="490">
        <f>IF(O48=0,IF($E46="USD",N49*(1+Flags!$D$31)^(1/12)-O53,N49-O53),O48-O53)</f>
        <v>0</v>
      </c>
      <c r="P49" s="490">
        <f>IF(P48=0,IF($E46="USD",O49*(1+Flags!$D$31)^(1/12)-P53,O49-P53),P48-P53)</f>
        <v>0</v>
      </c>
      <c r="Q49" s="490">
        <f>IF(Q48=0,IF($E46="USD",P49*(1+Flags!$D$31)^(1/12)-Q53,P49-Q53),Q48-Q53)</f>
        <v>0</v>
      </c>
      <c r="R49" s="490">
        <f>IF(R48=0,IF($E46="USD",Q49*(1+Flags!$D$31)^(1/12)-R53,Q49-R53),R48-R53)</f>
        <v>0</v>
      </c>
      <c r="S49" s="490">
        <f>IF(S48=0,IF($E46="USD",R49*(1+Flags!$D$31)^(1/12)-S53,R49-S53),S48-S53)</f>
        <v>0</v>
      </c>
      <c r="T49" s="490">
        <f>IF(T48=0,IF($E46="USD",S49*(1+Flags!$D$31)^(1/12)-T53,S49-T53),T48-T53)</f>
        <v>0</v>
      </c>
      <c r="U49" s="490">
        <f>IF(U48=0,IF($E46="USD",T49*(1+Flags!$D$31)^(1/12)-U53,T49-U53),U48-U53)</f>
        <v>0</v>
      </c>
      <c r="V49" s="490">
        <f>IF(V48=0,IF($E46="USD",U49*(1+Flags!$D$31)^(1/12)-V53,U49-V53),V48-V53)</f>
        <v>0</v>
      </c>
      <c r="W49" s="490">
        <f>IF(W48=0,IF($E46="USD",V49*(1+Flags!$D$31)^(1/12)-W53,V49-W53),W48-W53)</f>
        <v>0</v>
      </c>
      <c r="X49" s="490">
        <f>IF(X48=0,IF($E46="USD",W49*(1+Flags!$D$31)^(1/12)-X53,W49-X53),X48-X53)</f>
        <v>0</v>
      </c>
      <c r="Y49" s="490">
        <f>IF(Y48=0,IF($E46="USD",X49*(1+Flags!$D$31)^(1/12)-Y53,X49-Y53),Y48-Y53)</f>
        <v>0</v>
      </c>
      <c r="Z49" s="490">
        <f>IF(Z48=0,IF($E46="USD",Y49*(1+Flags!$D$31)^(1/12)-Z53,Y49-Z53),Z48-Z53)</f>
        <v>0</v>
      </c>
      <c r="AA49" s="490">
        <f>IF(AA48=0,IF($E46="USD",Z49*(1+Flags!$D$31)^(1/12)-AA53,Z49-AA53),AA48-AA53)</f>
        <v>0</v>
      </c>
      <c r="AB49" s="490">
        <f>IF(AB48=0,IF($E46="USD",AA49*(1+Flags!$D$31)^(1/12)-AB53,AA49-AB53),AB48-AB53)</f>
        <v>0</v>
      </c>
      <c r="AC49" s="490">
        <f>IF(AC48=0,IF($E46="USD",AB49*(1+Flags!$D$31)^(1/12)-AC53,AB49-AC53),AC48-AC53)</f>
        <v>0</v>
      </c>
      <c r="AD49" s="490">
        <f>IF(AD48=0,IF($E46="USD",AC49*(1+Flags!$D$31)^(1/12)-AD53,AC49-AD53),AD48-AD53)</f>
        <v>0</v>
      </c>
      <c r="AE49" s="490">
        <f>IF(AE48=0,IF($E46="USD",AD49*(1+Flags!$D$31)^(1/12)-AE53,AD49-AE53),AE48-AE53)</f>
        <v>0</v>
      </c>
      <c r="AF49" s="490">
        <f>IF(AF48=0,IF($E46="USD",AE49*(1+Flags!$D$31)^(1/12)-AF53,AE49-AF53),AF48-AF53)</f>
        <v>0</v>
      </c>
      <c r="AG49" s="490">
        <f>IF(AG48=0,IF($E46="USD",AF49*(1+Flags!$D$31)^(1/12)-AG53,AF49-AG53),AG48-AG53)</f>
        <v>0</v>
      </c>
      <c r="AH49" s="490">
        <f>IF(AH48=0,IF($E46="USD",AG49*(1+Flags!$D$31)^(1/12)-AH53,AG49-AH53),AH48-AH53)</f>
        <v>25000000</v>
      </c>
      <c r="AI49" s="490">
        <f>IF(AI48=0,IF($E46="USD",AH49*(1+Flags!$D$31)^(1/12)-AI53,AH49-AI53),AI48-AI53)</f>
        <v>25000000</v>
      </c>
      <c r="AJ49" s="490">
        <f>IF(AJ48=0,IF($E46="USD",AI49*(1+Flags!$D$31)^(1/12)-AJ53,AI49-AJ53),AJ48-AJ53)</f>
        <v>25000000</v>
      </c>
      <c r="AK49" s="490">
        <f>IF(AK48=0,IF($E46="USD",AJ49*(1+Flags!$D$31)^(1/12)-AK53,AJ49-AK53),AK48-AK53)</f>
        <v>25000000</v>
      </c>
      <c r="AL49" s="490">
        <f>IF(AL48=0,IF($E46="USD",AK49*(1+Flags!$D$31)^(1/12)-AL53,AK49-AL53),AL48-AL53)</f>
        <v>25000000</v>
      </c>
      <c r="AM49" s="490">
        <f>IF(AM48=0,IF($E46="USD",AL49*(1+Flags!$D$31)^(1/12)-AM53,AL49-AM53),AM48-AM53)</f>
        <v>25000000</v>
      </c>
      <c r="AN49" s="490">
        <f>IF(AN48=0,IF($E46="USD",AM49*(1+Flags!$D$31)^(1/12)-AN53,AM49-AN53),AN48-AN53)</f>
        <v>24537037.037037037</v>
      </c>
      <c r="AO49" s="490">
        <f>IF(AO48=0,IF($E46="USD",AN49*(1+Flags!$D$31)^(1/12)-AO53,AN49-AO53),AO48-AO53)</f>
        <v>24074074.074074075</v>
      </c>
      <c r="AP49" s="490">
        <f>IF(AP48=0,IF($E46="USD",AO49*(1+Flags!$D$31)^(1/12)-AP53,AO49-AP53),AP48-AP53)</f>
        <v>23611111.111111112</v>
      </c>
      <c r="AQ49" s="490">
        <f>IF(AQ48=0,IF($E46="USD",AP49*(1+Flags!$D$31)^(1/12)-AQ53,AP49-AQ53),AQ48-AQ53)</f>
        <v>23148148.148148149</v>
      </c>
      <c r="AR49" s="490">
        <f>IF(AR48=0,IF($E46="USD",AQ49*(1+Flags!$D$31)^(1/12)-AR53,AQ49-AR53),AR48-AR53)</f>
        <v>22685185.185185187</v>
      </c>
      <c r="AS49" s="490">
        <f>IF(AS48=0,IF($E46="USD",AR49*(1+Flags!$D$31)^(1/12)-AS53,AR49-AS53),AS48-AS53)</f>
        <v>22222222.222222224</v>
      </c>
      <c r="AT49" s="490">
        <f>IF(AT48=0,IF($E46="USD",AS49*(1+Flags!$D$31)^(1/12)-AT53,AS49-AT53),AT48-AT53)</f>
        <v>21759259.259259261</v>
      </c>
      <c r="AU49" s="490">
        <f>IF(AU48=0,IF($E46="USD",AT49*(1+Flags!$D$31)^(1/12)-AU53,AT49-AU53),AU48-AU53)</f>
        <v>21296296.296296299</v>
      </c>
      <c r="AV49" s="490">
        <f>IF(AV48=0,IF($E46="USD",AU49*(1+Flags!$D$31)^(1/12)-AV53,AU49-AV53),AV48-AV53)</f>
        <v>20833333.333333336</v>
      </c>
      <c r="AW49" s="490">
        <f>IF(AW48=0,IF($E46="USD",AV49*(1+Flags!$D$31)^(1/12)-AW53,AV49-AW53),AW48-AW53)</f>
        <v>20370370.370370373</v>
      </c>
      <c r="AX49" s="490">
        <f>IF(AX48=0,IF($E46="USD",AW49*(1+Flags!$D$31)^(1/12)-AX53,AW49-AX53),AX48-AX53)</f>
        <v>19907407.40740741</v>
      </c>
      <c r="AY49" s="490">
        <f>IF(AY48=0,IF($E46="USD",AX49*(1+Flags!$D$31)^(1/12)-AY53,AX49-AY53),AY48-AY53)</f>
        <v>19444444.444444448</v>
      </c>
      <c r="AZ49" s="490">
        <f>IF(AZ48=0,IF($E46="USD",AY49*(1+Flags!$D$31)^(1/12)-AZ53,AY49-AZ53),AZ48-AZ53)</f>
        <v>18981481.481481485</v>
      </c>
      <c r="BA49" s="490">
        <f>IF(BA48=0,IF($E46="USD",AZ49*(1+Flags!$D$31)^(1/12)-BA53,AZ49-BA53),BA48-BA53)</f>
        <v>18518518.518518522</v>
      </c>
      <c r="BB49" s="490">
        <f>IF(BB48=0,IF($E46="USD",BA49*(1+Flags!$D$31)^(1/12)-BB53,BA49-BB53),BB48-BB53)</f>
        <v>18055555.55555556</v>
      </c>
      <c r="BC49" s="490">
        <f>IF(BC48=0,IF($E46="USD",BB49*(1+Flags!$D$31)^(1/12)-BC53,BB49-BC53),BC48-BC53)</f>
        <v>17592592.592592597</v>
      </c>
      <c r="BD49" s="490">
        <f>IF(BD48=0,IF($E46="USD",BC49*(1+Flags!$D$31)^(1/12)-BD53,BC49-BD53),BD48-BD53)</f>
        <v>17129629.629629634</v>
      </c>
      <c r="BE49" s="490">
        <f>IF(BE48=0,IF($E46="USD",BD49*(1+Flags!$D$31)^(1/12)-BE53,BD49-BE53),BE48-BE53)</f>
        <v>16666666.666666672</v>
      </c>
      <c r="BF49" s="490">
        <f>IF(BF48=0,IF($E46="USD",BE49*(1+Flags!$D$31)^(1/12)-BF53,BE49-BF53),BF48-BF53)</f>
        <v>16203703.703703709</v>
      </c>
      <c r="BG49" s="490">
        <f>IF(BG48=0,IF($E46="USD",BF49*(1+Flags!$D$31)^(1/12)-BG53,BF49-BG53),BG48-BG53)</f>
        <v>15740740.740740746</v>
      </c>
      <c r="BH49" s="490">
        <f>IF(BH48=0,IF($E46="USD",BG49*(1+Flags!$D$31)^(1/12)-BH53,BG49-BH53),BH48-BH53)</f>
        <v>15277777.777777784</v>
      </c>
      <c r="BI49" s="490">
        <f>IF(BI48=0,IF($E46="USD",BH49*(1+Flags!$D$31)^(1/12)-BI53,BH49-BI53),BI48-BI53)</f>
        <v>14814814.814814821</v>
      </c>
      <c r="BJ49" s="490">
        <f>IF(BJ48=0,IF($E46="USD",BI49*(1+Flags!$D$31)^(1/12)-BJ53,BI49-BJ53),BJ48-BJ53)</f>
        <v>14351851.851851858</v>
      </c>
      <c r="BK49" s="490">
        <f>IF(BK48=0,IF($E46="USD",BJ49*(1+Flags!$D$31)^(1/12)-BK53,BJ49-BK53),BK48-BK53)</f>
        <v>13888888.888888896</v>
      </c>
      <c r="BL49" s="490">
        <f>IF(BL48=0,IF($E46="USD",BK49*(1+Flags!$D$31)^(1/12)-BL53,BK49-BL53),BL48-BL53)</f>
        <v>13425925.925925933</v>
      </c>
      <c r="BM49" s="490">
        <f>IF(BM48=0,IF($E46="USD",BL49*(1+Flags!$D$31)^(1/12)-BM53,BL49-BM53),BM48-BM53)</f>
        <v>12962962.96296297</v>
      </c>
      <c r="BN49" s="490">
        <f>IF(BN48=0,IF($E46="USD",BM49*(1+Flags!$D$31)^(1/12)-BN53,BM49-BN53),BN48-BN53)</f>
        <v>12500000.000000007</v>
      </c>
      <c r="BO49" s="490">
        <f>IF(BO48=0,IF($E46="USD",BN49*(1+Flags!$D$31)^(1/12)-BO53,BN49-BO53),BO48-BO53)</f>
        <v>12037037.037037045</v>
      </c>
      <c r="BP49" s="490">
        <f>IF(BP48=0,IF($E46="USD",BO49*(1+Flags!$D$31)^(1/12)-BP53,BO49-BP53),BP48-BP53)</f>
        <v>11574074.074074082</v>
      </c>
      <c r="BQ49" s="490">
        <f>IF(BQ48=0,IF($E46="USD",BP49*(1+Flags!$D$31)^(1/12)-BQ53,BP49-BQ53),BQ48-BQ53)</f>
        <v>11111111.111111119</v>
      </c>
      <c r="BR49" s="490">
        <f>IF(BR48=0,IF($E46="USD",BQ49*(1+Flags!$D$31)^(1/12)-BR53,BQ49-BR53),BR48-BR53)</f>
        <v>10648148.148148157</v>
      </c>
      <c r="BS49" s="490">
        <f>IF(BS48=0,IF($E46="USD",BR49*(1+Flags!$D$31)^(1/12)-BS53,BR49-BS53),BS48-BS53)</f>
        <v>10185185.185185194</v>
      </c>
      <c r="BT49" s="490">
        <f>IF(BT48=0,IF($E46="USD",BS49*(1+Flags!$D$31)^(1/12)-BT53,BS49-BT53),BT48-BT53)</f>
        <v>9722222.2222222313</v>
      </c>
      <c r="BU49" s="490">
        <f>IF(BU48=0,IF($E46="USD",BT49*(1+Flags!$D$31)^(1/12)-BU53,BT49-BU53),BU48-BU53)</f>
        <v>9259259.2592592686</v>
      </c>
      <c r="BV49" s="490">
        <f>IF(BV48=0,IF($E46="USD",BU49*(1+Flags!$D$31)^(1/12)-BV53,BU49-BV53),BV48-BV53)</f>
        <v>8796296.296296306</v>
      </c>
      <c r="BW49" s="490">
        <f>IF(BW48=0,IF($E46="USD",BV49*(1+Flags!$D$31)^(1/12)-BW53,BV49-BW53),BW48-BW53)</f>
        <v>8333333.3333333433</v>
      </c>
      <c r="BX49" s="490">
        <f>IF(BX48=0,IF($E46="USD",BW49*(1+Flags!$D$31)^(1/12)-BX53,BW49-BX53),BX48-BX53)</f>
        <v>7870370.3703703806</v>
      </c>
      <c r="BY49" s="490">
        <f>IF(BY48=0,IF($E46="USD",BX49*(1+Flags!$D$31)^(1/12)-BY53,BX49-BY53),BY48-BY53)</f>
        <v>7407407.4074074179</v>
      </c>
      <c r="BZ49" s="490">
        <f>IF(BZ48=0,IF($E46="USD",BY49*(1+Flags!$D$31)^(1/12)-BZ53,BY49-BZ53),BZ48-BZ53)</f>
        <v>6944444.4444444552</v>
      </c>
      <c r="CA49" s="490">
        <f>IF(CA48=0,IF($E46="USD",BZ49*(1+Flags!$D$31)^(1/12)-CA53,BZ49-CA53),CA48-CA53)</f>
        <v>6481481.4814814925</v>
      </c>
      <c r="CB49" s="490">
        <f>IF(CB48=0,IF($E46="USD",CA49*(1+Flags!$D$31)^(1/12)-CB53,CA49-CB53),CB48-CB53)</f>
        <v>6018518.5185185298</v>
      </c>
      <c r="CC49" s="490">
        <f>IF(CC48=0,IF($E46="USD",CB49*(1+Flags!$D$31)^(1/12)-CC53,CB49-CC53),CC48-CC53)</f>
        <v>5555555.5555555671</v>
      </c>
      <c r="CD49" s="490">
        <f>IF(CD48=0,IF($E46="USD",CC49*(1+Flags!$D$31)^(1/12)-CD53,CC49-CD53),CD48-CD53)</f>
        <v>5092592.5925926045</v>
      </c>
      <c r="CE49" s="490">
        <f>IF(CE48=0,IF($E46="USD",CD49*(1+Flags!$D$31)^(1/12)-CE53,CD49-CE53),CE48-CE53)</f>
        <v>4629629.6296296418</v>
      </c>
      <c r="CF49" s="490">
        <f>IF(CF48=0,IF($E46="USD",CE49*(1+Flags!$D$31)^(1/12)-CF53,CE49-CF53),CF48-CF53)</f>
        <v>4166666.6666666786</v>
      </c>
      <c r="CG49" s="490">
        <f>IF(CG48=0,IF($E46="USD",CF49*(1+Flags!$D$31)^(1/12)-CG53,CF49-CG53),CG48-CG53)</f>
        <v>3703703.7037037155</v>
      </c>
      <c r="CH49" s="490">
        <f>IF(CH48=0,IF($E46="USD",CG49*(1+Flags!$D$31)^(1/12)-CH53,CG49-CH53),CH48-CH53)</f>
        <v>3240740.7407407523</v>
      </c>
      <c r="CI49" s="490">
        <f>IF(CI48=0,IF($E46="USD",CH49*(1+Flags!$D$31)^(1/12)-CI53,CH49-CI53),CI48-CI53)</f>
        <v>2777777.7777777892</v>
      </c>
      <c r="CJ49" s="490">
        <f>IF(CJ48=0,IF($E46="USD",CI49*(1+Flags!$D$31)^(1/12)-CJ53,CI49-CJ53),CJ48-CJ53)</f>
        <v>2314814.814814826</v>
      </c>
      <c r="CK49" s="490">
        <f>IF(CK48=0,IF($E46="USD",CJ49*(1+Flags!$D$31)^(1/12)-CK53,CJ49-CK53),CK48-CK53)</f>
        <v>1851851.8518518631</v>
      </c>
      <c r="CL49" s="490">
        <f>IF(CL48=0,IF($E46="USD",CK49*(1+Flags!$D$31)^(1/12)-CL53,CK49-CL53),CL48-CL53)</f>
        <v>1388888.8888889002</v>
      </c>
      <c r="CM49" s="490">
        <f>IF(CM48=0,IF($E46="USD",CL49*(1+Flags!$D$31)^(1/12)-CM53,CL49-CM53),CM48-CM53)</f>
        <v>925925.92592593725</v>
      </c>
      <c r="CN49" s="490">
        <f>IF(CN48=0,IF($E46="USD",CM49*(1+Flags!$D$31)^(1/12)-CN53,CM49-CN53),CN48-CN53)</f>
        <v>462962.96296297427</v>
      </c>
      <c r="CO49" s="490">
        <f>IF(CO48=0,IF($E46="USD",CN49*(1+Flags!$D$31)^(1/12)-CO53,CN49-CO53),CO48-CO53)</f>
        <v>1.1292286217212677E-8</v>
      </c>
      <c r="CP49" s="490">
        <f>IF(CP48=0,IF($E46="USD",CO49*(1+Flags!$D$31)^(1/12)-CP53,CO49-CP53),CP48-CP53)</f>
        <v>1.1292286217212677E-8</v>
      </c>
      <c r="CQ49" s="490">
        <f>IF(CQ48=0,IF($E46="USD",CP49*(1+Flags!$D$31)^(1/12)-CQ53,CP49-CQ53),CQ48-CQ53)</f>
        <v>1.1292286217212677E-8</v>
      </c>
      <c r="CR49" s="490">
        <f>IF(CR48=0,IF($E46="USD",CQ49*(1+Flags!$D$31)^(1/12)-CR53,CQ49-CR53),CR48-CR53)</f>
        <v>1.1292286217212677E-8</v>
      </c>
      <c r="CS49" s="490">
        <f>IF(CS48=0,IF($E46="USD",CR49*(1+Flags!$D$31)^(1/12)-CS53,CR49-CS53),CS48-CS53)</f>
        <v>1.1292286217212677E-8</v>
      </c>
      <c r="CT49" s="490">
        <f>IF(CT48=0,IF($E46="USD",CS49*(1+Flags!$D$31)^(1/12)-CT53,CS49-CT53),CT48-CT53)</f>
        <v>1.1292286217212677E-8</v>
      </c>
      <c r="CU49" s="490">
        <f>IF(CU48=0,IF($E46="USD",CT49*(1+Flags!$D$31)^(1/12)-CU53,CT49-CU53),CU48-CU53)</f>
        <v>1.1292286217212677E-8</v>
      </c>
      <c r="CV49" s="490">
        <f>IF(CV48=0,IF($E46="USD",CU49*(1+Flags!$D$31)^(1/12)-CV53,CU49-CV53),CV48-CV53)</f>
        <v>1.1292286217212677E-8</v>
      </c>
      <c r="CW49" s="490">
        <f>IF(CW48=0,IF($E46="USD",CV49*(1+Flags!$D$31)^(1/12)-CW53,CV49-CW53),CW48-CW53)</f>
        <v>1.1292286217212677E-8</v>
      </c>
      <c r="CX49" s="490">
        <f>IF(CX48=0,IF($E46="USD",CW49*(1+Flags!$D$31)^(1/12)-CX53,CW49-CX53),CX48-CX53)</f>
        <v>1.1292286217212677E-8</v>
      </c>
      <c r="CY49" s="490">
        <f>IF(CY48=0,IF($E46="USD",CX49*(1+Flags!$D$31)^(1/12)-CY53,CX49-CY53),CY48-CY53)</f>
        <v>1.1292286217212677E-8</v>
      </c>
      <c r="CZ49" s="490">
        <f>IF(CZ48=0,IF($E46="USD",CY49*(1+Flags!$D$31)^(1/12)-CZ53,CY49-CZ53),CZ48-CZ53)</f>
        <v>1.1292286217212677E-8</v>
      </c>
      <c r="DA49" s="490">
        <f>IF(DA48=0,IF($E46="USD",CZ49*(1+Flags!$D$31)^(1/12)-DA53,CZ49-DA53),DA48-DA53)</f>
        <v>1.1292286217212677E-8</v>
      </c>
      <c r="DB49" s="490">
        <f>IF(DB48=0,IF($E46="USD",DA49*(1+Flags!$D$31)^(1/12)-DB53,DA49-DB53),DB48-DB53)</f>
        <v>1.1292286217212677E-8</v>
      </c>
      <c r="DC49" s="490">
        <f>IF(DC48=0,IF($E46="USD",DB49*(1+Flags!$D$31)^(1/12)-DC53,DB49-DC53),DC48-DC53)</f>
        <v>1.1292286217212677E-8</v>
      </c>
      <c r="DD49" s="490">
        <f>IF(DD48=0,IF($E46="USD",DC49*(1+Flags!$D$31)^(1/12)-DD53,DC49-DD53),DD48-DD53)</f>
        <v>1.1292286217212677E-8</v>
      </c>
      <c r="DE49" s="490">
        <f>IF(DE48=0,IF($E46="USD",DD49*(1+Flags!$D$31)^(1/12)-DE53,DD49-DE53),DE48-DE53)</f>
        <v>1.1292286217212677E-8</v>
      </c>
      <c r="DF49" s="490">
        <f>IF(DF48=0,IF($E46="USD",DE49*(1+Flags!$D$31)^(1/12)-DF53,DE49-DF53),DF48-DF53)</f>
        <v>1.1292286217212677E-8</v>
      </c>
      <c r="DG49" s="490">
        <f>IF(DG48=0,IF($E46="USD",DF49*(1+Flags!$D$31)^(1/12)-DG53,DF49-DG53),DG48-DG53)</f>
        <v>1.1292286217212677E-8</v>
      </c>
      <c r="DH49" s="490">
        <f>IF(DH48=0,IF($E46="USD",DG49*(1+Flags!$D$31)^(1/12)-DH53,DG49-DH53),DH48-DH53)</f>
        <v>1.1292286217212677E-8</v>
      </c>
      <c r="DI49" s="490">
        <f>IF(DI48=0,IF($E46="USD",DH49*(1+Flags!$D$31)^(1/12)-DI53,DH49-DI53),DI48-DI53)</f>
        <v>1.1292286217212677E-8</v>
      </c>
      <c r="DJ49" s="490">
        <f>IF(DJ48=0,IF($E46="USD",DI49*(1+Flags!$D$31)^(1/12)-DJ53,DI49-DJ53),DJ48-DJ53)</f>
        <v>1.1292286217212677E-8</v>
      </c>
      <c r="DK49" s="490">
        <f>IF(DK48=0,IF($E46="USD",DJ49*(1+Flags!$D$31)^(1/12)-DK53,DJ49-DK53),DK48-DK53)</f>
        <v>1.1292286217212677E-8</v>
      </c>
      <c r="DL49" s="490">
        <f>IF(DL48=0,IF($E46="USD",DK49*(1+Flags!$D$31)^(1/12)-DL53,DK49-DL53),DL48-DL53)</f>
        <v>1.1292286217212677E-8</v>
      </c>
      <c r="DM49" s="490">
        <f>IF(DM48=0,IF($E46="USD",DL49*(1+Flags!$D$31)^(1/12)-DM53,DL49-DM53),DM48-DM53)</f>
        <v>1.1292286217212677E-8</v>
      </c>
      <c r="DN49" s="490">
        <f>IF(DN48=0,IF($E46="USD",DM49*(1+Flags!$D$31)^(1/12)-DN53,DM49-DN53),DN48-DN53)</f>
        <v>1.1292286217212677E-8</v>
      </c>
      <c r="DO49" s="490">
        <f>IF(DO48=0,IF($E46="USD",DN49*(1+Flags!$D$31)^(1/12)-DO53,DN49-DO53),DO48-DO53)</f>
        <v>1.1292286217212677E-8</v>
      </c>
      <c r="DP49" s="490">
        <f>IF(DP48=0,IF($E46="USD",DO49*(1+Flags!$D$31)^(1/12)-DP53,DO49-DP53),DP48-DP53)</f>
        <v>1.1292286217212677E-8</v>
      </c>
      <c r="DQ49" s="490">
        <f>IF(DQ48=0,IF($E46="USD",DP49*(1+Flags!$D$31)^(1/12)-DQ53,DP49-DQ53),DQ48-DQ53)</f>
        <v>1.1292286217212677E-8</v>
      </c>
      <c r="DR49" s="490">
        <f>IF(DR48=0,IF($E46="USD",DQ49*(1+Flags!$D$31)^(1/12)-DR53,DQ49-DR53),DR48-DR53)</f>
        <v>1.1292286217212677E-8</v>
      </c>
      <c r="DS49" s="490">
        <f>IF(DS48=0,IF($E46="USD",DR49*(1+Flags!$D$31)^(1/12)-DS53,DR49-DS53),DS48-DS53)</f>
        <v>1.1292286217212677E-8</v>
      </c>
      <c r="DT49" s="490">
        <f>IF(DT48=0,IF($E46="USD",DS49*(1+Flags!$D$31)^(1/12)-DT53,DS49-DT53),DT48-DT53)</f>
        <v>1.1292286217212677E-8</v>
      </c>
      <c r="DU49" s="490">
        <f>IF(DU48=0,IF($E46="USD",DT49*(1+Flags!$D$31)^(1/12)-DU53,DT49-DU53),DU48-DU53)</f>
        <v>1.1292286217212677E-8</v>
      </c>
      <c r="DV49" s="490">
        <f>IF(DV48=0,IF($E46="USD",DU49*(1+Flags!$D$31)^(1/12)-DV53,DU49-DV53),DV48-DV53)</f>
        <v>1.1292286217212677E-8</v>
      </c>
      <c r="DW49" s="490">
        <f>IF(DW48=0,IF($E46="USD",DV49*(1+Flags!$D$31)^(1/12)-DW53,DV49-DW53),DW48-DW53)</f>
        <v>1.1292286217212677E-8</v>
      </c>
      <c r="DX49" s="490">
        <f>IF(DX48=0,IF($E46="USD",DW49*(1+Flags!$D$31)^(1/12)-DX53,DW49-DX53),DX48-DX53)</f>
        <v>1.1292286217212677E-8</v>
      </c>
      <c r="DY49" s="490">
        <f>IF(DY48=0,IF($E46="USD",DX49*(1+Flags!$D$31)^(1/12)-DY53,DX49-DY53),DY48-DY53)</f>
        <v>1.1292286217212677E-8</v>
      </c>
    </row>
    <row r="50" spans="2:129" s="43" customFormat="1">
      <c r="C50" s="43" t="s">
        <v>388</v>
      </c>
      <c r="E50" s="482">
        <f>+'Model Assumptions'!G138</f>
        <v>46296.296296296299</v>
      </c>
      <c r="F50" s="126"/>
      <c r="G50" s="126"/>
      <c r="H50" s="12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row>
    <row r="51" spans="2:129" s="43" customFormat="1">
      <c r="C51" s="43" t="s">
        <v>87</v>
      </c>
      <c r="E51" s="483">
        <f>+'Model Assumptions'!G139</f>
        <v>0.5</v>
      </c>
      <c r="F51" s="129"/>
      <c r="G51" s="129"/>
      <c r="H51" s="129"/>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row>
    <row r="52" spans="2:129" s="43" customFormat="1">
      <c r="C52" s="43" t="s">
        <v>395</v>
      </c>
      <c r="E52" s="484">
        <f>+'Model Assumptions'!G140</f>
        <v>5</v>
      </c>
      <c r="F52" s="130"/>
      <c r="G52" s="130"/>
      <c r="H52" s="130"/>
      <c r="J52" s="46">
        <f>+IF(AND(J$1&gt;=DATE(YEAR($E45), MONTH($E45) + $E51*12, DAY($E45)),J$1&lt;DATE(YEAR($E45), MONTH($E45) + $E52*12, DAY($E45))),$E50,0)</f>
        <v>0</v>
      </c>
      <c r="K52" s="46">
        <f t="shared" ref="K52:BV52" si="42">+IF(AND(K$1&gt;=DATE(YEAR($E45), MONTH($E45) + $E51*12, DAY($E45)),K$1&lt;DATE(YEAR($E45), MONTH($E45) + $E52*12, DAY($E45))),$E50,0)</f>
        <v>0</v>
      </c>
      <c r="L52" s="46">
        <f t="shared" si="42"/>
        <v>0</v>
      </c>
      <c r="M52" s="46">
        <f t="shared" si="42"/>
        <v>0</v>
      </c>
      <c r="N52" s="46">
        <f t="shared" si="42"/>
        <v>0</v>
      </c>
      <c r="O52" s="46">
        <f t="shared" si="42"/>
        <v>0</v>
      </c>
      <c r="P52" s="46">
        <f t="shared" si="42"/>
        <v>0</v>
      </c>
      <c r="Q52" s="46">
        <f t="shared" si="42"/>
        <v>0</v>
      </c>
      <c r="R52" s="46">
        <f t="shared" si="42"/>
        <v>0</v>
      </c>
      <c r="S52" s="46">
        <f t="shared" si="42"/>
        <v>0</v>
      </c>
      <c r="T52" s="46">
        <f t="shared" si="42"/>
        <v>0</v>
      </c>
      <c r="U52" s="46">
        <f t="shared" si="42"/>
        <v>0</v>
      </c>
      <c r="V52" s="46">
        <f t="shared" si="42"/>
        <v>0</v>
      </c>
      <c r="W52" s="46">
        <f t="shared" si="42"/>
        <v>0</v>
      </c>
      <c r="X52" s="46">
        <f t="shared" si="42"/>
        <v>0</v>
      </c>
      <c r="Y52" s="46">
        <f t="shared" si="42"/>
        <v>0</v>
      </c>
      <c r="Z52" s="46">
        <f t="shared" si="42"/>
        <v>0</v>
      </c>
      <c r="AA52" s="46">
        <f t="shared" si="42"/>
        <v>0</v>
      </c>
      <c r="AB52" s="46">
        <f t="shared" si="42"/>
        <v>0</v>
      </c>
      <c r="AC52" s="46">
        <f t="shared" si="42"/>
        <v>0</v>
      </c>
      <c r="AD52" s="46">
        <f t="shared" si="42"/>
        <v>0</v>
      </c>
      <c r="AE52" s="46">
        <f t="shared" si="42"/>
        <v>0</v>
      </c>
      <c r="AF52" s="46">
        <f t="shared" si="42"/>
        <v>0</v>
      </c>
      <c r="AG52" s="46">
        <f t="shared" si="42"/>
        <v>0</v>
      </c>
      <c r="AH52" s="46">
        <f t="shared" si="42"/>
        <v>0</v>
      </c>
      <c r="AI52" s="46">
        <f t="shared" si="42"/>
        <v>0</v>
      </c>
      <c r="AJ52" s="46">
        <f t="shared" si="42"/>
        <v>0</v>
      </c>
      <c r="AK52" s="46">
        <f t="shared" si="42"/>
        <v>0</v>
      </c>
      <c r="AL52" s="46">
        <f t="shared" si="42"/>
        <v>0</v>
      </c>
      <c r="AM52" s="46">
        <f t="shared" si="42"/>
        <v>0</v>
      </c>
      <c r="AN52" s="46">
        <f t="shared" si="42"/>
        <v>46296.296296296299</v>
      </c>
      <c r="AO52" s="46">
        <f t="shared" si="42"/>
        <v>46296.296296296299</v>
      </c>
      <c r="AP52" s="46">
        <f t="shared" si="42"/>
        <v>46296.296296296299</v>
      </c>
      <c r="AQ52" s="46">
        <f t="shared" si="42"/>
        <v>46296.296296296299</v>
      </c>
      <c r="AR52" s="46">
        <f t="shared" si="42"/>
        <v>46296.296296296299</v>
      </c>
      <c r="AS52" s="46">
        <f t="shared" si="42"/>
        <v>46296.296296296299</v>
      </c>
      <c r="AT52" s="46">
        <f t="shared" si="42"/>
        <v>46296.296296296299</v>
      </c>
      <c r="AU52" s="46">
        <f t="shared" si="42"/>
        <v>46296.296296296299</v>
      </c>
      <c r="AV52" s="46">
        <f t="shared" si="42"/>
        <v>46296.296296296299</v>
      </c>
      <c r="AW52" s="46">
        <f t="shared" si="42"/>
        <v>46296.296296296299</v>
      </c>
      <c r="AX52" s="46">
        <f t="shared" si="42"/>
        <v>46296.296296296299</v>
      </c>
      <c r="AY52" s="46">
        <f t="shared" si="42"/>
        <v>46296.296296296299</v>
      </c>
      <c r="AZ52" s="46">
        <f t="shared" si="42"/>
        <v>46296.296296296299</v>
      </c>
      <c r="BA52" s="46">
        <f t="shared" si="42"/>
        <v>46296.296296296299</v>
      </c>
      <c r="BB52" s="46">
        <f t="shared" si="42"/>
        <v>46296.296296296299</v>
      </c>
      <c r="BC52" s="46">
        <f t="shared" si="42"/>
        <v>46296.296296296299</v>
      </c>
      <c r="BD52" s="46">
        <f t="shared" si="42"/>
        <v>46296.296296296299</v>
      </c>
      <c r="BE52" s="46">
        <f t="shared" si="42"/>
        <v>46296.296296296299</v>
      </c>
      <c r="BF52" s="46">
        <f t="shared" si="42"/>
        <v>46296.296296296299</v>
      </c>
      <c r="BG52" s="46">
        <f t="shared" si="42"/>
        <v>46296.296296296299</v>
      </c>
      <c r="BH52" s="46">
        <f t="shared" si="42"/>
        <v>46296.296296296299</v>
      </c>
      <c r="BI52" s="46">
        <f t="shared" si="42"/>
        <v>46296.296296296299</v>
      </c>
      <c r="BJ52" s="46">
        <f t="shared" si="42"/>
        <v>46296.296296296299</v>
      </c>
      <c r="BK52" s="46">
        <f t="shared" si="42"/>
        <v>46296.296296296299</v>
      </c>
      <c r="BL52" s="46">
        <f t="shared" si="42"/>
        <v>46296.296296296299</v>
      </c>
      <c r="BM52" s="46">
        <f t="shared" si="42"/>
        <v>46296.296296296299</v>
      </c>
      <c r="BN52" s="46">
        <f t="shared" si="42"/>
        <v>46296.296296296299</v>
      </c>
      <c r="BO52" s="46">
        <f t="shared" si="42"/>
        <v>46296.296296296299</v>
      </c>
      <c r="BP52" s="46">
        <f t="shared" si="42"/>
        <v>46296.296296296299</v>
      </c>
      <c r="BQ52" s="46">
        <f t="shared" si="42"/>
        <v>46296.296296296299</v>
      </c>
      <c r="BR52" s="46">
        <f t="shared" si="42"/>
        <v>46296.296296296299</v>
      </c>
      <c r="BS52" s="46">
        <f t="shared" si="42"/>
        <v>46296.296296296299</v>
      </c>
      <c r="BT52" s="46">
        <f t="shared" si="42"/>
        <v>46296.296296296299</v>
      </c>
      <c r="BU52" s="46">
        <f t="shared" si="42"/>
        <v>46296.296296296299</v>
      </c>
      <c r="BV52" s="46">
        <f t="shared" si="42"/>
        <v>46296.296296296299</v>
      </c>
      <c r="BW52" s="46">
        <f t="shared" ref="BW52:CC52" si="43">+IF(AND(BW$1&gt;=DATE(YEAR($E45), MONTH($E45) + $E51*12, DAY($E45)),BW$1&lt;DATE(YEAR($E45), MONTH($E45) + $E52*12, DAY($E45))),$E50,0)</f>
        <v>46296.296296296299</v>
      </c>
      <c r="BX52" s="46">
        <f t="shared" si="43"/>
        <v>46296.296296296299</v>
      </c>
      <c r="BY52" s="46">
        <f t="shared" si="43"/>
        <v>46296.296296296299</v>
      </c>
      <c r="BZ52" s="46">
        <f t="shared" si="43"/>
        <v>46296.296296296299</v>
      </c>
      <c r="CA52" s="46">
        <f t="shared" si="43"/>
        <v>46296.296296296299</v>
      </c>
      <c r="CB52" s="46">
        <f t="shared" si="43"/>
        <v>46296.296296296299</v>
      </c>
      <c r="CC52" s="46">
        <f t="shared" si="43"/>
        <v>46296.296296296299</v>
      </c>
      <c r="CD52" s="46">
        <f t="shared" ref="CD52:DY52" si="44">+IF(AND(CD$1&gt;=DATE(YEAR($E45), MONTH($E45) + $E51*12, DAY($E45)),CD$1&lt;DATE(YEAR($E45), MONTH($E45) + $E52*12, DAY($E45))),$E50,0)</f>
        <v>46296.296296296299</v>
      </c>
      <c r="CE52" s="46">
        <f t="shared" si="44"/>
        <v>46296.296296296299</v>
      </c>
      <c r="CF52" s="46">
        <f t="shared" si="44"/>
        <v>46296.296296296299</v>
      </c>
      <c r="CG52" s="46">
        <f t="shared" si="44"/>
        <v>46296.296296296299</v>
      </c>
      <c r="CH52" s="46">
        <f t="shared" si="44"/>
        <v>46296.296296296299</v>
      </c>
      <c r="CI52" s="46">
        <f t="shared" si="44"/>
        <v>46296.296296296299</v>
      </c>
      <c r="CJ52" s="46">
        <f t="shared" si="44"/>
        <v>46296.296296296299</v>
      </c>
      <c r="CK52" s="46">
        <f t="shared" si="44"/>
        <v>46296.296296296299</v>
      </c>
      <c r="CL52" s="46">
        <f t="shared" si="44"/>
        <v>46296.296296296299</v>
      </c>
      <c r="CM52" s="46">
        <f t="shared" si="44"/>
        <v>46296.296296296299</v>
      </c>
      <c r="CN52" s="46">
        <f t="shared" si="44"/>
        <v>46296.296296296299</v>
      </c>
      <c r="CO52" s="46">
        <f t="shared" si="44"/>
        <v>46296.296296296299</v>
      </c>
      <c r="CP52" s="46">
        <f t="shared" si="44"/>
        <v>0</v>
      </c>
      <c r="CQ52" s="46">
        <f t="shared" si="44"/>
        <v>0</v>
      </c>
      <c r="CR52" s="46">
        <f t="shared" si="44"/>
        <v>0</v>
      </c>
      <c r="CS52" s="46">
        <f t="shared" si="44"/>
        <v>0</v>
      </c>
      <c r="CT52" s="46">
        <f t="shared" si="44"/>
        <v>0</v>
      </c>
      <c r="CU52" s="46">
        <f t="shared" si="44"/>
        <v>0</v>
      </c>
      <c r="CV52" s="46">
        <f t="shared" si="44"/>
        <v>0</v>
      </c>
      <c r="CW52" s="46">
        <f t="shared" si="44"/>
        <v>0</v>
      </c>
      <c r="CX52" s="46">
        <f t="shared" si="44"/>
        <v>0</v>
      </c>
      <c r="CY52" s="46">
        <f t="shared" si="44"/>
        <v>0</v>
      </c>
      <c r="CZ52" s="46">
        <f t="shared" si="44"/>
        <v>0</v>
      </c>
      <c r="DA52" s="46">
        <f t="shared" si="44"/>
        <v>0</v>
      </c>
      <c r="DB52" s="46">
        <f t="shared" si="44"/>
        <v>0</v>
      </c>
      <c r="DC52" s="46">
        <f t="shared" si="44"/>
        <v>0</v>
      </c>
      <c r="DD52" s="46">
        <f t="shared" si="44"/>
        <v>0</v>
      </c>
      <c r="DE52" s="46">
        <f t="shared" si="44"/>
        <v>0</v>
      </c>
      <c r="DF52" s="46">
        <f t="shared" si="44"/>
        <v>0</v>
      </c>
      <c r="DG52" s="46">
        <f t="shared" si="44"/>
        <v>0</v>
      </c>
      <c r="DH52" s="46">
        <f t="shared" si="44"/>
        <v>0</v>
      </c>
      <c r="DI52" s="46">
        <f t="shared" si="44"/>
        <v>0</v>
      </c>
      <c r="DJ52" s="46">
        <f t="shared" si="44"/>
        <v>0</v>
      </c>
      <c r="DK52" s="46">
        <f t="shared" si="44"/>
        <v>0</v>
      </c>
      <c r="DL52" s="46">
        <f t="shared" si="44"/>
        <v>0</v>
      </c>
      <c r="DM52" s="46">
        <f t="shared" si="44"/>
        <v>0</v>
      </c>
      <c r="DN52" s="46">
        <f t="shared" si="44"/>
        <v>0</v>
      </c>
      <c r="DO52" s="46">
        <f t="shared" si="44"/>
        <v>0</v>
      </c>
      <c r="DP52" s="46">
        <f t="shared" si="44"/>
        <v>0</v>
      </c>
      <c r="DQ52" s="46">
        <f t="shared" si="44"/>
        <v>0</v>
      </c>
      <c r="DR52" s="46">
        <f t="shared" si="44"/>
        <v>0</v>
      </c>
      <c r="DS52" s="46">
        <f t="shared" si="44"/>
        <v>0</v>
      </c>
      <c r="DT52" s="46">
        <f t="shared" si="44"/>
        <v>0</v>
      </c>
      <c r="DU52" s="46">
        <f t="shared" si="44"/>
        <v>0</v>
      </c>
      <c r="DV52" s="46">
        <f t="shared" si="44"/>
        <v>0</v>
      </c>
      <c r="DW52" s="46">
        <f t="shared" si="44"/>
        <v>0</v>
      </c>
      <c r="DX52" s="46">
        <f t="shared" si="44"/>
        <v>0</v>
      </c>
      <c r="DY52" s="46">
        <f t="shared" si="44"/>
        <v>0</v>
      </c>
    </row>
    <row r="53" spans="2:129" s="43" customFormat="1">
      <c r="C53" s="43" t="s">
        <v>389</v>
      </c>
      <c r="E53" s="527"/>
      <c r="F53" s="130"/>
      <c r="G53" s="130"/>
      <c r="H53" s="130"/>
      <c r="J53" s="491">
        <f>IF($E46="LCY",J52*'Model Assumptions'!$G$135,Financing!J52*Flags!J$30)</f>
        <v>0</v>
      </c>
      <c r="K53" s="491">
        <f>IF($E46="LCY",K52*'Model Assumptions'!$G$135,Financing!K52*Flags!K$30)</f>
        <v>0</v>
      </c>
      <c r="L53" s="491">
        <f>IF($E46="LCY",L52*'Model Assumptions'!$G$135,Financing!L52*Flags!L$30)</f>
        <v>0</v>
      </c>
      <c r="M53" s="491">
        <f>IF($E46="LCY",M52*'Model Assumptions'!$G$135,Financing!M52*Flags!M$30)</f>
        <v>0</v>
      </c>
      <c r="N53" s="491">
        <f>IF($E46="LCY",N52*'Model Assumptions'!$G$135,Financing!N52*Flags!N$30)</f>
        <v>0</v>
      </c>
      <c r="O53" s="491">
        <f>IF($E46="LCY",O52*'Model Assumptions'!$G$135,Financing!O52*Flags!O$30)</f>
        <v>0</v>
      </c>
      <c r="P53" s="491">
        <f>IF($E46="LCY",P52*'Model Assumptions'!$G$135,Financing!P52*Flags!P$30)</f>
        <v>0</v>
      </c>
      <c r="Q53" s="491">
        <f>IF($E46="LCY",Q52*'Model Assumptions'!$G$135,Financing!Q52*Flags!Q$30)</f>
        <v>0</v>
      </c>
      <c r="R53" s="491">
        <f>IF($E46="LCY",R52*'Model Assumptions'!$G$135,Financing!R52*Flags!R$30)</f>
        <v>0</v>
      </c>
      <c r="S53" s="491">
        <f>IF($E46="LCY",S52*'Model Assumptions'!$G$135,Financing!S52*Flags!S$30)</f>
        <v>0</v>
      </c>
      <c r="T53" s="491">
        <f>IF($E46="LCY",T52*'Model Assumptions'!$G$135,Financing!T52*Flags!T$30)</f>
        <v>0</v>
      </c>
      <c r="U53" s="491">
        <f>IF($E46="LCY",U52*'Model Assumptions'!$G$135,Financing!U52*Flags!U$30)</f>
        <v>0</v>
      </c>
      <c r="V53" s="491">
        <f>IF($E46="LCY",V52*'Model Assumptions'!$G$135,Financing!V52*Flags!V$30)</f>
        <v>0</v>
      </c>
      <c r="W53" s="491">
        <f>IF($E46="LCY",W52*'Model Assumptions'!$G$135,Financing!W52*Flags!W$30)</f>
        <v>0</v>
      </c>
      <c r="X53" s="491">
        <f>IF($E46="LCY",X52*'Model Assumptions'!$G$135,Financing!X52*Flags!X$30)</f>
        <v>0</v>
      </c>
      <c r="Y53" s="491">
        <f>IF($E46="LCY",Y52*'Model Assumptions'!$G$135,Financing!Y52*Flags!Y$30)</f>
        <v>0</v>
      </c>
      <c r="Z53" s="491">
        <f>IF($E46="LCY",Z52*'Model Assumptions'!$G$135,Financing!Z52*Flags!Z$30)</f>
        <v>0</v>
      </c>
      <c r="AA53" s="491">
        <f>IF($E46="LCY",AA52*'Model Assumptions'!$G$135,Financing!AA52*Flags!AA$30)</f>
        <v>0</v>
      </c>
      <c r="AB53" s="491">
        <f>IF($E46="LCY",AB52*'Model Assumptions'!$G$135,Financing!AB52*Flags!AB$30)</f>
        <v>0</v>
      </c>
      <c r="AC53" s="491">
        <f>IF($E46="LCY",AC52*'Model Assumptions'!$G$135,Financing!AC52*Flags!AC$30)</f>
        <v>0</v>
      </c>
      <c r="AD53" s="491">
        <f>IF($E46="LCY",AD52*'Model Assumptions'!$G$135,Financing!AD52*Flags!AD$30)</f>
        <v>0</v>
      </c>
      <c r="AE53" s="491">
        <f>IF($E46="LCY",AE52*'Model Assumptions'!$G$135,Financing!AE52*Flags!AE$30)</f>
        <v>0</v>
      </c>
      <c r="AF53" s="491">
        <f>IF($E46="LCY",AF52*'Model Assumptions'!$G$135,Financing!AF52*Flags!AF$30)</f>
        <v>0</v>
      </c>
      <c r="AG53" s="491">
        <f>IF($E46="LCY",AG52*'Model Assumptions'!$G$135,Financing!AG52*Flags!AG$30)</f>
        <v>0</v>
      </c>
      <c r="AH53" s="491">
        <f>IF($E46="LCY",AH52*'Model Assumptions'!$G$135,Financing!AH52*Flags!AH$30)</f>
        <v>0</v>
      </c>
      <c r="AI53" s="491">
        <f>IF($E46="LCY",AI52*'Model Assumptions'!$G$135,Financing!AI52*Flags!AI$30)</f>
        <v>0</v>
      </c>
      <c r="AJ53" s="491">
        <f>IF($E46="LCY",AJ52*'Model Assumptions'!$G$135,Financing!AJ52*Flags!AJ$30)</f>
        <v>0</v>
      </c>
      <c r="AK53" s="491">
        <f>IF($E46="LCY",AK52*'Model Assumptions'!$G$135,Financing!AK52*Flags!AK$30)</f>
        <v>0</v>
      </c>
      <c r="AL53" s="491">
        <f>IF($E46="LCY",AL52*'Model Assumptions'!$G$135,Financing!AL52*Flags!AL$30)</f>
        <v>0</v>
      </c>
      <c r="AM53" s="491">
        <f>IF($E46="LCY",AM52*'Model Assumptions'!$G$135,Financing!AM52*Flags!AM$30)</f>
        <v>0</v>
      </c>
      <c r="AN53" s="491">
        <f>IF($E46="LCY",AN52*'Model Assumptions'!$G$135,Financing!AN52*Flags!AN$30)</f>
        <v>462962.96296296298</v>
      </c>
      <c r="AO53" s="491">
        <f>IF($E46="LCY",AO52*'Model Assumptions'!$G$135,Financing!AO52*Flags!AO$30)</f>
        <v>462962.96296296298</v>
      </c>
      <c r="AP53" s="491">
        <f>IF($E46="LCY",AP52*'Model Assumptions'!$G$135,Financing!AP52*Flags!AP$30)</f>
        <v>462962.96296296298</v>
      </c>
      <c r="AQ53" s="491">
        <f>IF($E46="LCY",AQ52*'Model Assumptions'!$G$135,Financing!AQ52*Flags!AQ$30)</f>
        <v>462962.96296296298</v>
      </c>
      <c r="AR53" s="491">
        <f>IF($E46="LCY",AR52*'Model Assumptions'!$G$135,Financing!AR52*Flags!AR$30)</f>
        <v>462962.96296296298</v>
      </c>
      <c r="AS53" s="491">
        <f>IF($E46="LCY",AS52*'Model Assumptions'!$G$135,Financing!AS52*Flags!AS$30)</f>
        <v>462962.96296296298</v>
      </c>
      <c r="AT53" s="491">
        <f>IF($E46="LCY",AT52*'Model Assumptions'!$G$135,Financing!AT52*Flags!AT$30)</f>
        <v>462962.96296296298</v>
      </c>
      <c r="AU53" s="491">
        <f>IF($E46="LCY",AU52*'Model Assumptions'!$G$135,Financing!AU52*Flags!AU$30)</f>
        <v>462962.96296296298</v>
      </c>
      <c r="AV53" s="491">
        <f>IF($E46="LCY",AV52*'Model Assumptions'!$G$135,Financing!AV52*Flags!AV$30)</f>
        <v>462962.96296296298</v>
      </c>
      <c r="AW53" s="491">
        <f>IF($E46="LCY",AW52*'Model Assumptions'!$G$135,Financing!AW52*Flags!AW$30)</f>
        <v>462962.96296296298</v>
      </c>
      <c r="AX53" s="491">
        <f>IF($E46="LCY",AX52*'Model Assumptions'!$G$135,Financing!AX52*Flags!AX$30)</f>
        <v>462962.96296296298</v>
      </c>
      <c r="AY53" s="491">
        <f>IF($E46="LCY",AY52*'Model Assumptions'!$G$135,Financing!AY52*Flags!AY$30)</f>
        <v>462962.96296296298</v>
      </c>
      <c r="AZ53" s="491">
        <f>IF($E46="LCY",AZ52*'Model Assumptions'!$G$135,Financing!AZ52*Flags!AZ$30)</f>
        <v>462962.96296296298</v>
      </c>
      <c r="BA53" s="491">
        <f>IF($E46="LCY",BA52*'Model Assumptions'!$G$135,Financing!BA52*Flags!BA$30)</f>
        <v>462962.96296296298</v>
      </c>
      <c r="BB53" s="491">
        <f>IF($E46="LCY",BB52*'Model Assumptions'!$G$135,Financing!BB52*Flags!BB$30)</f>
        <v>462962.96296296298</v>
      </c>
      <c r="BC53" s="491">
        <f>IF($E46="LCY",BC52*'Model Assumptions'!$G$135,Financing!BC52*Flags!BC$30)</f>
        <v>462962.96296296298</v>
      </c>
      <c r="BD53" s="491">
        <f>IF($E46="LCY",BD52*'Model Assumptions'!$G$135,Financing!BD52*Flags!BD$30)</f>
        <v>462962.96296296298</v>
      </c>
      <c r="BE53" s="491">
        <f>IF($E46="LCY",BE52*'Model Assumptions'!$G$135,Financing!BE52*Flags!BE$30)</f>
        <v>462962.96296296298</v>
      </c>
      <c r="BF53" s="491">
        <f>IF($E46="LCY",BF52*'Model Assumptions'!$G$135,Financing!BF52*Flags!BF$30)</f>
        <v>462962.96296296298</v>
      </c>
      <c r="BG53" s="491">
        <f>IF($E46="LCY",BG52*'Model Assumptions'!$G$135,Financing!BG52*Flags!BG$30)</f>
        <v>462962.96296296298</v>
      </c>
      <c r="BH53" s="491">
        <f>IF($E46="LCY",BH52*'Model Assumptions'!$G$135,Financing!BH52*Flags!BH$30)</f>
        <v>462962.96296296298</v>
      </c>
      <c r="BI53" s="491">
        <f>IF($E46="LCY",BI52*'Model Assumptions'!$G$135,Financing!BI52*Flags!BI$30)</f>
        <v>462962.96296296298</v>
      </c>
      <c r="BJ53" s="491">
        <f>IF($E46="LCY",BJ52*'Model Assumptions'!$G$135,Financing!BJ52*Flags!BJ$30)</f>
        <v>462962.96296296298</v>
      </c>
      <c r="BK53" s="491">
        <f>IF($E46="LCY",BK52*'Model Assumptions'!$G$135,Financing!BK52*Flags!BK$30)</f>
        <v>462962.96296296298</v>
      </c>
      <c r="BL53" s="491">
        <f>IF($E46="LCY",BL52*'Model Assumptions'!$G$135,Financing!BL52*Flags!BL$30)</f>
        <v>462962.96296296298</v>
      </c>
      <c r="BM53" s="491">
        <f>IF($E46="LCY",BM52*'Model Assumptions'!$G$135,Financing!BM52*Flags!BM$30)</f>
        <v>462962.96296296298</v>
      </c>
      <c r="BN53" s="491">
        <f>IF($E46="LCY",BN52*'Model Assumptions'!$G$135,Financing!BN52*Flags!BN$30)</f>
        <v>462962.96296296298</v>
      </c>
      <c r="BO53" s="491">
        <f>IF($E46="LCY",BO52*'Model Assumptions'!$G$135,Financing!BO52*Flags!BO$30)</f>
        <v>462962.96296296298</v>
      </c>
      <c r="BP53" s="491">
        <f>IF($E46="LCY",BP52*'Model Assumptions'!$G$135,Financing!BP52*Flags!BP$30)</f>
        <v>462962.96296296298</v>
      </c>
      <c r="BQ53" s="491">
        <f>IF($E46="LCY",BQ52*'Model Assumptions'!$G$135,Financing!BQ52*Flags!BQ$30)</f>
        <v>462962.96296296298</v>
      </c>
      <c r="BR53" s="491">
        <f>IF($E46="LCY",BR52*'Model Assumptions'!$G$135,Financing!BR52*Flags!BR$30)</f>
        <v>462962.96296296298</v>
      </c>
      <c r="BS53" s="491">
        <f>IF($E46="LCY",BS52*'Model Assumptions'!$G$135,Financing!BS52*Flags!BS$30)</f>
        <v>462962.96296296298</v>
      </c>
      <c r="BT53" s="491">
        <f>IF($E46="LCY",BT52*'Model Assumptions'!$G$135,Financing!BT52*Flags!BT$30)</f>
        <v>462962.96296296298</v>
      </c>
      <c r="BU53" s="491">
        <f>IF($E46="LCY",BU52*'Model Assumptions'!$G$135,Financing!BU52*Flags!BU$30)</f>
        <v>462962.96296296298</v>
      </c>
      <c r="BV53" s="491">
        <f>IF($E46="LCY",BV52*'Model Assumptions'!$G$135,Financing!BV52*Flags!BV$30)</f>
        <v>462962.96296296298</v>
      </c>
      <c r="BW53" s="491">
        <f>IF($E46="LCY",BW52*'Model Assumptions'!$G$135,Financing!BW52*Flags!BW$30)</f>
        <v>462962.96296296298</v>
      </c>
      <c r="BX53" s="491">
        <f>IF($E46="LCY",BX52*'Model Assumptions'!$G$135,Financing!BX52*Flags!BX$30)</f>
        <v>462962.96296296298</v>
      </c>
      <c r="BY53" s="491">
        <f>IF($E46="LCY",BY52*'Model Assumptions'!$G$135,Financing!BY52*Flags!BY$30)</f>
        <v>462962.96296296298</v>
      </c>
      <c r="BZ53" s="491">
        <f>IF($E46="LCY",BZ52*'Model Assumptions'!$G$135,Financing!BZ52*Flags!BZ$30)</f>
        <v>462962.96296296298</v>
      </c>
      <c r="CA53" s="491">
        <f>IF($E46="LCY",CA52*'Model Assumptions'!$G$135,Financing!CA52*Flags!CA$30)</f>
        <v>462962.96296296298</v>
      </c>
      <c r="CB53" s="491">
        <f>IF($E46="LCY",CB52*'Model Assumptions'!$G$135,Financing!CB52*Flags!CB$30)</f>
        <v>462962.96296296298</v>
      </c>
      <c r="CC53" s="491">
        <f>IF($E46="LCY",CC52*'Model Assumptions'!$G$135,Financing!CC52*Flags!CC$30)</f>
        <v>462962.96296296298</v>
      </c>
      <c r="CD53" s="491">
        <f>IF($E46="LCY",CD52*'Model Assumptions'!$G$135,Financing!CD52*Flags!CD$30)</f>
        <v>462962.96296296298</v>
      </c>
      <c r="CE53" s="491">
        <f>IF($E46="LCY",CE52*'Model Assumptions'!$G$135,Financing!CE52*Flags!CE$30)</f>
        <v>462962.96296296298</v>
      </c>
      <c r="CF53" s="491">
        <f>IF($E46="LCY",CF52*'Model Assumptions'!$G$135,Financing!CF52*Flags!CF$30)</f>
        <v>462962.96296296298</v>
      </c>
      <c r="CG53" s="491">
        <f>IF($E46="LCY",CG52*'Model Assumptions'!$G$135,Financing!CG52*Flags!CG$30)</f>
        <v>462962.96296296298</v>
      </c>
      <c r="CH53" s="491">
        <f>IF($E46="LCY",CH52*'Model Assumptions'!$G$135,Financing!CH52*Flags!CH$30)</f>
        <v>462962.96296296298</v>
      </c>
      <c r="CI53" s="491">
        <f>IF($E46="LCY",CI52*'Model Assumptions'!$G$135,Financing!CI52*Flags!CI$30)</f>
        <v>462962.96296296298</v>
      </c>
      <c r="CJ53" s="491">
        <f>IF($E46="LCY",CJ52*'Model Assumptions'!$G$135,Financing!CJ52*Flags!CJ$30)</f>
        <v>462962.96296296298</v>
      </c>
      <c r="CK53" s="491">
        <f>IF($E46="LCY",CK52*'Model Assumptions'!$G$135,Financing!CK52*Flags!CK$30)</f>
        <v>462962.96296296298</v>
      </c>
      <c r="CL53" s="491">
        <f>IF($E46="LCY",CL52*'Model Assumptions'!$G$135,Financing!CL52*Flags!CL$30)</f>
        <v>462962.96296296298</v>
      </c>
      <c r="CM53" s="491">
        <f>IF($E46="LCY",CM52*'Model Assumptions'!$G$135,Financing!CM52*Flags!CM$30)</f>
        <v>462962.96296296298</v>
      </c>
      <c r="CN53" s="491">
        <f>IF($E46="LCY",CN52*'Model Assumptions'!$G$135,Financing!CN52*Flags!CN$30)</f>
        <v>462962.96296296298</v>
      </c>
      <c r="CO53" s="491">
        <f>IF($E46="LCY",CO52*'Model Assumptions'!$G$135,Financing!CO52*Flags!CO$30)</f>
        <v>462962.96296296298</v>
      </c>
      <c r="CP53" s="491">
        <f>IF($E46="LCY",CP52*'Model Assumptions'!$G$135,Financing!CP52*Flags!CP$30)</f>
        <v>0</v>
      </c>
      <c r="CQ53" s="491">
        <f>IF($E46="LCY",CQ52*'Model Assumptions'!$G$135,Financing!CQ52*Flags!CQ$30)</f>
        <v>0</v>
      </c>
      <c r="CR53" s="491">
        <f>IF($E46="LCY",CR52*'Model Assumptions'!$G$135,Financing!CR52*Flags!CR$30)</f>
        <v>0</v>
      </c>
      <c r="CS53" s="491">
        <f>IF($E46="LCY",CS52*'Model Assumptions'!$G$135,Financing!CS52*Flags!CS$30)</f>
        <v>0</v>
      </c>
      <c r="CT53" s="491">
        <f>IF($E46="LCY",CT52*'Model Assumptions'!$G$135,Financing!CT52*Flags!CT$30)</f>
        <v>0</v>
      </c>
      <c r="CU53" s="491">
        <f>IF($E46="LCY",CU52*'Model Assumptions'!$G$135,Financing!CU52*Flags!CU$30)</f>
        <v>0</v>
      </c>
      <c r="CV53" s="491">
        <f>IF($E46="LCY",CV52*'Model Assumptions'!$G$135,Financing!CV52*Flags!CV$30)</f>
        <v>0</v>
      </c>
      <c r="CW53" s="491">
        <f>IF($E46="LCY",CW52*'Model Assumptions'!$G$135,Financing!CW52*Flags!CW$30)</f>
        <v>0</v>
      </c>
      <c r="CX53" s="491">
        <f>IF($E46="LCY",CX52*'Model Assumptions'!$G$135,Financing!CX52*Flags!CX$30)</f>
        <v>0</v>
      </c>
      <c r="CY53" s="491">
        <f>IF($E46="LCY",CY52*'Model Assumptions'!$G$135,Financing!CY52*Flags!CY$30)</f>
        <v>0</v>
      </c>
      <c r="CZ53" s="491">
        <f>IF($E46="LCY",CZ52*'Model Assumptions'!$G$135,Financing!CZ52*Flags!CZ$30)</f>
        <v>0</v>
      </c>
      <c r="DA53" s="491">
        <f>IF($E46="LCY",DA52*'Model Assumptions'!$G$135,Financing!DA52*Flags!DA$30)</f>
        <v>0</v>
      </c>
      <c r="DB53" s="491">
        <f>IF($E46="LCY",DB52*'Model Assumptions'!$G$135,Financing!DB52*Flags!DB$30)</f>
        <v>0</v>
      </c>
      <c r="DC53" s="491">
        <f>IF($E46="LCY",DC52*'Model Assumptions'!$G$135,Financing!DC52*Flags!DC$30)</f>
        <v>0</v>
      </c>
      <c r="DD53" s="491">
        <f>IF($E46="LCY",DD52*'Model Assumptions'!$G$135,Financing!DD52*Flags!DD$30)</f>
        <v>0</v>
      </c>
      <c r="DE53" s="491">
        <f>IF($E46="LCY",DE52*'Model Assumptions'!$G$135,Financing!DE52*Flags!DE$30)</f>
        <v>0</v>
      </c>
      <c r="DF53" s="491">
        <f>IF($E46="LCY",DF52*'Model Assumptions'!$G$135,Financing!DF52*Flags!DF$30)</f>
        <v>0</v>
      </c>
      <c r="DG53" s="491">
        <f>IF($E46="LCY",DG52*'Model Assumptions'!$G$135,Financing!DG52*Flags!DG$30)</f>
        <v>0</v>
      </c>
      <c r="DH53" s="491">
        <f>IF($E46="LCY",DH52*'Model Assumptions'!$G$135,Financing!DH52*Flags!DH$30)</f>
        <v>0</v>
      </c>
      <c r="DI53" s="491">
        <f>IF($E46="LCY",DI52*'Model Assumptions'!$G$135,Financing!DI52*Flags!DI$30)</f>
        <v>0</v>
      </c>
      <c r="DJ53" s="491">
        <f>IF($E46="LCY",DJ52*'Model Assumptions'!$G$135,Financing!DJ52*Flags!DJ$30)</f>
        <v>0</v>
      </c>
      <c r="DK53" s="491">
        <f>IF($E46="LCY",DK52*'Model Assumptions'!$G$135,Financing!DK52*Flags!DK$30)</f>
        <v>0</v>
      </c>
      <c r="DL53" s="491">
        <f>IF($E46="LCY",DL52*'Model Assumptions'!$G$135,Financing!DL52*Flags!DL$30)</f>
        <v>0</v>
      </c>
      <c r="DM53" s="491">
        <f>IF($E46="LCY",DM52*'Model Assumptions'!$G$135,Financing!DM52*Flags!DM$30)</f>
        <v>0</v>
      </c>
      <c r="DN53" s="491">
        <f>IF($E46="LCY",DN52*'Model Assumptions'!$G$135,Financing!DN52*Flags!DN$30)</f>
        <v>0</v>
      </c>
      <c r="DO53" s="491">
        <f>IF($E46="LCY",DO52*'Model Assumptions'!$G$135,Financing!DO52*Flags!DO$30)</f>
        <v>0</v>
      </c>
      <c r="DP53" s="491">
        <f>IF($E46="LCY",DP52*'Model Assumptions'!$G$135,Financing!DP52*Flags!DP$30)</f>
        <v>0</v>
      </c>
      <c r="DQ53" s="491">
        <f>IF($E46="LCY",DQ52*'Model Assumptions'!$G$135,Financing!DQ52*Flags!DQ$30)</f>
        <v>0</v>
      </c>
      <c r="DR53" s="491">
        <f>IF($E46="LCY",DR52*'Model Assumptions'!$G$135,Financing!DR52*Flags!DR$30)</f>
        <v>0</v>
      </c>
      <c r="DS53" s="491">
        <f>IF($E46="LCY",DS52*'Model Assumptions'!$G$135,Financing!DS52*Flags!DS$30)</f>
        <v>0</v>
      </c>
      <c r="DT53" s="491">
        <f>IF($E46="LCY",DT52*'Model Assumptions'!$G$135,Financing!DT52*Flags!DT$30)</f>
        <v>0</v>
      </c>
      <c r="DU53" s="491">
        <f>IF($E46="LCY",DU52*'Model Assumptions'!$G$135,Financing!DU52*Flags!DU$30)</f>
        <v>0</v>
      </c>
      <c r="DV53" s="491">
        <f>IF($E46="LCY",DV52*'Model Assumptions'!$G$135,Financing!DV52*Flags!DV$30)</f>
        <v>0</v>
      </c>
      <c r="DW53" s="491">
        <f>IF($E46="LCY",DW52*'Model Assumptions'!$G$135,Financing!DW52*Flags!DW$30)</f>
        <v>0</v>
      </c>
      <c r="DX53" s="491">
        <f>IF($E46="LCY",DX52*'Model Assumptions'!$G$135,Financing!DX52*Flags!DX$30)</f>
        <v>0</v>
      </c>
      <c r="DY53" s="491">
        <f>IF($E46="LCY",DY52*'Model Assumptions'!$G$135,Financing!DY52*Flags!DY$30)</f>
        <v>0</v>
      </c>
    </row>
    <row r="54" spans="2:129" s="43" customFormat="1">
      <c r="C54" s="43" t="s">
        <v>396</v>
      </c>
      <c r="E54" s="485">
        <f>+'Model Assumptions'!G141</f>
        <v>0.1</v>
      </c>
      <c r="F54" s="131"/>
      <c r="G54" s="131"/>
      <c r="H54" s="131"/>
      <c r="J54" s="251">
        <f>(SUM(J47:$J47)-SUM(J52:$J52))*$E54/12</f>
        <v>0</v>
      </c>
      <c r="K54" s="251">
        <f>(SUM($J47:K47)-SUM($J52:K52))*$E54/12</f>
        <v>0</v>
      </c>
      <c r="L54" s="251">
        <f>(SUM($J47:L47)-SUM($J52:L52))*$E54/12</f>
        <v>0</v>
      </c>
      <c r="M54" s="251">
        <f>(SUM($J47:M47)-SUM($J52:M52))*$E54/12</f>
        <v>0</v>
      </c>
      <c r="N54" s="251">
        <f>(SUM($J47:N47)-SUM($J52:N52))*$E54/12</f>
        <v>0</v>
      </c>
      <c r="O54" s="251">
        <f>(SUM($J47:O47)-SUM($J52:O52))*$E54/12</f>
        <v>0</v>
      </c>
      <c r="P54" s="251">
        <f>(SUM($J47:P47)-SUM($J52:P52))*$E54/12</f>
        <v>0</v>
      </c>
      <c r="Q54" s="251">
        <f>(SUM($J47:Q47)-SUM($J52:Q52))*$E54/12</f>
        <v>0</v>
      </c>
      <c r="R54" s="251">
        <f>(SUM($J47:R47)-SUM($J52:R52))*$E54/12</f>
        <v>0</v>
      </c>
      <c r="S54" s="251">
        <f>(SUM($J47:S47)-SUM($J52:S52))*$E54/12</f>
        <v>0</v>
      </c>
      <c r="T54" s="251">
        <f>(SUM($J47:T47)-SUM($J52:T52))*$E54/12</f>
        <v>0</v>
      </c>
      <c r="U54" s="251">
        <f>(SUM($J47:U47)-SUM($J52:U52))*$E54/12</f>
        <v>0</v>
      </c>
      <c r="V54" s="251">
        <f>(SUM($J47:V47)-SUM($J52:V52))*$E54/12</f>
        <v>0</v>
      </c>
      <c r="W54" s="251">
        <f>(SUM($J47:W47)-SUM($J52:W52))*$E54/12</f>
        <v>0</v>
      </c>
      <c r="X54" s="251">
        <f>(SUM($J47:X47)-SUM($J52:X52))*$E54/12</f>
        <v>0</v>
      </c>
      <c r="Y54" s="251">
        <f>(SUM($J47:Y47)-SUM($J52:Y52))*$E54/12</f>
        <v>0</v>
      </c>
      <c r="Z54" s="251">
        <f>(SUM($J47:Z47)-SUM($J52:Z52))*$E54/12</f>
        <v>0</v>
      </c>
      <c r="AA54" s="251">
        <f>(SUM($J47:AA47)-SUM($J52:AA52))*$E54/12</f>
        <v>0</v>
      </c>
      <c r="AB54" s="251">
        <f>(SUM($J47:AB47)-SUM($J52:AB52))*$E54/12</f>
        <v>0</v>
      </c>
      <c r="AC54" s="251">
        <f>(SUM($J47:AC47)-SUM($J52:AC52))*$E54/12</f>
        <v>0</v>
      </c>
      <c r="AD54" s="251">
        <f>(SUM($J47:AD47)-SUM($J52:AD52))*$E54/12</f>
        <v>0</v>
      </c>
      <c r="AE54" s="251">
        <f>(SUM($J47:AE47)-SUM($J52:AE52))*$E54/12</f>
        <v>0</v>
      </c>
      <c r="AF54" s="251">
        <f>(SUM($J47:AF47)-SUM($J52:AF52))*$E54/12</f>
        <v>0</v>
      </c>
      <c r="AG54" s="251">
        <f>(SUM($J47:AG47)-SUM($J52:AG52))*$E54/12</f>
        <v>0</v>
      </c>
      <c r="AH54" s="251">
        <f>(SUM($J47:AH47)-SUM($J52:AH52))*$E54/12</f>
        <v>20833.333333333332</v>
      </c>
      <c r="AI54" s="251">
        <f>(SUM($J47:AI47)-SUM($J52:AI52))*$E54/12</f>
        <v>20833.333333333332</v>
      </c>
      <c r="AJ54" s="251">
        <f>(SUM($J47:AJ47)-SUM($J52:AJ52))*$E54/12</f>
        <v>20833.333333333332</v>
      </c>
      <c r="AK54" s="251">
        <f>(SUM($J47:AK47)-SUM($J52:AK52))*$E54/12</f>
        <v>20833.333333333332</v>
      </c>
      <c r="AL54" s="251">
        <f>(SUM($J47:AL47)-SUM($J52:AL52))*$E54/12</f>
        <v>20833.333333333332</v>
      </c>
      <c r="AM54" s="251">
        <f>(SUM($J47:AM47)-SUM($J52:AM52))*$E54/12</f>
        <v>20833.333333333332</v>
      </c>
      <c r="AN54" s="251">
        <f>(SUM($J47:AN47)-SUM($J52:AN52))*$E54/12</f>
        <v>20447.530864197532</v>
      </c>
      <c r="AO54" s="251">
        <f>(SUM($J47:AO47)-SUM($J52:AO52))*$E54/12</f>
        <v>20061.728395061727</v>
      </c>
      <c r="AP54" s="251">
        <f>(SUM($J47:AP47)-SUM($J52:AP52))*$E54/12</f>
        <v>19675.925925925927</v>
      </c>
      <c r="AQ54" s="251">
        <f>(SUM($J47:AQ47)-SUM($J52:AQ52))*$E54/12</f>
        <v>19290.123456790123</v>
      </c>
      <c r="AR54" s="251">
        <f>(SUM($J47:AR47)-SUM($J52:AR52))*$E54/12</f>
        <v>18904.320987654322</v>
      </c>
      <c r="AS54" s="251">
        <f>(SUM($J47:AS47)-SUM($J52:AS52))*$E54/12</f>
        <v>18518.518518518518</v>
      </c>
      <c r="AT54" s="251">
        <f>(SUM($J47:AT47)-SUM($J52:AT52))*$E54/12</f>
        <v>18132.716049382714</v>
      </c>
      <c r="AU54" s="251">
        <f>(SUM($J47:AU47)-SUM($J52:AU52))*$E54/12</f>
        <v>17746.913580246914</v>
      </c>
      <c r="AV54" s="251">
        <f>(SUM($J47:AV47)-SUM($J52:AV52))*$E54/12</f>
        <v>17361.111111111113</v>
      </c>
      <c r="AW54" s="251">
        <f>(SUM($J47:AW47)-SUM($J52:AW52))*$E54/12</f>
        <v>16975.308641975309</v>
      </c>
      <c r="AX54" s="251">
        <f>(SUM($J47:AX47)-SUM($J52:AX52))*$E54/12</f>
        <v>16589.506172839505</v>
      </c>
      <c r="AY54" s="251">
        <f>(SUM($J47:AY47)-SUM($J52:AY52))*$E54/12</f>
        <v>16203.703703703706</v>
      </c>
      <c r="AZ54" s="251">
        <f>(SUM($J47:AZ47)-SUM($J52:AZ52))*$E54/12</f>
        <v>15817.901234567902</v>
      </c>
      <c r="BA54" s="251">
        <f>(SUM($J47:BA47)-SUM($J52:BA52))*$E54/12</f>
        <v>15432.098765432098</v>
      </c>
      <c r="BB54" s="251">
        <f>(SUM($J47:BB47)-SUM($J52:BB52))*$E54/12</f>
        <v>15046.296296296297</v>
      </c>
      <c r="BC54" s="251">
        <f>(SUM($J47:BC47)-SUM($J52:BC52))*$E54/12</f>
        <v>14660.493827160497</v>
      </c>
      <c r="BD54" s="251">
        <f>(SUM($J47:BD47)-SUM($J52:BD52))*$E54/12</f>
        <v>14274.691358024691</v>
      </c>
      <c r="BE54" s="251">
        <f>(SUM($J47:BE47)-SUM($J52:BE52))*$E54/12</f>
        <v>13888.888888888889</v>
      </c>
      <c r="BF54" s="251">
        <f>(SUM($J47:BF47)-SUM($J52:BF52))*$E54/12</f>
        <v>13503.086419753088</v>
      </c>
      <c r="BG54" s="251">
        <f>(SUM($J47:BG47)-SUM($J52:BG52))*$E54/12</f>
        <v>13117.283950617284</v>
      </c>
      <c r="BH54" s="251">
        <f>(SUM($J47:BH47)-SUM($J52:BH52))*$E54/12</f>
        <v>12731.481481481482</v>
      </c>
      <c r="BI54" s="251">
        <f>(SUM($J47:BI47)-SUM($J52:BI52))*$E54/12</f>
        <v>12345.679012345679</v>
      </c>
      <c r="BJ54" s="251">
        <f>(SUM($J47:BJ47)-SUM($J52:BJ52))*$E54/12</f>
        <v>11959.876543209875</v>
      </c>
      <c r="BK54" s="251">
        <f>(SUM($J47:BK47)-SUM($J52:BK52))*$E54/12</f>
        <v>11574.074074074073</v>
      </c>
      <c r="BL54" s="251">
        <f>(SUM($J47:BL47)-SUM($J52:BL52))*$E54/12</f>
        <v>11188.271604938271</v>
      </c>
      <c r="BM54" s="251">
        <f>(SUM($J47:BM47)-SUM($J52:BM52))*$E54/12</f>
        <v>10802.469135802467</v>
      </c>
      <c r="BN54" s="251">
        <f>(SUM($J47:BN47)-SUM($J52:BN52))*$E54/12</f>
        <v>10416.666666666662</v>
      </c>
      <c r="BO54" s="251">
        <f>(SUM($J47:BO47)-SUM($J52:BO52))*$E54/12</f>
        <v>10030.86419753086</v>
      </c>
      <c r="BP54" s="251">
        <f>(SUM($J47:BP47)-SUM($J52:BP52))*$E54/12</f>
        <v>9645.061728395056</v>
      </c>
      <c r="BQ54" s="251">
        <f>(SUM($J47:BQ47)-SUM($J52:BQ52))*$E54/12</f>
        <v>9259.2592592592537</v>
      </c>
      <c r="BR54" s="251">
        <f>(SUM($J47:BR47)-SUM($J52:BR52))*$E54/12</f>
        <v>8873.4567901234495</v>
      </c>
      <c r="BS54" s="251">
        <f>(SUM($J47:BS47)-SUM($J52:BS52))*$E54/12</f>
        <v>8487.6543209876454</v>
      </c>
      <c r="BT54" s="251">
        <f>(SUM($J47:BT47)-SUM($J52:BT52))*$E54/12</f>
        <v>8101.8518518518431</v>
      </c>
      <c r="BU54" s="251">
        <f>(SUM($J47:BU47)-SUM($J52:BU52))*$E54/12</f>
        <v>7716.049382716039</v>
      </c>
      <c r="BV54" s="251">
        <f>(SUM($J47:BV47)-SUM($J52:BV52))*$E54/12</f>
        <v>7330.2469135802357</v>
      </c>
      <c r="BW54" s="251">
        <f>(SUM($J47:BW47)-SUM($J52:BW52))*$E54/12</f>
        <v>6944.4444444444334</v>
      </c>
      <c r="BX54" s="251">
        <f>(SUM($J47:BX47)-SUM($J52:BX52))*$E54/12</f>
        <v>6558.6419753086293</v>
      </c>
      <c r="BY54" s="251">
        <f>(SUM($J47:BY47)-SUM($J52:BY52))*$E54/12</f>
        <v>6172.8395061728261</v>
      </c>
      <c r="BZ54" s="251">
        <f>(SUM($J47:BZ47)-SUM($J52:BZ52))*$E54/12</f>
        <v>5787.0370370370219</v>
      </c>
      <c r="CA54" s="251">
        <f>(SUM($J47:CA47)-SUM($J52:CA52))*$E54/12</f>
        <v>5401.2345679012187</v>
      </c>
      <c r="CB54" s="251">
        <f>(SUM($J47:CB47)-SUM($J52:CB52))*$E54/12</f>
        <v>5015.4320987654155</v>
      </c>
      <c r="CC54" s="251">
        <f>(SUM($J47:CC47)-SUM($J52:CC52))*$E54/12</f>
        <v>4629.6296296296123</v>
      </c>
      <c r="CD54" s="251">
        <f>(SUM($J47:CD47)-SUM($J52:CD52))*$E54/12</f>
        <v>4243.8271604938082</v>
      </c>
      <c r="CE54" s="251">
        <f>(SUM($J47:CE47)-SUM($J52:CE52))*$E54/12</f>
        <v>3858.0246913580049</v>
      </c>
      <c r="CF54" s="251">
        <f>(SUM($J47:CF47)-SUM($J52:CF52))*$E54/12</f>
        <v>3472.2222222222022</v>
      </c>
      <c r="CG54" s="251">
        <f>(SUM($J47:CG47)-SUM($J52:CG52))*$E54/12</f>
        <v>3086.4197530864003</v>
      </c>
      <c r="CH54" s="251">
        <f>(SUM($J47:CH47)-SUM($J52:CH52))*$E54/12</f>
        <v>2700.6172839505984</v>
      </c>
      <c r="CI54" s="251">
        <f>(SUM($J47:CI47)-SUM($J52:CI52))*$E54/12</f>
        <v>2314.814814814797</v>
      </c>
      <c r="CJ54" s="251">
        <f>(SUM($J47:CJ47)-SUM($J52:CJ52))*$E54/12</f>
        <v>1929.0123456789959</v>
      </c>
      <c r="CK54" s="251">
        <f>(SUM($J47:CK47)-SUM($J52:CK52))*$E54/12</f>
        <v>1543.2098765431945</v>
      </c>
      <c r="CL54" s="251">
        <f>(SUM($J47:CL47)-SUM($J52:CL52))*$E54/12</f>
        <v>1157.4074074073928</v>
      </c>
      <c r="CM54" s="251">
        <f>(SUM($J47:CM47)-SUM($J52:CM52))*$E54/12</f>
        <v>771.60493827159132</v>
      </c>
      <c r="CN54" s="251">
        <f>(SUM($J47:CN47)-SUM($J52:CN52))*$E54/12</f>
        <v>385.80246913578981</v>
      </c>
      <c r="CO54" s="251">
        <f>(SUM($J47:CO47)-SUM($J52:CO52))*$E54/12</f>
        <v>-1.1641532182693484E-11</v>
      </c>
      <c r="CP54" s="251">
        <f>(SUM($J47:CP47)-SUM($J52:CP52))*$E54/12</f>
        <v>-1.1641532182693484E-11</v>
      </c>
      <c r="CQ54" s="251">
        <f>(SUM($J47:CQ47)-SUM($J52:CQ52))*$E54/12</f>
        <v>-1.1641532182693484E-11</v>
      </c>
      <c r="CR54" s="251">
        <f>(SUM($J47:CR47)-SUM($J52:CR52))*$E54/12</f>
        <v>-1.1641532182693484E-11</v>
      </c>
      <c r="CS54" s="251">
        <f>(SUM($J47:CS47)-SUM($J52:CS52))*$E54/12</f>
        <v>-1.1641532182693484E-11</v>
      </c>
      <c r="CT54" s="251">
        <f>(SUM($J47:CT47)-SUM($J52:CT52))*$E54/12</f>
        <v>-1.1641532182693484E-11</v>
      </c>
      <c r="CU54" s="251">
        <f>(SUM($J47:CU47)-SUM($J52:CU52))*$E54/12</f>
        <v>-1.1641532182693484E-11</v>
      </c>
      <c r="CV54" s="251">
        <f>(SUM($J47:CV47)-SUM($J52:CV52))*$E54/12</f>
        <v>-1.1641532182693484E-11</v>
      </c>
      <c r="CW54" s="251">
        <f>(SUM($J47:CW47)-SUM($J52:CW52))*$E54/12</f>
        <v>-1.1641532182693484E-11</v>
      </c>
      <c r="CX54" s="251">
        <f>(SUM($J47:CX47)-SUM($J52:CX52))*$E54/12</f>
        <v>-1.1641532182693484E-11</v>
      </c>
      <c r="CY54" s="251">
        <f>(SUM($J47:CY47)-SUM($J52:CY52))*$E54/12</f>
        <v>-1.1641532182693484E-11</v>
      </c>
      <c r="CZ54" s="251">
        <f>(SUM($J47:CZ47)-SUM($J52:CZ52))*$E54/12</f>
        <v>-1.1641532182693484E-11</v>
      </c>
      <c r="DA54" s="251">
        <f>(SUM($J47:DA47)-SUM($J52:DA52))*$E54/12</f>
        <v>-1.1641532182693484E-11</v>
      </c>
      <c r="DB54" s="251">
        <f>(SUM($J47:DB47)-SUM($J52:DB52))*$E54/12</f>
        <v>-1.1641532182693484E-11</v>
      </c>
      <c r="DC54" s="251">
        <f>(SUM($J47:DC47)-SUM($J52:DC52))*$E54/12</f>
        <v>-1.1641532182693484E-11</v>
      </c>
      <c r="DD54" s="251">
        <f>(SUM($J47:DD47)-SUM($J52:DD52))*$E54/12</f>
        <v>-1.1641532182693484E-11</v>
      </c>
      <c r="DE54" s="251">
        <f>(SUM($J47:DE47)-SUM($J52:DE52))*$E54/12</f>
        <v>-1.1641532182693484E-11</v>
      </c>
      <c r="DF54" s="251">
        <f>(SUM($J47:DF47)-SUM($J52:DF52))*$E54/12</f>
        <v>-1.1641532182693484E-11</v>
      </c>
      <c r="DG54" s="251">
        <f>(SUM($J47:DG47)-SUM($J52:DG52))*$E54/12</f>
        <v>-1.1641532182693484E-11</v>
      </c>
      <c r="DH54" s="251">
        <f>(SUM($J47:DH47)-SUM($J52:DH52))*$E54/12</f>
        <v>-1.1641532182693484E-11</v>
      </c>
      <c r="DI54" s="251">
        <f>(SUM($J47:DI47)-SUM($J52:DI52))*$E54/12</f>
        <v>-1.1641532182693484E-11</v>
      </c>
      <c r="DJ54" s="251">
        <f>(SUM($J47:DJ47)-SUM($J52:DJ52))*$E54/12</f>
        <v>-1.1641532182693484E-11</v>
      </c>
      <c r="DK54" s="251">
        <f>(SUM($J47:DK47)-SUM($J52:DK52))*$E54/12</f>
        <v>-1.1641532182693484E-11</v>
      </c>
      <c r="DL54" s="251">
        <f>(SUM($J47:DL47)-SUM($J52:DL52))*$E54/12</f>
        <v>-1.1641532182693484E-11</v>
      </c>
      <c r="DM54" s="251">
        <f>(SUM($J47:DM47)-SUM($J52:DM52))*$E54/12</f>
        <v>-1.1641532182693484E-11</v>
      </c>
      <c r="DN54" s="251">
        <f>(SUM($J47:DN47)-SUM($J52:DN52))*$E54/12</f>
        <v>-1.1641532182693484E-11</v>
      </c>
      <c r="DO54" s="251">
        <f>(SUM($J47:DO47)-SUM($J52:DO52))*$E54/12</f>
        <v>-1.1641532182693484E-11</v>
      </c>
      <c r="DP54" s="251">
        <f>(SUM($J47:DP47)-SUM($J52:DP52))*$E54/12</f>
        <v>-1.1641532182693484E-11</v>
      </c>
      <c r="DQ54" s="251">
        <f>(SUM($J47:DQ47)-SUM($J52:DQ52))*$E54/12</f>
        <v>-1.1641532182693484E-11</v>
      </c>
      <c r="DR54" s="251">
        <f>(SUM($J47:DR47)-SUM($J52:DR52))*$E54/12</f>
        <v>-1.1641532182693484E-11</v>
      </c>
      <c r="DS54" s="251">
        <f>(SUM($J47:DS47)-SUM($J52:DS52))*$E54/12</f>
        <v>-1.1641532182693484E-11</v>
      </c>
      <c r="DT54" s="251">
        <f>(SUM($J47:DT47)-SUM($J52:DT52))*$E54/12</f>
        <v>-1.1641532182693484E-11</v>
      </c>
      <c r="DU54" s="251">
        <f>(SUM($J47:DU47)-SUM($J52:DU52))*$E54/12</f>
        <v>-1.1641532182693484E-11</v>
      </c>
      <c r="DV54" s="251">
        <f>(SUM($J47:DV47)-SUM($J52:DV52))*$E54/12</f>
        <v>-1.1641532182693484E-11</v>
      </c>
      <c r="DW54" s="251">
        <f>(SUM($J47:DW47)-SUM($J52:DW52))*$E54/12</f>
        <v>-1.1641532182693484E-11</v>
      </c>
      <c r="DX54" s="251">
        <f>(SUM($J47:DX47)-SUM($J52:DX52))*$E54/12</f>
        <v>-1.1641532182693484E-11</v>
      </c>
      <c r="DY54" s="251">
        <f>(SUM($J47:DY47)-SUM($J52:DY52))*$E54/12</f>
        <v>-1.1641532182693484E-11</v>
      </c>
    </row>
    <row r="55" spans="2:129" s="43" customFormat="1">
      <c r="C55" s="43" t="s">
        <v>390</v>
      </c>
      <c r="E55" s="488"/>
      <c r="F55" s="131"/>
      <c r="G55" s="131"/>
      <c r="H55" s="131"/>
      <c r="J55" s="491">
        <f>J49*$E54/12</f>
        <v>0</v>
      </c>
      <c r="K55" s="491">
        <f t="shared" ref="K55:BV55" si="45">K49*$E54/12</f>
        <v>0</v>
      </c>
      <c r="L55" s="491">
        <f t="shared" si="45"/>
        <v>0</v>
      </c>
      <c r="M55" s="491">
        <f t="shared" si="45"/>
        <v>0</v>
      </c>
      <c r="N55" s="491">
        <f t="shared" si="45"/>
        <v>0</v>
      </c>
      <c r="O55" s="491">
        <f t="shared" si="45"/>
        <v>0</v>
      </c>
      <c r="P55" s="491">
        <f t="shared" si="45"/>
        <v>0</v>
      </c>
      <c r="Q55" s="491">
        <f t="shared" si="45"/>
        <v>0</v>
      </c>
      <c r="R55" s="491">
        <f t="shared" si="45"/>
        <v>0</v>
      </c>
      <c r="S55" s="491">
        <f t="shared" si="45"/>
        <v>0</v>
      </c>
      <c r="T55" s="491">
        <f t="shared" si="45"/>
        <v>0</v>
      </c>
      <c r="U55" s="491">
        <f t="shared" si="45"/>
        <v>0</v>
      </c>
      <c r="V55" s="491">
        <f t="shared" si="45"/>
        <v>0</v>
      </c>
      <c r="W55" s="491">
        <f t="shared" si="45"/>
        <v>0</v>
      </c>
      <c r="X55" s="491">
        <f t="shared" si="45"/>
        <v>0</v>
      </c>
      <c r="Y55" s="491">
        <f t="shared" si="45"/>
        <v>0</v>
      </c>
      <c r="Z55" s="491">
        <f t="shared" si="45"/>
        <v>0</v>
      </c>
      <c r="AA55" s="491">
        <f t="shared" si="45"/>
        <v>0</v>
      </c>
      <c r="AB55" s="491">
        <f t="shared" si="45"/>
        <v>0</v>
      </c>
      <c r="AC55" s="491">
        <f t="shared" si="45"/>
        <v>0</v>
      </c>
      <c r="AD55" s="491">
        <f t="shared" si="45"/>
        <v>0</v>
      </c>
      <c r="AE55" s="491">
        <f t="shared" si="45"/>
        <v>0</v>
      </c>
      <c r="AF55" s="491">
        <f t="shared" si="45"/>
        <v>0</v>
      </c>
      <c r="AG55" s="491">
        <f t="shared" si="45"/>
        <v>0</v>
      </c>
      <c r="AH55" s="491">
        <f t="shared" si="45"/>
        <v>208333.33333333334</v>
      </c>
      <c r="AI55" s="491">
        <f t="shared" si="45"/>
        <v>208333.33333333334</v>
      </c>
      <c r="AJ55" s="491">
        <f t="shared" si="45"/>
        <v>208333.33333333334</v>
      </c>
      <c r="AK55" s="491">
        <f t="shared" si="45"/>
        <v>208333.33333333334</v>
      </c>
      <c r="AL55" s="491">
        <f t="shared" si="45"/>
        <v>208333.33333333334</v>
      </c>
      <c r="AM55" s="491">
        <f t="shared" si="45"/>
        <v>208333.33333333334</v>
      </c>
      <c r="AN55" s="491">
        <f t="shared" si="45"/>
        <v>204475.30864197531</v>
      </c>
      <c r="AO55" s="491">
        <f t="shared" si="45"/>
        <v>200617.2839506173</v>
      </c>
      <c r="AP55" s="491">
        <f t="shared" si="45"/>
        <v>196759.2592592593</v>
      </c>
      <c r="AQ55" s="491">
        <f t="shared" si="45"/>
        <v>192901.23456790124</v>
      </c>
      <c r="AR55" s="491">
        <f>AR49*$E54/12</f>
        <v>189043.20987654323</v>
      </c>
      <c r="AS55" s="491">
        <f t="shared" si="45"/>
        <v>185185.1851851852</v>
      </c>
      <c r="AT55" s="491">
        <f t="shared" si="45"/>
        <v>181327.16049382719</v>
      </c>
      <c r="AU55" s="491">
        <f t="shared" si="45"/>
        <v>177469.13580246919</v>
      </c>
      <c r="AV55" s="491">
        <f t="shared" si="45"/>
        <v>173611.11111111115</v>
      </c>
      <c r="AW55" s="491">
        <f t="shared" si="45"/>
        <v>169753.08641975312</v>
      </c>
      <c r="AX55" s="491">
        <f t="shared" si="45"/>
        <v>165895.06172839509</v>
      </c>
      <c r="AY55" s="491">
        <f t="shared" si="45"/>
        <v>162037.03703703708</v>
      </c>
      <c r="AZ55" s="491">
        <f t="shared" si="45"/>
        <v>158179.01234567905</v>
      </c>
      <c r="BA55" s="491">
        <f t="shared" si="45"/>
        <v>154320.98765432104</v>
      </c>
      <c r="BB55" s="491">
        <f t="shared" si="45"/>
        <v>150462.96296296301</v>
      </c>
      <c r="BC55" s="491">
        <f t="shared" si="45"/>
        <v>146604.93827160497</v>
      </c>
      <c r="BD55" s="491">
        <f t="shared" si="45"/>
        <v>142746.91358024697</v>
      </c>
      <c r="BE55" s="491">
        <f t="shared" si="45"/>
        <v>138888.88888888893</v>
      </c>
      <c r="BF55" s="491">
        <f t="shared" si="45"/>
        <v>135030.86419753093</v>
      </c>
      <c r="BG55" s="491">
        <f t="shared" si="45"/>
        <v>131172.8395061729</v>
      </c>
      <c r="BH55" s="491">
        <f t="shared" si="45"/>
        <v>127314.81481481488</v>
      </c>
      <c r="BI55" s="491">
        <f t="shared" si="45"/>
        <v>123456.79012345686</v>
      </c>
      <c r="BJ55" s="491">
        <f t="shared" si="45"/>
        <v>119598.76543209882</v>
      </c>
      <c r="BK55" s="491">
        <f t="shared" si="45"/>
        <v>115740.7407407408</v>
      </c>
      <c r="BL55" s="491">
        <f t="shared" si="45"/>
        <v>111882.71604938277</v>
      </c>
      <c r="BM55" s="491">
        <f t="shared" si="45"/>
        <v>108024.69135802476</v>
      </c>
      <c r="BN55" s="491">
        <f t="shared" si="45"/>
        <v>104166.66666666673</v>
      </c>
      <c r="BO55" s="491">
        <f t="shared" si="45"/>
        <v>100308.64197530871</v>
      </c>
      <c r="BP55" s="491">
        <f t="shared" si="45"/>
        <v>96450.617283950691</v>
      </c>
      <c r="BQ55" s="491">
        <f t="shared" si="45"/>
        <v>92592.592592592657</v>
      </c>
      <c r="BR55" s="491">
        <f t="shared" si="45"/>
        <v>88734.567901234652</v>
      </c>
      <c r="BS55" s="491">
        <f t="shared" si="45"/>
        <v>84876.543209876618</v>
      </c>
      <c r="BT55" s="491">
        <f t="shared" si="45"/>
        <v>81018.518518518598</v>
      </c>
      <c r="BU55" s="491">
        <f t="shared" si="45"/>
        <v>77160.493827160579</v>
      </c>
      <c r="BV55" s="491">
        <f t="shared" si="45"/>
        <v>73302.469135802545</v>
      </c>
      <c r="BW55" s="491">
        <f t="shared" ref="BW55:CC55" si="46">BW49*$E54/12</f>
        <v>69444.44444444454</v>
      </c>
      <c r="BX55" s="491">
        <f t="shared" si="46"/>
        <v>65586.419753086506</v>
      </c>
      <c r="BY55" s="491">
        <f t="shared" si="46"/>
        <v>61728.395061728486</v>
      </c>
      <c r="BZ55" s="491">
        <f t="shared" si="46"/>
        <v>57870.37037037046</v>
      </c>
      <c r="CA55" s="491">
        <f t="shared" si="46"/>
        <v>54012.34567901244</v>
      </c>
      <c r="CB55" s="491">
        <f t="shared" si="46"/>
        <v>50154.320987654413</v>
      </c>
      <c r="CC55" s="491">
        <f t="shared" si="46"/>
        <v>46296.296296296401</v>
      </c>
      <c r="CD55" s="491">
        <f t="shared" ref="CD55:DY55" si="47">CD49*$E54/12</f>
        <v>42438.271604938374</v>
      </c>
      <c r="CE55" s="491">
        <f t="shared" si="47"/>
        <v>38580.246913580348</v>
      </c>
      <c r="CF55" s="491">
        <f t="shared" si="47"/>
        <v>34722.222222222328</v>
      </c>
      <c r="CG55" s="491">
        <f t="shared" si="47"/>
        <v>30864.197530864298</v>
      </c>
      <c r="CH55" s="491">
        <f t="shared" si="47"/>
        <v>27006.172839506271</v>
      </c>
      <c r="CI55" s="491">
        <f t="shared" si="47"/>
        <v>23148.148148148244</v>
      </c>
      <c r="CJ55" s="491">
        <f t="shared" si="47"/>
        <v>19290.123456790217</v>
      </c>
      <c r="CK55" s="491">
        <f t="shared" si="47"/>
        <v>15432.098765432194</v>
      </c>
      <c r="CL55" s="491">
        <f t="shared" si="47"/>
        <v>11574.074074074168</v>
      </c>
      <c r="CM55" s="491">
        <f t="shared" si="47"/>
        <v>7716.0493827161445</v>
      </c>
      <c r="CN55" s="491">
        <f t="shared" si="47"/>
        <v>3858.0246913581191</v>
      </c>
      <c r="CO55" s="491">
        <f t="shared" si="47"/>
        <v>9.410238514343899E-11</v>
      </c>
      <c r="CP55" s="491">
        <f t="shared" si="47"/>
        <v>9.410238514343899E-11</v>
      </c>
      <c r="CQ55" s="491">
        <f t="shared" si="47"/>
        <v>9.410238514343899E-11</v>
      </c>
      <c r="CR55" s="491">
        <f t="shared" si="47"/>
        <v>9.410238514343899E-11</v>
      </c>
      <c r="CS55" s="491">
        <f t="shared" si="47"/>
        <v>9.410238514343899E-11</v>
      </c>
      <c r="CT55" s="491">
        <f t="shared" si="47"/>
        <v>9.410238514343899E-11</v>
      </c>
      <c r="CU55" s="491">
        <f t="shared" si="47"/>
        <v>9.410238514343899E-11</v>
      </c>
      <c r="CV55" s="491">
        <f t="shared" si="47"/>
        <v>9.410238514343899E-11</v>
      </c>
      <c r="CW55" s="491">
        <f t="shared" si="47"/>
        <v>9.410238514343899E-11</v>
      </c>
      <c r="CX55" s="491">
        <f t="shared" si="47"/>
        <v>9.410238514343899E-11</v>
      </c>
      <c r="CY55" s="491">
        <f t="shared" si="47"/>
        <v>9.410238514343899E-11</v>
      </c>
      <c r="CZ55" s="491">
        <f t="shared" si="47"/>
        <v>9.410238514343899E-11</v>
      </c>
      <c r="DA55" s="491">
        <f t="shared" si="47"/>
        <v>9.410238514343899E-11</v>
      </c>
      <c r="DB55" s="491">
        <f t="shared" si="47"/>
        <v>9.410238514343899E-11</v>
      </c>
      <c r="DC55" s="491">
        <f t="shared" si="47"/>
        <v>9.410238514343899E-11</v>
      </c>
      <c r="DD55" s="491">
        <f t="shared" si="47"/>
        <v>9.410238514343899E-11</v>
      </c>
      <c r="DE55" s="491">
        <f t="shared" si="47"/>
        <v>9.410238514343899E-11</v>
      </c>
      <c r="DF55" s="491">
        <f t="shared" si="47"/>
        <v>9.410238514343899E-11</v>
      </c>
      <c r="DG55" s="491">
        <f t="shared" si="47"/>
        <v>9.410238514343899E-11</v>
      </c>
      <c r="DH55" s="491">
        <f t="shared" si="47"/>
        <v>9.410238514343899E-11</v>
      </c>
      <c r="DI55" s="491">
        <f t="shared" si="47"/>
        <v>9.410238514343899E-11</v>
      </c>
      <c r="DJ55" s="491">
        <f t="shared" si="47"/>
        <v>9.410238514343899E-11</v>
      </c>
      <c r="DK55" s="491">
        <f t="shared" si="47"/>
        <v>9.410238514343899E-11</v>
      </c>
      <c r="DL55" s="491">
        <f t="shared" si="47"/>
        <v>9.410238514343899E-11</v>
      </c>
      <c r="DM55" s="491">
        <f t="shared" si="47"/>
        <v>9.410238514343899E-11</v>
      </c>
      <c r="DN55" s="491">
        <f t="shared" si="47"/>
        <v>9.410238514343899E-11</v>
      </c>
      <c r="DO55" s="491">
        <f t="shared" si="47"/>
        <v>9.410238514343899E-11</v>
      </c>
      <c r="DP55" s="491">
        <f t="shared" si="47"/>
        <v>9.410238514343899E-11</v>
      </c>
      <c r="DQ55" s="491">
        <f t="shared" si="47"/>
        <v>9.410238514343899E-11</v>
      </c>
      <c r="DR55" s="491">
        <f t="shared" si="47"/>
        <v>9.410238514343899E-11</v>
      </c>
      <c r="DS55" s="491">
        <f t="shared" si="47"/>
        <v>9.410238514343899E-11</v>
      </c>
      <c r="DT55" s="491">
        <f t="shared" si="47"/>
        <v>9.410238514343899E-11</v>
      </c>
      <c r="DU55" s="491">
        <f t="shared" si="47"/>
        <v>9.410238514343899E-11</v>
      </c>
      <c r="DV55" s="491">
        <f t="shared" si="47"/>
        <v>9.410238514343899E-11</v>
      </c>
      <c r="DW55" s="491">
        <f t="shared" si="47"/>
        <v>9.410238514343899E-11</v>
      </c>
      <c r="DX55" s="491">
        <f t="shared" si="47"/>
        <v>9.410238514343899E-11</v>
      </c>
      <c r="DY55" s="491">
        <f t="shared" si="47"/>
        <v>9.410238514343899E-11</v>
      </c>
    </row>
    <row r="56" spans="2:129" s="43" customFormat="1">
      <c r="C56" s="43" t="s">
        <v>392</v>
      </c>
      <c r="E56" s="486"/>
      <c r="F56" s="127"/>
      <c r="G56" s="127"/>
      <c r="H56" s="127"/>
      <c r="J56" s="491">
        <f>IF($E46="USD",J49*(1-Flags!$K$29),0)</f>
        <v>0</v>
      </c>
      <c r="K56" s="491">
        <f>IF($E46="USD",K49*(1-Flags!$K$29),0)</f>
        <v>0</v>
      </c>
      <c r="L56" s="491">
        <f>IF($E46="USD",L49*(1-Flags!$K$29),0)</f>
        <v>0</v>
      </c>
      <c r="M56" s="491">
        <f>IF($E46="USD",M49*(1-Flags!$K$29),0)</f>
        <v>0</v>
      </c>
      <c r="N56" s="491">
        <f>IF($E46="USD",N49*(1-Flags!$K$29),0)</f>
        <v>0</v>
      </c>
      <c r="O56" s="491">
        <f>IF($E46="USD",O49*(1-Flags!$K$29),0)</f>
        <v>0</v>
      </c>
      <c r="P56" s="491">
        <f>IF($E46="USD",P49*(1-Flags!$K$29),0)</f>
        <v>0</v>
      </c>
      <c r="Q56" s="491">
        <f>IF($E46="USD",Q49*(1-Flags!$K$29),0)</f>
        <v>0</v>
      </c>
      <c r="R56" s="491">
        <f>IF($E46="USD",R49*(1-Flags!$K$29),0)</f>
        <v>0</v>
      </c>
      <c r="S56" s="491">
        <f>IF($E46="USD",S49*(1-Flags!$K$29),0)</f>
        <v>0</v>
      </c>
      <c r="T56" s="491">
        <f>IF($E46="USD",T49*(1-Flags!$K$29),0)</f>
        <v>0</v>
      </c>
      <c r="U56" s="491">
        <f>IF($E46="USD",U49*(1-Flags!$K$29),0)</f>
        <v>0</v>
      </c>
      <c r="V56" s="491">
        <f>IF($E46="USD",V49*(1-Flags!$K$29),0)</f>
        <v>0</v>
      </c>
      <c r="W56" s="491">
        <f>IF($E46="USD",W49*(1-Flags!$K$29),0)</f>
        <v>0</v>
      </c>
      <c r="X56" s="491">
        <f>IF($E46="USD",X49*(1-Flags!$K$29),0)</f>
        <v>0</v>
      </c>
      <c r="Y56" s="491">
        <f>IF($E46="USD",Y49*(1-Flags!$K$29),0)</f>
        <v>0</v>
      </c>
      <c r="Z56" s="491">
        <f>IF($E46="USD",Z49*(1-Flags!$K$29),0)</f>
        <v>0</v>
      </c>
      <c r="AA56" s="491">
        <f>IF($E46="USD",AA49*(1-Flags!$K$29),0)</f>
        <v>0</v>
      </c>
      <c r="AB56" s="491">
        <f>IF($E46="USD",AB49*(1-Flags!$K$29),0)</f>
        <v>0</v>
      </c>
      <c r="AC56" s="491">
        <f>IF($E46="USD",AC49*(1-Flags!$K$29),0)</f>
        <v>0</v>
      </c>
      <c r="AD56" s="491">
        <f>IF($E46="USD",AD49*(1-Flags!$K$29),0)</f>
        <v>0</v>
      </c>
      <c r="AE56" s="491">
        <f>IF($E46="USD",AE49*(1-Flags!$K$29),0)</f>
        <v>0</v>
      </c>
      <c r="AF56" s="491">
        <f>IF($E46="USD",AF49*(1-Flags!$K$29),0)</f>
        <v>0</v>
      </c>
      <c r="AG56" s="491">
        <f>IF($E46="USD",AG49*(1-Flags!$K$29),0)</f>
        <v>0</v>
      </c>
      <c r="AH56" s="491">
        <f>IF($E46="USD",AH49*(1-Flags!$K$29),0)</f>
        <v>0</v>
      </c>
      <c r="AI56" s="491">
        <f>IF($E46="USD",AI49*(1-Flags!$K$29),0)</f>
        <v>0</v>
      </c>
      <c r="AJ56" s="491">
        <f>IF($E46="USD",AJ49*(1-Flags!$K$29),0)</f>
        <v>0</v>
      </c>
      <c r="AK56" s="491">
        <f>IF($E46="USD",AK49*(1-Flags!$K$29),0)</f>
        <v>0</v>
      </c>
      <c r="AL56" s="491">
        <f>IF($E46="USD",AL49*(1-Flags!$K$29),0)</f>
        <v>0</v>
      </c>
      <c r="AM56" s="491">
        <f>IF($E46="USD",AM49*(1-Flags!$K$29),0)</f>
        <v>0</v>
      </c>
      <c r="AN56" s="491">
        <f>IF($E46="USD",AN49*(1-Flags!$K$29),0)</f>
        <v>0</v>
      </c>
      <c r="AO56" s="491">
        <f>IF($E46="USD",AO49*(1-Flags!$K$29),0)</f>
        <v>0</v>
      </c>
      <c r="AP56" s="491">
        <f>IF($E46="USD",AP49*(1-Flags!$K$29),0)</f>
        <v>0</v>
      </c>
      <c r="AQ56" s="491">
        <f>IF($E46="USD",AQ49*(1-Flags!$K$29),0)</f>
        <v>0</v>
      </c>
      <c r="AR56" s="491">
        <f>IF($E46="USD",AR49*(1-Flags!$K$29),0)</f>
        <v>0</v>
      </c>
      <c r="AS56" s="491">
        <f>IF($E46="USD",AS49*(1-Flags!$K$29),0)</f>
        <v>0</v>
      </c>
      <c r="AT56" s="491">
        <f>IF($E46="USD",AT49*(1-Flags!$K$29),0)</f>
        <v>0</v>
      </c>
      <c r="AU56" s="491">
        <f>IF($E46="USD",AU49*(1-Flags!$K$29),0)</f>
        <v>0</v>
      </c>
      <c r="AV56" s="491">
        <f>IF($E46="USD",AV49*(1-Flags!$K$29),0)</f>
        <v>0</v>
      </c>
      <c r="AW56" s="491">
        <f>IF($E46="USD",AW49*(1-Flags!$K$29),0)</f>
        <v>0</v>
      </c>
      <c r="AX56" s="491">
        <f>IF($E46="USD",AX49*(1-Flags!$K$29),0)</f>
        <v>0</v>
      </c>
      <c r="AY56" s="491">
        <f>IF($E46="USD",AY49*(1-Flags!$K$29),0)</f>
        <v>0</v>
      </c>
      <c r="AZ56" s="491">
        <f>IF($E46="USD",AZ49*(1-Flags!$K$29),0)</f>
        <v>0</v>
      </c>
      <c r="BA56" s="491">
        <f>IF($E46="USD",BA49*(1-Flags!$K$29),0)</f>
        <v>0</v>
      </c>
      <c r="BB56" s="491">
        <f>IF($E46="USD",BB49*(1-Flags!$K$29),0)</f>
        <v>0</v>
      </c>
      <c r="BC56" s="491">
        <f>IF($E46="USD",BC49*(1-Flags!$K$29),0)</f>
        <v>0</v>
      </c>
      <c r="BD56" s="491">
        <f>IF($E46="USD",BD49*(1-Flags!$K$29),0)</f>
        <v>0</v>
      </c>
      <c r="BE56" s="491">
        <f>IF($E46="USD",BE49*(1-Flags!$K$29),0)</f>
        <v>0</v>
      </c>
      <c r="BF56" s="491">
        <f>IF($E46="USD",BF49*(1-Flags!$K$29),0)</f>
        <v>0</v>
      </c>
      <c r="BG56" s="491">
        <f>IF($E46="USD",BG49*(1-Flags!$K$29),0)</f>
        <v>0</v>
      </c>
      <c r="BH56" s="491">
        <f>IF($E46="USD",BH49*(1-Flags!$K$29),0)</f>
        <v>0</v>
      </c>
      <c r="BI56" s="491">
        <f>IF($E46="USD",BI49*(1-Flags!$K$29),0)</f>
        <v>0</v>
      </c>
      <c r="BJ56" s="491">
        <f>IF($E46="USD",BJ49*(1-Flags!$K$29),0)</f>
        <v>0</v>
      </c>
      <c r="BK56" s="491">
        <f>IF($E46="USD",BK49*(1-Flags!$K$29),0)</f>
        <v>0</v>
      </c>
      <c r="BL56" s="491">
        <f>IF($E46="USD",BL49*(1-Flags!$K$29),0)</f>
        <v>0</v>
      </c>
      <c r="BM56" s="491">
        <f>IF($E46="USD",BM49*(1-Flags!$K$29),0)</f>
        <v>0</v>
      </c>
      <c r="BN56" s="491">
        <f>IF($E46="USD",BN49*(1-Flags!$K$29),0)</f>
        <v>0</v>
      </c>
      <c r="BO56" s="491">
        <f>IF($E46="USD",BO49*(1-Flags!$K$29),0)</f>
        <v>0</v>
      </c>
      <c r="BP56" s="491">
        <f>IF($E46="USD",BP49*(1-Flags!$K$29),0)</f>
        <v>0</v>
      </c>
      <c r="BQ56" s="491">
        <f>IF($E46="USD",BQ49*(1-Flags!$K$29),0)</f>
        <v>0</v>
      </c>
      <c r="BR56" s="491">
        <f>IF($E46="USD",BR49*(1-Flags!$K$29),0)</f>
        <v>0</v>
      </c>
      <c r="BS56" s="491">
        <f>IF($E46="USD",BS49*(1-Flags!$K$29),0)</f>
        <v>0</v>
      </c>
      <c r="BT56" s="491">
        <f>IF($E46="USD",BT49*(1-Flags!$K$29),0)</f>
        <v>0</v>
      </c>
      <c r="BU56" s="491">
        <f>IF($E46="USD",BU49*(1-Flags!$K$29),0)</f>
        <v>0</v>
      </c>
      <c r="BV56" s="491">
        <f>IF($E46="USD",BV49*(1-Flags!$K$29),0)</f>
        <v>0</v>
      </c>
      <c r="BW56" s="491">
        <f>IF($E46="USD",BW49*(1-Flags!$K$29),0)</f>
        <v>0</v>
      </c>
      <c r="BX56" s="491">
        <f>IF($E46="USD",BX49*(1-Flags!$K$29),0)</f>
        <v>0</v>
      </c>
      <c r="BY56" s="491">
        <f>IF($E46="USD",BY49*(1-Flags!$K$29),0)</f>
        <v>0</v>
      </c>
      <c r="BZ56" s="491">
        <f>IF($E46="USD",BZ49*(1-Flags!$K$29),0)</f>
        <v>0</v>
      </c>
      <c r="CA56" s="491">
        <f>IF($E46="USD",CA49*(1-Flags!$K$29),0)</f>
        <v>0</v>
      </c>
      <c r="CB56" s="491">
        <f>IF($E46="USD",CB49*(1-Flags!$K$29),0)</f>
        <v>0</v>
      </c>
      <c r="CC56" s="491">
        <f>IF($E46="USD",CC49*(1-Flags!$K$29),0)</f>
        <v>0</v>
      </c>
      <c r="CD56" s="491">
        <f>IF($E46="USD",CD49*(1-Flags!$K$29),0)</f>
        <v>0</v>
      </c>
      <c r="CE56" s="491">
        <f>IF($E46="USD",CE49*(1-Flags!$K$29),0)</f>
        <v>0</v>
      </c>
      <c r="CF56" s="491">
        <f>IF($E46="USD",CF49*(1-Flags!$K$29),0)</f>
        <v>0</v>
      </c>
      <c r="CG56" s="491">
        <f>IF($E46="USD",CG49*(1-Flags!$K$29),0)</f>
        <v>0</v>
      </c>
      <c r="CH56" s="491">
        <f>IF($E46="USD",CH49*(1-Flags!$K$29),0)</f>
        <v>0</v>
      </c>
      <c r="CI56" s="491">
        <f>IF($E46="USD",CI49*(1-Flags!$K$29),0)</f>
        <v>0</v>
      </c>
      <c r="CJ56" s="491">
        <f>IF($E46="USD",CJ49*(1-Flags!$K$29),0)</f>
        <v>0</v>
      </c>
      <c r="CK56" s="491">
        <f>IF($E46="USD",CK49*(1-Flags!$K$29),0)</f>
        <v>0</v>
      </c>
      <c r="CL56" s="491">
        <f>IF($E46="USD",CL49*(1-Flags!$K$29),0)</f>
        <v>0</v>
      </c>
      <c r="CM56" s="491">
        <f>IF($E46="USD",CM49*(1-Flags!$K$29),0)</f>
        <v>0</v>
      </c>
      <c r="CN56" s="491">
        <f>IF($E46="USD",CN49*(1-Flags!$K$29),0)</f>
        <v>0</v>
      </c>
      <c r="CO56" s="491">
        <f>IF($E46="USD",CO49*(1-Flags!$K$29),0)</f>
        <v>0</v>
      </c>
      <c r="CP56" s="491">
        <f>IF($E46="USD",CP49*(1-Flags!$K$29),0)</f>
        <v>0</v>
      </c>
      <c r="CQ56" s="491">
        <f>IF($E46="USD",CQ49*(1-Flags!$K$29),0)</f>
        <v>0</v>
      </c>
      <c r="CR56" s="491">
        <f>IF($E46="USD",CR49*(1-Flags!$K$29),0)</f>
        <v>0</v>
      </c>
      <c r="CS56" s="491">
        <f>IF($E46="USD",CS49*(1-Flags!$K$29),0)</f>
        <v>0</v>
      </c>
      <c r="CT56" s="491">
        <f>IF($E46="USD",CT49*(1-Flags!$K$29),0)</f>
        <v>0</v>
      </c>
      <c r="CU56" s="491">
        <f>IF($E46="USD",CU49*(1-Flags!$K$29),0)</f>
        <v>0</v>
      </c>
      <c r="CV56" s="491">
        <f>IF($E46="USD",CV49*(1-Flags!$K$29),0)</f>
        <v>0</v>
      </c>
      <c r="CW56" s="491">
        <f>IF($E46="USD",CW49*(1-Flags!$K$29),0)</f>
        <v>0</v>
      </c>
      <c r="CX56" s="491">
        <f>IF($E46="USD",CX49*(1-Flags!$K$29),0)</f>
        <v>0</v>
      </c>
      <c r="CY56" s="491">
        <f>IF($E46="USD",CY49*(1-Flags!$K$29),0)</f>
        <v>0</v>
      </c>
      <c r="CZ56" s="491">
        <f>IF($E46="USD",CZ49*(1-Flags!$K$29),0)</f>
        <v>0</v>
      </c>
      <c r="DA56" s="491">
        <f>IF($E46="USD",DA49*(1-Flags!$K$29),0)</f>
        <v>0</v>
      </c>
      <c r="DB56" s="491">
        <f>IF($E46="USD",DB49*(1-Flags!$K$29),0)</f>
        <v>0</v>
      </c>
      <c r="DC56" s="491">
        <f>IF($E46="USD",DC49*(1-Flags!$K$29),0)</f>
        <v>0</v>
      </c>
      <c r="DD56" s="491">
        <f>IF($E46="USD",DD49*(1-Flags!$K$29),0)</f>
        <v>0</v>
      </c>
      <c r="DE56" s="491">
        <f>IF($E46="USD",DE49*(1-Flags!$K$29),0)</f>
        <v>0</v>
      </c>
      <c r="DF56" s="491">
        <f>IF($E46="USD",DF49*(1-Flags!$K$29),0)</f>
        <v>0</v>
      </c>
      <c r="DG56" s="491">
        <f>IF($E46="USD",DG49*(1-Flags!$K$29),0)</f>
        <v>0</v>
      </c>
      <c r="DH56" s="491">
        <f>IF($E46="USD",DH49*(1-Flags!$K$29),0)</f>
        <v>0</v>
      </c>
      <c r="DI56" s="491">
        <f>IF($E46="USD",DI49*(1-Flags!$K$29),0)</f>
        <v>0</v>
      </c>
      <c r="DJ56" s="491">
        <f>IF($E46="USD",DJ49*(1-Flags!$K$29),0)</f>
        <v>0</v>
      </c>
      <c r="DK56" s="491">
        <f>IF($E46="USD",DK49*(1-Flags!$K$29),0)</f>
        <v>0</v>
      </c>
      <c r="DL56" s="491">
        <f>IF($E46="USD",DL49*(1-Flags!$K$29),0)</f>
        <v>0</v>
      </c>
      <c r="DM56" s="491">
        <f>IF($E46="USD",DM49*(1-Flags!$K$29),0)</f>
        <v>0</v>
      </c>
      <c r="DN56" s="491">
        <f>IF($E46="USD",DN49*(1-Flags!$K$29),0)</f>
        <v>0</v>
      </c>
      <c r="DO56" s="491">
        <f>IF($E46="USD",DO49*(1-Flags!$K$29),0)</f>
        <v>0</v>
      </c>
      <c r="DP56" s="491">
        <f>IF($E46="USD",DP49*(1-Flags!$K$29),0)</f>
        <v>0</v>
      </c>
      <c r="DQ56" s="491">
        <f>IF($E46="USD",DQ49*(1-Flags!$K$29),0)</f>
        <v>0</v>
      </c>
      <c r="DR56" s="491">
        <f>IF($E46="USD",DR49*(1-Flags!$K$29),0)</f>
        <v>0</v>
      </c>
      <c r="DS56" s="491">
        <f>IF($E46="USD",DS49*(1-Flags!$K$29),0)</f>
        <v>0</v>
      </c>
      <c r="DT56" s="491">
        <f>IF($E46="USD",DT49*(1-Flags!$K$29),0)</f>
        <v>0</v>
      </c>
      <c r="DU56" s="491">
        <f>IF($E46="USD",DU49*(1-Flags!$K$29),0)</f>
        <v>0</v>
      </c>
      <c r="DV56" s="491">
        <f>IF($E46="USD",DV49*(1-Flags!$K$29),0)</f>
        <v>0</v>
      </c>
      <c r="DW56" s="491">
        <f>IF($E46="USD",DW49*(1-Flags!$K$29),0)</f>
        <v>0</v>
      </c>
      <c r="DX56" s="491">
        <f>IF($E46="USD",DX49*(1-Flags!$K$29),0)</f>
        <v>0</v>
      </c>
      <c r="DY56" s="491">
        <f>IF($E46="USD",DY49*(1-Flags!$K$29),0)</f>
        <v>0</v>
      </c>
    </row>
    <row r="57" spans="2:129">
      <c r="C57" s="43" t="s">
        <v>637</v>
      </c>
      <c r="E57" s="578">
        <f>'Model Assumptions'!G142</f>
        <v>0.02</v>
      </c>
      <c r="J57" s="159">
        <f>J47*$E$57</f>
        <v>0</v>
      </c>
      <c r="K57" s="159">
        <f t="shared" ref="K57:BV57" si="48">K47*$E$57</f>
        <v>0</v>
      </c>
      <c r="L57" s="159">
        <f t="shared" si="48"/>
        <v>0</v>
      </c>
      <c r="M57" s="159">
        <f t="shared" si="48"/>
        <v>0</v>
      </c>
      <c r="N57" s="159">
        <f t="shared" si="48"/>
        <v>0</v>
      </c>
      <c r="O57" s="159">
        <f t="shared" si="48"/>
        <v>0</v>
      </c>
      <c r="P57" s="159">
        <f t="shared" si="48"/>
        <v>0</v>
      </c>
      <c r="Q57" s="159">
        <f t="shared" si="48"/>
        <v>0</v>
      </c>
      <c r="R57" s="159">
        <f t="shared" si="48"/>
        <v>0</v>
      </c>
      <c r="S57" s="159">
        <f t="shared" si="48"/>
        <v>0</v>
      </c>
      <c r="T57" s="159">
        <f t="shared" si="48"/>
        <v>0</v>
      </c>
      <c r="U57" s="159">
        <f t="shared" si="48"/>
        <v>0</v>
      </c>
      <c r="V57" s="159">
        <f t="shared" si="48"/>
        <v>0</v>
      </c>
      <c r="W57" s="159">
        <f t="shared" si="48"/>
        <v>0</v>
      </c>
      <c r="X57" s="159">
        <f t="shared" si="48"/>
        <v>0</v>
      </c>
      <c r="Y57" s="159">
        <f t="shared" si="48"/>
        <v>0</v>
      </c>
      <c r="Z57" s="159">
        <f t="shared" si="48"/>
        <v>0</v>
      </c>
      <c r="AA57" s="159">
        <f t="shared" si="48"/>
        <v>0</v>
      </c>
      <c r="AB57" s="159">
        <f t="shared" si="48"/>
        <v>0</v>
      </c>
      <c r="AC57" s="159">
        <f t="shared" si="48"/>
        <v>0</v>
      </c>
      <c r="AD57" s="159">
        <f t="shared" si="48"/>
        <v>0</v>
      </c>
      <c r="AE57" s="159">
        <f t="shared" si="48"/>
        <v>0</v>
      </c>
      <c r="AF57" s="159">
        <f t="shared" si="48"/>
        <v>0</v>
      </c>
      <c r="AG57" s="159">
        <f t="shared" si="48"/>
        <v>0</v>
      </c>
      <c r="AH57" s="159">
        <f t="shared" si="48"/>
        <v>50000</v>
      </c>
      <c r="AI57" s="159">
        <f t="shared" si="48"/>
        <v>0</v>
      </c>
      <c r="AJ57" s="159">
        <f t="shared" si="48"/>
        <v>0</v>
      </c>
      <c r="AK57" s="159">
        <f t="shared" si="48"/>
        <v>0</v>
      </c>
      <c r="AL57" s="159">
        <f t="shared" si="48"/>
        <v>0</v>
      </c>
      <c r="AM57" s="159">
        <f t="shared" si="48"/>
        <v>0</v>
      </c>
      <c r="AN57" s="159">
        <f t="shared" si="48"/>
        <v>0</v>
      </c>
      <c r="AO57" s="159">
        <f t="shared" si="48"/>
        <v>0</v>
      </c>
      <c r="AP57" s="159">
        <f t="shared" si="48"/>
        <v>0</v>
      </c>
      <c r="AQ57" s="159">
        <f t="shared" si="48"/>
        <v>0</v>
      </c>
      <c r="AR57" s="159">
        <f t="shared" si="48"/>
        <v>0</v>
      </c>
      <c r="AS57" s="159">
        <f t="shared" si="48"/>
        <v>0</v>
      </c>
      <c r="AT57" s="159">
        <f t="shared" si="48"/>
        <v>0</v>
      </c>
      <c r="AU57" s="159">
        <f t="shared" si="48"/>
        <v>0</v>
      </c>
      <c r="AV57" s="159">
        <f t="shared" si="48"/>
        <v>0</v>
      </c>
      <c r="AW57" s="159">
        <f t="shared" si="48"/>
        <v>0</v>
      </c>
      <c r="AX57" s="159">
        <f t="shared" si="48"/>
        <v>0</v>
      </c>
      <c r="AY57" s="159">
        <f t="shared" si="48"/>
        <v>0</v>
      </c>
      <c r="AZ57" s="159">
        <f t="shared" si="48"/>
        <v>0</v>
      </c>
      <c r="BA57" s="159">
        <f t="shared" si="48"/>
        <v>0</v>
      </c>
      <c r="BB57" s="159">
        <f t="shared" si="48"/>
        <v>0</v>
      </c>
      <c r="BC57" s="159">
        <f t="shared" si="48"/>
        <v>0</v>
      </c>
      <c r="BD57" s="159">
        <f t="shared" si="48"/>
        <v>0</v>
      </c>
      <c r="BE57" s="159">
        <f t="shared" si="48"/>
        <v>0</v>
      </c>
      <c r="BF57" s="159">
        <f t="shared" si="48"/>
        <v>0</v>
      </c>
      <c r="BG57" s="159">
        <f t="shared" si="48"/>
        <v>0</v>
      </c>
      <c r="BH57" s="159">
        <f t="shared" si="48"/>
        <v>0</v>
      </c>
      <c r="BI57" s="159">
        <f t="shared" si="48"/>
        <v>0</v>
      </c>
      <c r="BJ57" s="159">
        <f t="shared" si="48"/>
        <v>0</v>
      </c>
      <c r="BK57" s="159">
        <f t="shared" si="48"/>
        <v>0</v>
      </c>
      <c r="BL57" s="159">
        <f t="shared" si="48"/>
        <v>0</v>
      </c>
      <c r="BM57" s="159">
        <f t="shared" si="48"/>
        <v>0</v>
      </c>
      <c r="BN57" s="159">
        <f t="shared" si="48"/>
        <v>0</v>
      </c>
      <c r="BO57" s="159">
        <f t="shared" si="48"/>
        <v>0</v>
      </c>
      <c r="BP57" s="159">
        <f t="shared" si="48"/>
        <v>0</v>
      </c>
      <c r="BQ57" s="159">
        <f t="shared" si="48"/>
        <v>0</v>
      </c>
      <c r="BR57" s="159">
        <f t="shared" si="48"/>
        <v>0</v>
      </c>
      <c r="BS57" s="159">
        <f t="shared" si="48"/>
        <v>0</v>
      </c>
      <c r="BT57" s="159">
        <f t="shared" si="48"/>
        <v>0</v>
      </c>
      <c r="BU57" s="159">
        <f t="shared" si="48"/>
        <v>0</v>
      </c>
      <c r="BV57" s="159">
        <f t="shared" si="48"/>
        <v>0</v>
      </c>
      <c r="BW57" s="159">
        <f t="shared" ref="BW57:DY57" si="49">BW47*$E$57</f>
        <v>0</v>
      </c>
      <c r="BX57" s="159">
        <f t="shared" si="49"/>
        <v>0</v>
      </c>
      <c r="BY57" s="159">
        <f t="shared" si="49"/>
        <v>0</v>
      </c>
      <c r="BZ57" s="159">
        <f t="shared" si="49"/>
        <v>0</v>
      </c>
      <c r="CA57" s="159">
        <f t="shared" si="49"/>
        <v>0</v>
      </c>
      <c r="CB57" s="159">
        <f t="shared" si="49"/>
        <v>0</v>
      </c>
      <c r="CC57" s="159">
        <f t="shared" si="49"/>
        <v>0</v>
      </c>
      <c r="CD57" s="159">
        <f t="shared" si="49"/>
        <v>0</v>
      </c>
      <c r="CE57" s="159">
        <f t="shared" si="49"/>
        <v>0</v>
      </c>
      <c r="CF57" s="159">
        <f t="shared" si="49"/>
        <v>0</v>
      </c>
      <c r="CG57" s="159">
        <f t="shared" si="49"/>
        <v>0</v>
      </c>
      <c r="CH57" s="159">
        <f t="shared" si="49"/>
        <v>0</v>
      </c>
      <c r="CI57" s="159">
        <f t="shared" si="49"/>
        <v>0</v>
      </c>
      <c r="CJ57" s="159">
        <f t="shared" si="49"/>
        <v>0</v>
      </c>
      <c r="CK57" s="159">
        <f t="shared" si="49"/>
        <v>0</v>
      </c>
      <c r="CL57" s="159">
        <f t="shared" si="49"/>
        <v>0</v>
      </c>
      <c r="CM57" s="159">
        <f t="shared" si="49"/>
        <v>0</v>
      </c>
      <c r="CN57" s="159">
        <f t="shared" si="49"/>
        <v>0</v>
      </c>
      <c r="CO57" s="159">
        <f t="shared" si="49"/>
        <v>0</v>
      </c>
      <c r="CP57" s="159">
        <f t="shared" si="49"/>
        <v>0</v>
      </c>
      <c r="CQ57" s="159">
        <f t="shared" si="49"/>
        <v>0</v>
      </c>
      <c r="CR57" s="159">
        <f t="shared" si="49"/>
        <v>0</v>
      </c>
      <c r="CS57" s="159">
        <f t="shared" si="49"/>
        <v>0</v>
      </c>
      <c r="CT57" s="159">
        <f t="shared" si="49"/>
        <v>0</v>
      </c>
      <c r="CU57" s="159">
        <f t="shared" si="49"/>
        <v>0</v>
      </c>
      <c r="CV57" s="159">
        <f t="shared" si="49"/>
        <v>0</v>
      </c>
      <c r="CW57" s="159">
        <f t="shared" si="49"/>
        <v>0</v>
      </c>
      <c r="CX57" s="159">
        <f t="shared" si="49"/>
        <v>0</v>
      </c>
      <c r="CY57" s="159">
        <f t="shared" si="49"/>
        <v>0</v>
      </c>
      <c r="CZ57" s="159">
        <f t="shared" si="49"/>
        <v>0</v>
      </c>
      <c r="DA57" s="159">
        <f t="shared" si="49"/>
        <v>0</v>
      </c>
      <c r="DB57" s="159">
        <f t="shared" si="49"/>
        <v>0</v>
      </c>
      <c r="DC57" s="159">
        <f t="shared" si="49"/>
        <v>0</v>
      </c>
      <c r="DD57" s="159">
        <f t="shared" si="49"/>
        <v>0</v>
      </c>
      <c r="DE57" s="159">
        <f t="shared" si="49"/>
        <v>0</v>
      </c>
      <c r="DF57" s="159">
        <f t="shared" si="49"/>
        <v>0</v>
      </c>
      <c r="DG57" s="159">
        <f t="shared" si="49"/>
        <v>0</v>
      </c>
      <c r="DH57" s="159">
        <f t="shared" si="49"/>
        <v>0</v>
      </c>
      <c r="DI57" s="159">
        <f t="shared" si="49"/>
        <v>0</v>
      </c>
      <c r="DJ57" s="159">
        <f t="shared" si="49"/>
        <v>0</v>
      </c>
      <c r="DK57" s="159">
        <f t="shared" si="49"/>
        <v>0</v>
      </c>
      <c r="DL57" s="159">
        <f t="shared" si="49"/>
        <v>0</v>
      </c>
      <c r="DM57" s="159">
        <f t="shared" si="49"/>
        <v>0</v>
      </c>
      <c r="DN57" s="159">
        <f t="shared" si="49"/>
        <v>0</v>
      </c>
      <c r="DO57" s="159">
        <f t="shared" si="49"/>
        <v>0</v>
      </c>
      <c r="DP57" s="159">
        <f t="shared" si="49"/>
        <v>0</v>
      </c>
      <c r="DQ57" s="159">
        <f t="shared" si="49"/>
        <v>0</v>
      </c>
      <c r="DR57" s="159">
        <f t="shared" si="49"/>
        <v>0</v>
      </c>
      <c r="DS57" s="159">
        <f t="shared" si="49"/>
        <v>0</v>
      </c>
      <c r="DT57" s="159">
        <f t="shared" si="49"/>
        <v>0</v>
      </c>
      <c r="DU57" s="159">
        <f t="shared" si="49"/>
        <v>0</v>
      </c>
      <c r="DV57" s="159">
        <f t="shared" si="49"/>
        <v>0</v>
      </c>
      <c r="DW57" s="159">
        <f t="shared" si="49"/>
        <v>0</v>
      </c>
      <c r="DX57" s="159">
        <f t="shared" si="49"/>
        <v>0</v>
      </c>
      <c r="DY57" s="159">
        <f t="shared" si="49"/>
        <v>0</v>
      </c>
    </row>
    <row r="58" spans="2:129">
      <c r="C58" s="43" t="s">
        <v>638</v>
      </c>
      <c r="J58" s="579">
        <f>J48*$E$57</f>
        <v>0</v>
      </c>
      <c r="K58" s="579">
        <f t="shared" ref="K58:BV58" si="50">K48*$E$57</f>
        <v>0</v>
      </c>
      <c r="L58" s="579">
        <f t="shared" si="50"/>
        <v>0</v>
      </c>
      <c r="M58" s="579">
        <f t="shared" si="50"/>
        <v>0</v>
      </c>
      <c r="N58" s="579">
        <f t="shared" si="50"/>
        <v>0</v>
      </c>
      <c r="O58" s="579">
        <f t="shared" si="50"/>
        <v>0</v>
      </c>
      <c r="P58" s="579">
        <f t="shared" si="50"/>
        <v>0</v>
      </c>
      <c r="Q58" s="579">
        <f t="shared" si="50"/>
        <v>0</v>
      </c>
      <c r="R58" s="579">
        <f t="shared" si="50"/>
        <v>0</v>
      </c>
      <c r="S58" s="579">
        <f t="shared" si="50"/>
        <v>0</v>
      </c>
      <c r="T58" s="579">
        <f t="shared" si="50"/>
        <v>0</v>
      </c>
      <c r="U58" s="579">
        <f t="shared" si="50"/>
        <v>0</v>
      </c>
      <c r="V58" s="579">
        <f t="shared" si="50"/>
        <v>0</v>
      </c>
      <c r="W58" s="579">
        <f t="shared" si="50"/>
        <v>0</v>
      </c>
      <c r="X58" s="579">
        <f t="shared" si="50"/>
        <v>0</v>
      </c>
      <c r="Y58" s="579">
        <f t="shared" si="50"/>
        <v>0</v>
      </c>
      <c r="Z58" s="579">
        <f t="shared" si="50"/>
        <v>0</v>
      </c>
      <c r="AA58" s="579">
        <f t="shared" si="50"/>
        <v>0</v>
      </c>
      <c r="AB58" s="579">
        <f t="shared" si="50"/>
        <v>0</v>
      </c>
      <c r="AC58" s="579">
        <f t="shared" si="50"/>
        <v>0</v>
      </c>
      <c r="AD58" s="579">
        <f t="shared" si="50"/>
        <v>0</v>
      </c>
      <c r="AE58" s="579">
        <f t="shared" si="50"/>
        <v>0</v>
      </c>
      <c r="AF58" s="579">
        <f t="shared" si="50"/>
        <v>0</v>
      </c>
      <c r="AG58" s="579">
        <f t="shared" si="50"/>
        <v>0</v>
      </c>
      <c r="AH58" s="579">
        <f t="shared" si="50"/>
        <v>500000</v>
      </c>
      <c r="AI58" s="579">
        <f t="shared" si="50"/>
        <v>0</v>
      </c>
      <c r="AJ58" s="579">
        <f t="shared" si="50"/>
        <v>0</v>
      </c>
      <c r="AK58" s="579">
        <f t="shared" si="50"/>
        <v>0</v>
      </c>
      <c r="AL58" s="579">
        <f t="shared" si="50"/>
        <v>0</v>
      </c>
      <c r="AM58" s="579">
        <f t="shared" si="50"/>
        <v>0</v>
      </c>
      <c r="AN58" s="579">
        <f t="shared" si="50"/>
        <v>0</v>
      </c>
      <c r="AO58" s="579">
        <f t="shared" si="50"/>
        <v>0</v>
      </c>
      <c r="AP58" s="579">
        <f t="shared" si="50"/>
        <v>0</v>
      </c>
      <c r="AQ58" s="579">
        <f t="shared" si="50"/>
        <v>0</v>
      </c>
      <c r="AR58" s="579">
        <f t="shared" si="50"/>
        <v>0</v>
      </c>
      <c r="AS58" s="579">
        <f t="shared" si="50"/>
        <v>0</v>
      </c>
      <c r="AT58" s="579">
        <f t="shared" si="50"/>
        <v>0</v>
      </c>
      <c r="AU58" s="579">
        <f t="shared" si="50"/>
        <v>0</v>
      </c>
      <c r="AV58" s="579">
        <f t="shared" si="50"/>
        <v>0</v>
      </c>
      <c r="AW58" s="579">
        <f t="shared" si="50"/>
        <v>0</v>
      </c>
      <c r="AX58" s="579">
        <f t="shared" si="50"/>
        <v>0</v>
      </c>
      <c r="AY58" s="579">
        <f t="shared" si="50"/>
        <v>0</v>
      </c>
      <c r="AZ58" s="579">
        <f t="shared" si="50"/>
        <v>0</v>
      </c>
      <c r="BA58" s="579">
        <f t="shared" si="50"/>
        <v>0</v>
      </c>
      <c r="BB58" s="579">
        <f t="shared" si="50"/>
        <v>0</v>
      </c>
      <c r="BC58" s="579">
        <f t="shared" si="50"/>
        <v>0</v>
      </c>
      <c r="BD58" s="579">
        <f t="shared" si="50"/>
        <v>0</v>
      </c>
      <c r="BE58" s="579">
        <f t="shared" si="50"/>
        <v>0</v>
      </c>
      <c r="BF58" s="579">
        <f t="shared" si="50"/>
        <v>0</v>
      </c>
      <c r="BG58" s="579">
        <f t="shared" si="50"/>
        <v>0</v>
      </c>
      <c r="BH58" s="579">
        <f t="shared" si="50"/>
        <v>0</v>
      </c>
      <c r="BI58" s="579">
        <f t="shared" si="50"/>
        <v>0</v>
      </c>
      <c r="BJ58" s="579">
        <f t="shared" si="50"/>
        <v>0</v>
      </c>
      <c r="BK58" s="579">
        <f t="shared" si="50"/>
        <v>0</v>
      </c>
      <c r="BL58" s="579">
        <f t="shared" si="50"/>
        <v>0</v>
      </c>
      <c r="BM58" s="579">
        <f t="shared" si="50"/>
        <v>0</v>
      </c>
      <c r="BN58" s="579">
        <f t="shared" si="50"/>
        <v>0</v>
      </c>
      <c r="BO58" s="579">
        <f t="shared" si="50"/>
        <v>0</v>
      </c>
      <c r="BP58" s="579">
        <f t="shared" si="50"/>
        <v>0</v>
      </c>
      <c r="BQ58" s="579">
        <f t="shared" si="50"/>
        <v>0</v>
      </c>
      <c r="BR58" s="579">
        <f t="shared" si="50"/>
        <v>0</v>
      </c>
      <c r="BS58" s="579">
        <f t="shared" si="50"/>
        <v>0</v>
      </c>
      <c r="BT58" s="579">
        <f t="shared" si="50"/>
        <v>0</v>
      </c>
      <c r="BU58" s="579">
        <f t="shared" si="50"/>
        <v>0</v>
      </c>
      <c r="BV58" s="579">
        <f t="shared" si="50"/>
        <v>0</v>
      </c>
      <c r="BW58" s="579">
        <f t="shared" ref="BW58:DY58" si="51">BW48*$E$57</f>
        <v>0</v>
      </c>
      <c r="BX58" s="579">
        <f t="shared" si="51"/>
        <v>0</v>
      </c>
      <c r="BY58" s="579">
        <f t="shared" si="51"/>
        <v>0</v>
      </c>
      <c r="BZ58" s="579">
        <f t="shared" si="51"/>
        <v>0</v>
      </c>
      <c r="CA58" s="579">
        <f t="shared" si="51"/>
        <v>0</v>
      </c>
      <c r="CB58" s="579">
        <f t="shared" si="51"/>
        <v>0</v>
      </c>
      <c r="CC58" s="579">
        <f t="shared" si="51"/>
        <v>0</v>
      </c>
      <c r="CD58" s="579">
        <f t="shared" si="51"/>
        <v>0</v>
      </c>
      <c r="CE58" s="579">
        <f t="shared" si="51"/>
        <v>0</v>
      </c>
      <c r="CF58" s="579">
        <f t="shared" si="51"/>
        <v>0</v>
      </c>
      <c r="CG58" s="579">
        <f t="shared" si="51"/>
        <v>0</v>
      </c>
      <c r="CH58" s="579">
        <f t="shared" si="51"/>
        <v>0</v>
      </c>
      <c r="CI58" s="579">
        <f t="shared" si="51"/>
        <v>0</v>
      </c>
      <c r="CJ58" s="579">
        <f t="shared" si="51"/>
        <v>0</v>
      </c>
      <c r="CK58" s="579">
        <f t="shared" si="51"/>
        <v>0</v>
      </c>
      <c r="CL58" s="579">
        <f t="shared" si="51"/>
        <v>0</v>
      </c>
      <c r="CM58" s="579">
        <f t="shared" si="51"/>
        <v>0</v>
      </c>
      <c r="CN58" s="579">
        <f t="shared" si="51"/>
        <v>0</v>
      </c>
      <c r="CO58" s="579">
        <f t="shared" si="51"/>
        <v>0</v>
      </c>
      <c r="CP58" s="579">
        <f t="shared" si="51"/>
        <v>0</v>
      </c>
      <c r="CQ58" s="579">
        <f t="shared" si="51"/>
        <v>0</v>
      </c>
      <c r="CR58" s="579">
        <f t="shared" si="51"/>
        <v>0</v>
      </c>
      <c r="CS58" s="579">
        <f t="shared" si="51"/>
        <v>0</v>
      </c>
      <c r="CT58" s="579">
        <f t="shared" si="51"/>
        <v>0</v>
      </c>
      <c r="CU58" s="579">
        <f t="shared" si="51"/>
        <v>0</v>
      </c>
      <c r="CV58" s="579">
        <f t="shared" si="51"/>
        <v>0</v>
      </c>
      <c r="CW58" s="579">
        <f t="shared" si="51"/>
        <v>0</v>
      </c>
      <c r="CX58" s="579">
        <f t="shared" si="51"/>
        <v>0</v>
      </c>
      <c r="CY58" s="579">
        <f t="shared" si="51"/>
        <v>0</v>
      </c>
      <c r="CZ58" s="579">
        <f t="shared" si="51"/>
        <v>0</v>
      </c>
      <c r="DA58" s="579">
        <f t="shared" si="51"/>
        <v>0</v>
      </c>
      <c r="DB58" s="579">
        <f t="shared" si="51"/>
        <v>0</v>
      </c>
      <c r="DC58" s="579">
        <f t="shared" si="51"/>
        <v>0</v>
      </c>
      <c r="DD58" s="579">
        <f t="shared" si="51"/>
        <v>0</v>
      </c>
      <c r="DE58" s="579">
        <f t="shared" si="51"/>
        <v>0</v>
      </c>
      <c r="DF58" s="579">
        <f t="shared" si="51"/>
        <v>0</v>
      </c>
      <c r="DG58" s="579">
        <f t="shared" si="51"/>
        <v>0</v>
      </c>
      <c r="DH58" s="579">
        <f t="shared" si="51"/>
        <v>0</v>
      </c>
      <c r="DI58" s="579">
        <f t="shared" si="51"/>
        <v>0</v>
      </c>
      <c r="DJ58" s="579">
        <f t="shared" si="51"/>
        <v>0</v>
      </c>
      <c r="DK58" s="579">
        <f t="shared" si="51"/>
        <v>0</v>
      </c>
      <c r="DL58" s="579">
        <f t="shared" si="51"/>
        <v>0</v>
      </c>
      <c r="DM58" s="579">
        <f t="shared" si="51"/>
        <v>0</v>
      </c>
      <c r="DN58" s="579">
        <f t="shared" si="51"/>
        <v>0</v>
      </c>
      <c r="DO58" s="579">
        <f t="shared" si="51"/>
        <v>0</v>
      </c>
      <c r="DP58" s="579">
        <f t="shared" si="51"/>
        <v>0</v>
      </c>
      <c r="DQ58" s="579">
        <f t="shared" si="51"/>
        <v>0</v>
      </c>
      <c r="DR58" s="579">
        <f t="shared" si="51"/>
        <v>0</v>
      </c>
      <c r="DS58" s="579">
        <f t="shared" si="51"/>
        <v>0</v>
      </c>
      <c r="DT58" s="579">
        <f t="shared" si="51"/>
        <v>0</v>
      </c>
      <c r="DU58" s="579">
        <f t="shared" si="51"/>
        <v>0</v>
      </c>
      <c r="DV58" s="579">
        <f t="shared" si="51"/>
        <v>0</v>
      </c>
      <c r="DW58" s="579">
        <f t="shared" si="51"/>
        <v>0</v>
      </c>
      <c r="DX58" s="579">
        <f t="shared" si="51"/>
        <v>0</v>
      </c>
      <c r="DY58" s="579">
        <f t="shared" si="51"/>
        <v>0</v>
      </c>
    </row>
    <row r="59" spans="2:129">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row>
    <row r="60" spans="2:129" s="43" customFormat="1">
      <c r="B60" s="44" t="s">
        <v>85</v>
      </c>
      <c r="C60" s="43" t="s">
        <v>44</v>
      </c>
      <c r="E60" s="481">
        <f>+'Model Assumptions'!H133</f>
        <v>46388</v>
      </c>
      <c r="F60" s="125"/>
      <c r="G60" s="125"/>
      <c r="H60" s="125"/>
    </row>
    <row r="61" spans="2:129" s="43" customFormat="1">
      <c r="B61" s="44"/>
      <c r="C61" s="43" t="s">
        <v>394</v>
      </c>
      <c r="E61" s="482" t="str">
        <f>+'Model Assumptions'!H137</f>
        <v>LCY</v>
      </c>
      <c r="F61" s="125"/>
      <c r="G61" s="125"/>
      <c r="H61" s="125"/>
    </row>
    <row r="62" spans="2:129" s="43" customFormat="1">
      <c r="C62" s="43" t="s">
        <v>386</v>
      </c>
      <c r="E62" s="482">
        <f>+'Model Assumptions'!H134</f>
        <v>1200000</v>
      </c>
      <c r="F62" s="126"/>
      <c r="G62" s="126"/>
      <c r="H62" s="126"/>
      <c r="J62" s="46">
        <f t="shared" ref="J62:AO62" si="52">+IF(J$1=$E$60,$E$62,0)</f>
        <v>0</v>
      </c>
      <c r="K62" s="46">
        <f t="shared" si="52"/>
        <v>0</v>
      </c>
      <c r="L62" s="46">
        <f t="shared" si="52"/>
        <v>0</v>
      </c>
      <c r="M62" s="46">
        <f t="shared" si="52"/>
        <v>0</v>
      </c>
      <c r="N62" s="46">
        <f t="shared" si="52"/>
        <v>0</v>
      </c>
      <c r="O62" s="46">
        <f t="shared" si="52"/>
        <v>0</v>
      </c>
      <c r="P62" s="46">
        <f t="shared" si="52"/>
        <v>0</v>
      </c>
      <c r="Q62" s="46">
        <f t="shared" si="52"/>
        <v>0</v>
      </c>
      <c r="R62" s="46">
        <f t="shared" si="52"/>
        <v>0</v>
      </c>
      <c r="S62" s="46">
        <f t="shared" si="52"/>
        <v>0</v>
      </c>
      <c r="T62" s="46">
        <f t="shared" si="52"/>
        <v>0</v>
      </c>
      <c r="U62" s="46">
        <f t="shared" si="52"/>
        <v>0</v>
      </c>
      <c r="V62" s="46">
        <f t="shared" si="52"/>
        <v>0</v>
      </c>
      <c r="W62" s="46">
        <f t="shared" si="52"/>
        <v>0</v>
      </c>
      <c r="X62" s="46">
        <f t="shared" si="52"/>
        <v>0</v>
      </c>
      <c r="Y62" s="46">
        <f t="shared" si="52"/>
        <v>0</v>
      </c>
      <c r="Z62" s="46">
        <f t="shared" si="52"/>
        <v>0</v>
      </c>
      <c r="AA62" s="46">
        <f t="shared" si="52"/>
        <v>0</v>
      </c>
      <c r="AB62" s="46">
        <f t="shared" si="52"/>
        <v>0</v>
      </c>
      <c r="AC62" s="46">
        <f t="shared" si="52"/>
        <v>0</v>
      </c>
      <c r="AD62" s="46">
        <f t="shared" si="52"/>
        <v>0</v>
      </c>
      <c r="AE62" s="46">
        <f t="shared" si="52"/>
        <v>0</v>
      </c>
      <c r="AF62" s="46">
        <f t="shared" si="52"/>
        <v>0</v>
      </c>
      <c r="AG62" s="46">
        <f t="shared" si="52"/>
        <v>0</v>
      </c>
      <c r="AH62" s="46">
        <f t="shared" si="52"/>
        <v>0</v>
      </c>
      <c r="AI62" s="46">
        <f t="shared" si="52"/>
        <v>0</v>
      </c>
      <c r="AJ62" s="46">
        <f t="shared" si="52"/>
        <v>0</v>
      </c>
      <c r="AK62" s="46">
        <f t="shared" si="52"/>
        <v>0</v>
      </c>
      <c r="AL62" s="46">
        <f t="shared" si="52"/>
        <v>0</v>
      </c>
      <c r="AM62" s="46">
        <f t="shared" si="52"/>
        <v>0</v>
      </c>
      <c r="AN62" s="46">
        <f t="shared" si="52"/>
        <v>0</v>
      </c>
      <c r="AO62" s="46">
        <f t="shared" si="52"/>
        <v>0</v>
      </c>
      <c r="AP62" s="46">
        <f t="shared" ref="AP62:BU62" si="53">+IF(AP$1=$E$60,$E$62,0)</f>
        <v>0</v>
      </c>
      <c r="AQ62" s="46">
        <f t="shared" si="53"/>
        <v>0</v>
      </c>
      <c r="AR62" s="46">
        <f t="shared" si="53"/>
        <v>0</v>
      </c>
      <c r="AS62" s="46">
        <f t="shared" si="53"/>
        <v>0</v>
      </c>
      <c r="AT62" s="46">
        <f t="shared" si="53"/>
        <v>0</v>
      </c>
      <c r="AU62" s="46">
        <f t="shared" si="53"/>
        <v>0</v>
      </c>
      <c r="AV62" s="46">
        <f t="shared" si="53"/>
        <v>0</v>
      </c>
      <c r="AW62" s="46">
        <f t="shared" si="53"/>
        <v>0</v>
      </c>
      <c r="AX62" s="46">
        <f t="shared" si="53"/>
        <v>0</v>
      </c>
      <c r="AY62" s="46">
        <f t="shared" si="53"/>
        <v>0</v>
      </c>
      <c r="AZ62" s="46">
        <f t="shared" si="53"/>
        <v>0</v>
      </c>
      <c r="BA62" s="46">
        <f t="shared" si="53"/>
        <v>0</v>
      </c>
      <c r="BB62" s="46">
        <f t="shared" si="53"/>
        <v>0</v>
      </c>
      <c r="BC62" s="46">
        <f t="shared" si="53"/>
        <v>0</v>
      </c>
      <c r="BD62" s="46">
        <f t="shared" si="53"/>
        <v>0</v>
      </c>
      <c r="BE62" s="46">
        <f t="shared" si="53"/>
        <v>0</v>
      </c>
      <c r="BF62" s="46">
        <f t="shared" si="53"/>
        <v>1200000</v>
      </c>
      <c r="BG62" s="46">
        <f t="shared" si="53"/>
        <v>0</v>
      </c>
      <c r="BH62" s="46">
        <f t="shared" si="53"/>
        <v>0</v>
      </c>
      <c r="BI62" s="46">
        <f t="shared" si="53"/>
        <v>0</v>
      </c>
      <c r="BJ62" s="46">
        <f t="shared" si="53"/>
        <v>0</v>
      </c>
      <c r="BK62" s="46">
        <f t="shared" si="53"/>
        <v>0</v>
      </c>
      <c r="BL62" s="46">
        <f t="shared" si="53"/>
        <v>0</v>
      </c>
      <c r="BM62" s="46">
        <f t="shared" si="53"/>
        <v>0</v>
      </c>
      <c r="BN62" s="46">
        <f t="shared" si="53"/>
        <v>0</v>
      </c>
      <c r="BO62" s="46">
        <f t="shared" si="53"/>
        <v>0</v>
      </c>
      <c r="BP62" s="46">
        <f t="shared" si="53"/>
        <v>0</v>
      </c>
      <c r="BQ62" s="46">
        <f t="shared" si="53"/>
        <v>0</v>
      </c>
      <c r="BR62" s="46">
        <f t="shared" si="53"/>
        <v>0</v>
      </c>
      <c r="BS62" s="46">
        <f t="shared" si="53"/>
        <v>0</v>
      </c>
      <c r="BT62" s="46">
        <f t="shared" si="53"/>
        <v>0</v>
      </c>
      <c r="BU62" s="46">
        <f t="shared" si="53"/>
        <v>0</v>
      </c>
      <c r="BV62" s="46">
        <f t="shared" ref="BV62:DY62" si="54">+IF(BV$1=$E$60,$E$62,0)</f>
        <v>0</v>
      </c>
      <c r="BW62" s="46">
        <f t="shared" si="54"/>
        <v>0</v>
      </c>
      <c r="BX62" s="46">
        <f t="shared" si="54"/>
        <v>0</v>
      </c>
      <c r="BY62" s="46">
        <f t="shared" si="54"/>
        <v>0</v>
      </c>
      <c r="BZ62" s="46">
        <f t="shared" si="54"/>
        <v>0</v>
      </c>
      <c r="CA62" s="46">
        <f t="shared" si="54"/>
        <v>0</v>
      </c>
      <c r="CB62" s="46">
        <f t="shared" si="54"/>
        <v>0</v>
      </c>
      <c r="CC62" s="46">
        <f t="shared" si="54"/>
        <v>0</v>
      </c>
      <c r="CD62" s="46">
        <f t="shared" si="54"/>
        <v>0</v>
      </c>
      <c r="CE62" s="46">
        <f t="shared" si="54"/>
        <v>0</v>
      </c>
      <c r="CF62" s="46">
        <f t="shared" si="54"/>
        <v>0</v>
      </c>
      <c r="CG62" s="46">
        <f t="shared" si="54"/>
        <v>0</v>
      </c>
      <c r="CH62" s="46">
        <f t="shared" si="54"/>
        <v>0</v>
      </c>
      <c r="CI62" s="46">
        <f t="shared" si="54"/>
        <v>0</v>
      </c>
      <c r="CJ62" s="46">
        <f t="shared" si="54"/>
        <v>0</v>
      </c>
      <c r="CK62" s="46">
        <f t="shared" si="54"/>
        <v>0</v>
      </c>
      <c r="CL62" s="46">
        <f t="shared" si="54"/>
        <v>0</v>
      </c>
      <c r="CM62" s="46">
        <f t="shared" si="54"/>
        <v>0</v>
      </c>
      <c r="CN62" s="46">
        <f t="shared" si="54"/>
        <v>0</v>
      </c>
      <c r="CO62" s="46">
        <f t="shared" si="54"/>
        <v>0</v>
      </c>
      <c r="CP62" s="46">
        <f t="shared" si="54"/>
        <v>0</v>
      </c>
      <c r="CQ62" s="46">
        <f t="shared" si="54"/>
        <v>0</v>
      </c>
      <c r="CR62" s="46">
        <f t="shared" si="54"/>
        <v>0</v>
      </c>
      <c r="CS62" s="46">
        <f t="shared" si="54"/>
        <v>0</v>
      </c>
      <c r="CT62" s="46">
        <f t="shared" si="54"/>
        <v>0</v>
      </c>
      <c r="CU62" s="46">
        <f t="shared" si="54"/>
        <v>0</v>
      </c>
      <c r="CV62" s="46">
        <f t="shared" si="54"/>
        <v>0</v>
      </c>
      <c r="CW62" s="46">
        <f t="shared" si="54"/>
        <v>0</v>
      </c>
      <c r="CX62" s="46">
        <f t="shared" si="54"/>
        <v>0</v>
      </c>
      <c r="CY62" s="46">
        <f t="shared" si="54"/>
        <v>0</v>
      </c>
      <c r="CZ62" s="46">
        <f t="shared" si="54"/>
        <v>0</v>
      </c>
      <c r="DA62" s="46">
        <f t="shared" si="54"/>
        <v>0</v>
      </c>
      <c r="DB62" s="46">
        <f t="shared" si="54"/>
        <v>0</v>
      </c>
      <c r="DC62" s="46">
        <f t="shared" si="54"/>
        <v>0</v>
      </c>
      <c r="DD62" s="46">
        <f t="shared" si="54"/>
        <v>0</v>
      </c>
      <c r="DE62" s="46">
        <f t="shared" si="54"/>
        <v>0</v>
      </c>
      <c r="DF62" s="46">
        <f t="shared" si="54"/>
        <v>0</v>
      </c>
      <c r="DG62" s="46">
        <f t="shared" si="54"/>
        <v>0</v>
      </c>
      <c r="DH62" s="46">
        <f t="shared" si="54"/>
        <v>0</v>
      </c>
      <c r="DI62" s="46">
        <f t="shared" si="54"/>
        <v>0</v>
      </c>
      <c r="DJ62" s="46">
        <f t="shared" si="54"/>
        <v>0</v>
      </c>
      <c r="DK62" s="46">
        <f t="shared" si="54"/>
        <v>0</v>
      </c>
      <c r="DL62" s="46">
        <f t="shared" si="54"/>
        <v>0</v>
      </c>
      <c r="DM62" s="46">
        <f t="shared" si="54"/>
        <v>0</v>
      </c>
      <c r="DN62" s="46">
        <f t="shared" si="54"/>
        <v>0</v>
      </c>
      <c r="DO62" s="46">
        <f t="shared" si="54"/>
        <v>0</v>
      </c>
      <c r="DP62" s="46">
        <f t="shared" si="54"/>
        <v>0</v>
      </c>
      <c r="DQ62" s="46">
        <f t="shared" si="54"/>
        <v>0</v>
      </c>
      <c r="DR62" s="46">
        <f t="shared" si="54"/>
        <v>0</v>
      </c>
      <c r="DS62" s="46">
        <f t="shared" si="54"/>
        <v>0</v>
      </c>
      <c r="DT62" s="46">
        <f t="shared" si="54"/>
        <v>0</v>
      </c>
      <c r="DU62" s="46">
        <f t="shared" si="54"/>
        <v>0</v>
      </c>
      <c r="DV62" s="46">
        <f t="shared" si="54"/>
        <v>0</v>
      </c>
      <c r="DW62" s="46">
        <f t="shared" si="54"/>
        <v>0</v>
      </c>
      <c r="DX62" s="46">
        <f t="shared" si="54"/>
        <v>0</v>
      </c>
      <c r="DY62" s="46">
        <f t="shared" si="54"/>
        <v>0</v>
      </c>
    </row>
    <row r="63" spans="2:129" s="43" customFormat="1">
      <c r="C63" s="43" t="s">
        <v>387</v>
      </c>
      <c r="E63" s="482">
        <f>+'Model Assumptions'!H136</f>
        <v>12000000</v>
      </c>
      <c r="F63" s="126"/>
      <c r="G63" s="126"/>
      <c r="H63" s="126"/>
      <c r="J63" s="490">
        <f>J62*Flags!J$30</f>
        <v>0</v>
      </c>
      <c r="K63" s="490">
        <f>K62*Flags!K$30</f>
        <v>0</v>
      </c>
      <c r="L63" s="490">
        <f>L62*Flags!L$30</f>
        <v>0</v>
      </c>
      <c r="M63" s="490">
        <f>M62*Flags!M$30</f>
        <v>0</v>
      </c>
      <c r="N63" s="490">
        <f>N62*Flags!N$30</f>
        <v>0</v>
      </c>
      <c r="O63" s="490">
        <f>O62*Flags!O$30</f>
        <v>0</v>
      </c>
      <c r="P63" s="490">
        <f>P62*Flags!P$30</f>
        <v>0</v>
      </c>
      <c r="Q63" s="490">
        <f>Q62*Flags!Q$30</f>
        <v>0</v>
      </c>
      <c r="R63" s="490">
        <f>R62*Flags!R$30</f>
        <v>0</v>
      </c>
      <c r="S63" s="490">
        <f>S62*Flags!S$30</f>
        <v>0</v>
      </c>
      <c r="T63" s="490">
        <f>T62*Flags!T$30</f>
        <v>0</v>
      </c>
      <c r="U63" s="490">
        <f>U62*Flags!U$30</f>
        <v>0</v>
      </c>
      <c r="V63" s="490">
        <f>V62*Flags!V$30</f>
        <v>0</v>
      </c>
      <c r="W63" s="490">
        <f>W62*Flags!W$30</f>
        <v>0</v>
      </c>
      <c r="X63" s="490">
        <f>X62*Flags!X$30</f>
        <v>0</v>
      </c>
      <c r="Y63" s="490">
        <f>Y62*Flags!Y$30</f>
        <v>0</v>
      </c>
      <c r="Z63" s="490">
        <f>Z62*Flags!Z$30</f>
        <v>0</v>
      </c>
      <c r="AA63" s="490">
        <f>AA62*Flags!AA$30</f>
        <v>0</v>
      </c>
      <c r="AB63" s="490">
        <f>AB62*Flags!AB$30</f>
        <v>0</v>
      </c>
      <c r="AC63" s="490">
        <f>AC62*Flags!AC$30</f>
        <v>0</v>
      </c>
      <c r="AD63" s="490">
        <f>AD62*Flags!AD$30</f>
        <v>0</v>
      </c>
      <c r="AE63" s="490">
        <f>AE62*Flags!AE$30</f>
        <v>0</v>
      </c>
      <c r="AF63" s="490">
        <f>AF62*Flags!AF$30</f>
        <v>0</v>
      </c>
      <c r="AG63" s="490">
        <f>AG62*Flags!AG$30</f>
        <v>0</v>
      </c>
      <c r="AH63" s="490">
        <f>AH62*Flags!AH$30</f>
        <v>0</v>
      </c>
      <c r="AI63" s="490">
        <f>AI62*Flags!AI$30</f>
        <v>0</v>
      </c>
      <c r="AJ63" s="490">
        <f>AJ62*Flags!AJ$30</f>
        <v>0</v>
      </c>
      <c r="AK63" s="490">
        <f>AK62*Flags!AK$30</f>
        <v>0</v>
      </c>
      <c r="AL63" s="490">
        <f>AL62*Flags!AL$30</f>
        <v>0</v>
      </c>
      <c r="AM63" s="490">
        <f>AM62*Flags!AM$30</f>
        <v>0</v>
      </c>
      <c r="AN63" s="490">
        <f>AN62*Flags!AN$30</f>
        <v>0</v>
      </c>
      <c r="AO63" s="490">
        <f>AO62*Flags!AO$30</f>
        <v>0</v>
      </c>
      <c r="AP63" s="490">
        <f>AP62*Flags!AP$30</f>
        <v>0</v>
      </c>
      <c r="AQ63" s="490">
        <f>AQ62*Flags!AQ$30</f>
        <v>0</v>
      </c>
      <c r="AR63" s="490">
        <f>AR62*Flags!AR$30</f>
        <v>0</v>
      </c>
      <c r="AS63" s="490">
        <f>AS62*Flags!AS$30</f>
        <v>0</v>
      </c>
      <c r="AT63" s="490">
        <f>AT62*Flags!AT$30</f>
        <v>0</v>
      </c>
      <c r="AU63" s="490">
        <f>AU62*Flags!AU$30</f>
        <v>0</v>
      </c>
      <c r="AV63" s="490">
        <f>AV62*Flags!AV$30</f>
        <v>0</v>
      </c>
      <c r="AW63" s="490">
        <f>AW62*Flags!AW$30</f>
        <v>0</v>
      </c>
      <c r="AX63" s="490">
        <f>AX62*Flags!AX$30</f>
        <v>0</v>
      </c>
      <c r="AY63" s="490">
        <f>AY62*Flags!AY$30</f>
        <v>0</v>
      </c>
      <c r="AZ63" s="490">
        <f>AZ62*Flags!AZ$30</f>
        <v>0</v>
      </c>
      <c r="BA63" s="490">
        <f>BA62*Flags!BA$30</f>
        <v>0</v>
      </c>
      <c r="BB63" s="490">
        <f>BB62*Flags!BB$30</f>
        <v>0</v>
      </c>
      <c r="BC63" s="490">
        <f>BC62*Flags!BC$30</f>
        <v>0</v>
      </c>
      <c r="BD63" s="490">
        <f>BD62*Flags!BD$30</f>
        <v>0</v>
      </c>
      <c r="BE63" s="490">
        <f>BE62*Flags!BE$30</f>
        <v>0</v>
      </c>
      <c r="BF63" s="490">
        <f>BF62*Flags!BF$30</f>
        <v>12000000</v>
      </c>
      <c r="BG63" s="490">
        <f>BG62*Flags!BG$30</f>
        <v>0</v>
      </c>
      <c r="BH63" s="490">
        <f>BH62*Flags!BH$30</f>
        <v>0</v>
      </c>
      <c r="BI63" s="490">
        <f>BI62*Flags!BI$30</f>
        <v>0</v>
      </c>
      <c r="BJ63" s="490">
        <f>BJ62*Flags!BJ$30</f>
        <v>0</v>
      </c>
      <c r="BK63" s="490">
        <f>BK62*Flags!BK$30</f>
        <v>0</v>
      </c>
      <c r="BL63" s="490">
        <f>BL62*Flags!BL$30</f>
        <v>0</v>
      </c>
      <c r="BM63" s="490">
        <f>BM62*Flags!BM$30</f>
        <v>0</v>
      </c>
      <c r="BN63" s="490">
        <f>BN62*Flags!BN$30</f>
        <v>0</v>
      </c>
      <c r="BO63" s="490">
        <f>BO62*Flags!BO$30</f>
        <v>0</v>
      </c>
      <c r="BP63" s="490">
        <f>BP62*Flags!BP$30</f>
        <v>0</v>
      </c>
      <c r="BQ63" s="490">
        <f>BQ62*Flags!BQ$30</f>
        <v>0</v>
      </c>
      <c r="BR63" s="490">
        <f>BR62*Flags!BR$30</f>
        <v>0</v>
      </c>
      <c r="BS63" s="490">
        <f>BS62*Flags!BS$30</f>
        <v>0</v>
      </c>
      <c r="BT63" s="490">
        <f>BT62*Flags!BT$30</f>
        <v>0</v>
      </c>
      <c r="BU63" s="490">
        <f>BU62*Flags!BU$30</f>
        <v>0</v>
      </c>
      <c r="BV63" s="490">
        <f>BV62*Flags!BV$30</f>
        <v>0</v>
      </c>
      <c r="BW63" s="490">
        <f>BW62*Flags!BW$30</f>
        <v>0</v>
      </c>
      <c r="BX63" s="490">
        <f>BX62*Flags!BX$30</f>
        <v>0</v>
      </c>
      <c r="BY63" s="490">
        <f>BY62*Flags!BY$30</f>
        <v>0</v>
      </c>
      <c r="BZ63" s="490">
        <f>BZ62*Flags!BZ$30</f>
        <v>0</v>
      </c>
      <c r="CA63" s="490">
        <f>CA62*Flags!CA$30</f>
        <v>0</v>
      </c>
      <c r="CB63" s="490">
        <f>CB62*Flags!CB$30</f>
        <v>0</v>
      </c>
      <c r="CC63" s="490">
        <f>CC62*Flags!CC$30</f>
        <v>0</v>
      </c>
      <c r="CD63" s="490">
        <f>CD62*Flags!CD$30</f>
        <v>0</v>
      </c>
      <c r="CE63" s="490">
        <f>CE62*Flags!CE$30</f>
        <v>0</v>
      </c>
      <c r="CF63" s="490">
        <f>CF62*Flags!CF$30</f>
        <v>0</v>
      </c>
      <c r="CG63" s="490">
        <f>CG62*Flags!CG$30</f>
        <v>0</v>
      </c>
      <c r="CH63" s="490">
        <f>CH62*Flags!CH$30</f>
        <v>0</v>
      </c>
      <c r="CI63" s="490">
        <f>CI62*Flags!CI$30</f>
        <v>0</v>
      </c>
      <c r="CJ63" s="490">
        <f>CJ62*Flags!CJ$30</f>
        <v>0</v>
      </c>
      <c r="CK63" s="490">
        <f>CK62*Flags!CK$30</f>
        <v>0</v>
      </c>
      <c r="CL63" s="490">
        <f>CL62*Flags!CL$30</f>
        <v>0</v>
      </c>
      <c r="CM63" s="490">
        <f>CM62*Flags!CM$30</f>
        <v>0</v>
      </c>
      <c r="CN63" s="490">
        <f>CN62*Flags!CN$30</f>
        <v>0</v>
      </c>
      <c r="CO63" s="490">
        <f>CO62*Flags!CO$30</f>
        <v>0</v>
      </c>
      <c r="CP63" s="490">
        <f>CP62*Flags!CP$30</f>
        <v>0</v>
      </c>
      <c r="CQ63" s="490">
        <f>CQ62*Flags!CQ$30</f>
        <v>0</v>
      </c>
      <c r="CR63" s="490">
        <f>CR62*Flags!CR$30</f>
        <v>0</v>
      </c>
      <c r="CS63" s="490">
        <f>CS62*Flags!CS$30</f>
        <v>0</v>
      </c>
      <c r="CT63" s="490">
        <f>CT62*Flags!CT$30</f>
        <v>0</v>
      </c>
      <c r="CU63" s="490">
        <f>CU62*Flags!CU$30</f>
        <v>0</v>
      </c>
      <c r="CV63" s="490">
        <f>CV62*Flags!CV$30</f>
        <v>0</v>
      </c>
      <c r="CW63" s="490">
        <f>CW62*Flags!CW$30</f>
        <v>0</v>
      </c>
      <c r="CX63" s="490">
        <f>CX62*Flags!CX$30</f>
        <v>0</v>
      </c>
      <c r="CY63" s="490">
        <f>CY62*Flags!CY$30</f>
        <v>0</v>
      </c>
      <c r="CZ63" s="490">
        <f>CZ62*Flags!CZ$30</f>
        <v>0</v>
      </c>
      <c r="DA63" s="490">
        <f>DA62*Flags!DA$30</f>
        <v>0</v>
      </c>
      <c r="DB63" s="490">
        <f>DB62*Flags!DB$30</f>
        <v>0</v>
      </c>
      <c r="DC63" s="490">
        <f>DC62*Flags!DC$30</f>
        <v>0</v>
      </c>
      <c r="DD63" s="490">
        <f>DD62*Flags!DD$30</f>
        <v>0</v>
      </c>
      <c r="DE63" s="490">
        <f>DE62*Flags!DE$30</f>
        <v>0</v>
      </c>
      <c r="DF63" s="490">
        <f>DF62*Flags!DF$30</f>
        <v>0</v>
      </c>
      <c r="DG63" s="490">
        <f>DG62*Flags!DG$30</f>
        <v>0</v>
      </c>
      <c r="DH63" s="490">
        <f>DH62*Flags!DH$30</f>
        <v>0</v>
      </c>
      <c r="DI63" s="490">
        <f>DI62*Flags!DI$30</f>
        <v>0</v>
      </c>
      <c r="DJ63" s="490">
        <f>DJ62*Flags!DJ$30</f>
        <v>0</v>
      </c>
      <c r="DK63" s="490">
        <f>DK62*Flags!DK$30</f>
        <v>0</v>
      </c>
      <c r="DL63" s="490">
        <f>DL62*Flags!DL$30</f>
        <v>0</v>
      </c>
      <c r="DM63" s="490">
        <f>DM62*Flags!DM$30</f>
        <v>0</v>
      </c>
      <c r="DN63" s="490">
        <f>DN62*Flags!DN$30</f>
        <v>0</v>
      </c>
      <c r="DO63" s="490">
        <f>DO62*Flags!DO$30</f>
        <v>0</v>
      </c>
      <c r="DP63" s="490">
        <f>DP62*Flags!DP$30</f>
        <v>0</v>
      </c>
      <c r="DQ63" s="490">
        <f>DQ62*Flags!DQ$30</f>
        <v>0</v>
      </c>
      <c r="DR63" s="490">
        <f>DR62*Flags!DR$30</f>
        <v>0</v>
      </c>
      <c r="DS63" s="490">
        <f>DS62*Flags!DS$30</f>
        <v>0</v>
      </c>
      <c r="DT63" s="490">
        <f>DT62*Flags!DT$30</f>
        <v>0</v>
      </c>
      <c r="DU63" s="490">
        <f>DU62*Flags!DU$30</f>
        <v>0</v>
      </c>
      <c r="DV63" s="490">
        <f>DV62*Flags!DV$30</f>
        <v>0</v>
      </c>
      <c r="DW63" s="490">
        <f>DW62*Flags!DW$30</f>
        <v>0</v>
      </c>
      <c r="DX63" s="490">
        <f>DX62*Flags!DX$30</f>
        <v>0</v>
      </c>
      <c r="DY63" s="490">
        <f>DY62*Flags!DY$30</f>
        <v>0</v>
      </c>
    </row>
    <row r="64" spans="2:129" s="43" customFormat="1">
      <c r="C64" s="43" t="s">
        <v>640</v>
      </c>
      <c r="F64" s="126"/>
      <c r="G64" s="126"/>
      <c r="H64" s="126"/>
      <c r="J64" s="490">
        <f>IF(J63=0,IF($E61="USD",I64*(1+Flags!$D$31)^(1/12)-J68,I64-J68),J63-J68)</f>
        <v>0</v>
      </c>
      <c r="K64" s="490">
        <f>IF(K63=0,IF($E61="USD",J64*(1+Flags!$D$31)^(1/12)-K68,J64-K68),K63-K68)</f>
        <v>0</v>
      </c>
      <c r="L64" s="490">
        <f>IF(L63=0,IF($E61="USD",K64*(1+Flags!$D$31)^(1/12)-L68,K64-L68),L63-L68)</f>
        <v>0</v>
      </c>
      <c r="M64" s="490">
        <f>IF(M63=0,IF($E61="USD",L64*(1+Flags!$D$31)^(1/12)-M68,L64-M68),M63-M68)</f>
        <v>0</v>
      </c>
      <c r="N64" s="490">
        <f>IF(N63=0,IF($E61="USD",M64*(1+Flags!$D$31)^(1/12)-N68,M64-N68),N63-N68)</f>
        <v>0</v>
      </c>
      <c r="O64" s="490">
        <f>IF(O63=0,IF($E61="USD",N64*(1+Flags!$D$31)^(1/12)-O68,N64-O68),O63-O68)</f>
        <v>0</v>
      </c>
      <c r="P64" s="490">
        <f>IF(P63=0,IF($E61="USD",O64*(1+Flags!$D$31)^(1/12)-P68,O64-P68),P63-P68)</f>
        <v>0</v>
      </c>
      <c r="Q64" s="490">
        <f>IF(Q63=0,IF($E61="USD",P64*(1+Flags!$D$31)^(1/12)-Q68,P64-Q68),Q63-Q68)</f>
        <v>0</v>
      </c>
      <c r="R64" s="490">
        <f>IF(R63=0,IF($E61="USD",Q64*(1+Flags!$D$31)^(1/12)-R68,Q64-R68),R63-R68)</f>
        <v>0</v>
      </c>
      <c r="S64" s="490">
        <f>IF(S63=0,IF($E61="USD",R64*(1+Flags!$D$31)^(1/12)-S68,R64-S68),S63-S68)</f>
        <v>0</v>
      </c>
      <c r="T64" s="490">
        <f>IF(T63=0,IF($E61="USD",S64*(1+Flags!$D$31)^(1/12)-T68,S64-T68),T63-T68)</f>
        <v>0</v>
      </c>
      <c r="U64" s="490">
        <f>IF(U63=0,IF($E61="USD",T64*(1+Flags!$D$31)^(1/12)-U68,T64-U68),U63-U68)</f>
        <v>0</v>
      </c>
      <c r="V64" s="490">
        <f>IF(V63=0,IF($E61="USD",U64*(1+Flags!$D$31)^(1/12)-V68,U64-V68),V63-V68)</f>
        <v>0</v>
      </c>
      <c r="W64" s="490">
        <f>IF(W63=0,IF($E61="USD",V64*(1+Flags!$D$31)^(1/12)-W68,V64-W68),W63-W68)</f>
        <v>0</v>
      </c>
      <c r="X64" s="490">
        <f>IF(X63=0,IF($E61="USD",W64*(1+Flags!$D$31)^(1/12)-X68,W64-X68),X63-X68)</f>
        <v>0</v>
      </c>
      <c r="Y64" s="490">
        <f>IF(Y63=0,IF($E61="USD",X64*(1+Flags!$D$31)^(1/12)-Y68,X64-Y68),Y63-Y68)</f>
        <v>0</v>
      </c>
      <c r="Z64" s="490">
        <f>IF(Z63=0,IF($E61="USD",Y64*(1+Flags!$D$31)^(1/12)-Z68,Y64-Z68),Z63-Z68)</f>
        <v>0</v>
      </c>
      <c r="AA64" s="490">
        <f>IF(AA63=0,IF($E61="USD",Z64*(1+Flags!$D$31)^(1/12)-AA68,Z64-AA68),AA63-AA68)</f>
        <v>0</v>
      </c>
      <c r="AB64" s="490">
        <f>IF(AB63=0,IF($E61="USD",AA64*(1+Flags!$D$31)^(1/12)-AB68,AA64-AB68),AB63-AB68)</f>
        <v>0</v>
      </c>
      <c r="AC64" s="490">
        <f>IF(AC63=0,IF($E61="USD",AB64*(1+Flags!$D$31)^(1/12)-AC68,AB64-AC68),AC63-AC68)</f>
        <v>0</v>
      </c>
      <c r="AD64" s="490">
        <f>IF(AD63=0,IF($E61="USD",AC64*(1+Flags!$D$31)^(1/12)-AD68,AC64-AD68),AD63-AD68)</f>
        <v>0</v>
      </c>
      <c r="AE64" s="490">
        <f>IF(AE63=0,IF($E61="USD",AD64*(1+Flags!$D$31)^(1/12)-AE68,AD64-AE68),AE63-AE68)</f>
        <v>0</v>
      </c>
      <c r="AF64" s="490">
        <f>IF(AF63=0,IF($E61="USD",AE64*(1+Flags!$D$31)^(1/12)-AF68,AE64-AF68),AF63-AF68)</f>
        <v>0</v>
      </c>
      <c r="AG64" s="490">
        <f>IF(AG63=0,IF($E61="USD",AF64*(1+Flags!$D$31)^(1/12)-AG68,AF64-AG68),AG63-AG68)</f>
        <v>0</v>
      </c>
      <c r="AH64" s="490">
        <f>IF(AH63=0,IF($E61="USD",AG64*(1+Flags!$D$31)^(1/12)-AH68,AG64-AH68),AH63-AH68)</f>
        <v>0</v>
      </c>
      <c r="AI64" s="490">
        <f>IF(AI63=0,IF($E61="USD",AH64*(1+Flags!$D$31)^(1/12)-AI68,AH64-AI68),AI63-AI68)</f>
        <v>0</v>
      </c>
      <c r="AJ64" s="490">
        <f>IF(AJ63=0,IF($E61="USD",AI64*(1+Flags!$D$31)^(1/12)-AJ68,AI64-AJ68),AJ63-AJ68)</f>
        <v>0</v>
      </c>
      <c r="AK64" s="490">
        <f>IF(AK63=0,IF($E61="USD",AJ64*(1+Flags!$D$31)^(1/12)-AK68,AJ64-AK68),AK63-AK68)</f>
        <v>0</v>
      </c>
      <c r="AL64" s="490">
        <f>IF(AL63=0,IF($E61="USD",AK64*(1+Flags!$D$31)^(1/12)-AL68,AK64-AL68),AL63-AL68)</f>
        <v>0</v>
      </c>
      <c r="AM64" s="490">
        <f>IF(AM63=0,IF($E61="USD",AL64*(1+Flags!$D$31)^(1/12)-AM68,AL64-AM68),AM63-AM68)</f>
        <v>0</v>
      </c>
      <c r="AN64" s="490">
        <f>IF(AN63=0,IF($E61="USD",AM64*(1+Flags!$D$31)^(1/12)-AN68,AM64-AN68),AN63-AN68)</f>
        <v>0</v>
      </c>
      <c r="AO64" s="490">
        <f>IF(AO63=0,IF($E61="USD",AN64*(1+Flags!$D$31)^(1/12)-AO68,AN64-AO68),AO63-AO68)</f>
        <v>0</v>
      </c>
      <c r="AP64" s="490">
        <f>IF(AP63=0,IF($E61="USD",AO64*(1+Flags!$D$31)^(1/12)-AP68,AO64-AP68),AP63-AP68)</f>
        <v>0</v>
      </c>
      <c r="AQ64" s="490">
        <f>IF(AQ63=0,IF($E61="USD",AP64*(1+Flags!$D$31)^(1/12)-AQ68,AP64-AQ68),AQ63-AQ68)</f>
        <v>0</v>
      </c>
      <c r="AR64" s="490">
        <f>IF(AR63=0,IF($E61="USD",AQ64*(1+Flags!$D$31)^(1/12)-AR68,AQ64-AR68),AR63-AR68)</f>
        <v>0</v>
      </c>
      <c r="AS64" s="490">
        <f>IF(AS63=0,IF($E61="USD",AR64*(1+Flags!$D$31)^(1/12)-AS68,AR64-AS68),AS63-AS68)</f>
        <v>0</v>
      </c>
      <c r="AT64" s="490">
        <f>IF(AT63=0,IF($E61="USD",AS64*(1+Flags!$D$31)^(1/12)-AT68,AS64-AT68),AT63-AT68)</f>
        <v>0</v>
      </c>
      <c r="AU64" s="490">
        <f>IF(AU63=0,IF($E61="USD",AT64*(1+Flags!$D$31)^(1/12)-AU68,AT64-AU68),AU63-AU68)</f>
        <v>0</v>
      </c>
      <c r="AV64" s="490">
        <f>IF(AV63=0,IF($E61="USD",AU64*(1+Flags!$D$31)^(1/12)-AV68,AU64-AV68),AV63-AV68)</f>
        <v>0</v>
      </c>
      <c r="AW64" s="490">
        <f>IF(AW63=0,IF($E61="USD",AV64*(1+Flags!$D$31)^(1/12)-AW68,AV64-AW68),AW63-AW68)</f>
        <v>0</v>
      </c>
      <c r="AX64" s="490">
        <f>IF(AX63=0,IF($E61="USD",AW64*(1+Flags!$D$31)^(1/12)-AX68,AW64-AX68),AX63-AX68)</f>
        <v>0</v>
      </c>
      <c r="AY64" s="490">
        <f>IF(AY63=0,IF($E61="USD",AX64*(1+Flags!$D$31)^(1/12)-AY68,AX64-AY68),AY63-AY68)</f>
        <v>0</v>
      </c>
      <c r="AZ64" s="490">
        <f>IF(AZ63=0,IF($E61="USD",AY64*(1+Flags!$D$31)^(1/12)-AZ68,AY64-AZ68),AZ63-AZ68)</f>
        <v>0</v>
      </c>
      <c r="BA64" s="490">
        <f>IF(BA63=0,IF($E61="USD",AZ64*(1+Flags!$D$31)^(1/12)-BA68,AZ64-BA68),BA63-BA68)</f>
        <v>0</v>
      </c>
      <c r="BB64" s="490">
        <f>IF(BB63=0,IF($E61="USD",BA64*(1+Flags!$D$31)^(1/12)-BB68,BA64-BB68),BB63-BB68)</f>
        <v>0</v>
      </c>
      <c r="BC64" s="490">
        <f>IF(BC63=0,IF($E61="USD",BB64*(1+Flags!$D$31)^(1/12)-BC68,BB64-BC68),BC63-BC68)</f>
        <v>0</v>
      </c>
      <c r="BD64" s="490">
        <f>IF(BD63=0,IF($E61="USD",BC64*(1+Flags!$D$31)^(1/12)-BD68,BC64-BD68),BD63-BD68)</f>
        <v>0</v>
      </c>
      <c r="BE64" s="490">
        <f>IF(BE63=0,IF($E61="USD",BD64*(1+Flags!$D$31)^(1/12)-BE68,BD64-BE68),BE63-BE68)</f>
        <v>0</v>
      </c>
      <c r="BF64" s="490">
        <f>IF(BF63=0,IF($E61="USD",BE64*(1+Flags!$D$31)^(1/12)-BF68,BE64-BF68),BF63-BF68)</f>
        <v>12000000</v>
      </c>
      <c r="BG64" s="490">
        <f>IF(BG63=0,IF($E61="USD",BF64*(1+Flags!$D$31)^(1/12)-BG68,BF64-BG68),BG63-BG68)</f>
        <v>12000000</v>
      </c>
      <c r="BH64" s="490">
        <f>IF(BH63=0,IF($E61="USD",BG64*(1+Flags!$D$31)^(1/12)-BH68,BG64-BH68),BH63-BH68)</f>
        <v>12000000</v>
      </c>
      <c r="BI64" s="490">
        <f>IF(BI63=0,IF($E61="USD",BH64*(1+Flags!$D$31)^(1/12)-BI68,BH64-BI68),BI63-BI68)</f>
        <v>12000000</v>
      </c>
      <c r="BJ64" s="490">
        <f>IF(BJ63=0,IF($E61="USD",BI64*(1+Flags!$D$31)^(1/12)-BJ68,BI64-BJ68),BJ63-BJ68)</f>
        <v>12000000</v>
      </c>
      <c r="BK64" s="490">
        <f>IF(BK63=0,IF($E61="USD",BJ64*(1+Flags!$D$31)^(1/12)-BK68,BJ64-BK68),BK63-BK68)</f>
        <v>12000000</v>
      </c>
      <c r="BL64" s="490">
        <f>IF(BL63=0,IF($E61="USD",BK64*(1+Flags!$D$31)^(1/12)-BL68,BK64-BL68),BL63-BL68)</f>
        <v>11777777.777777778</v>
      </c>
      <c r="BM64" s="490">
        <f>IF(BM63=0,IF($E61="USD",BL64*(1+Flags!$D$31)^(1/12)-BM68,BL64-BM68),BM63-BM68)</f>
        <v>11555555.555555556</v>
      </c>
      <c r="BN64" s="490">
        <f>IF(BN63=0,IF($E61="USD",BM64*(1+Flags!$D$31)^(1/12)-BN68,BM64-BN68),BN63-BN68)</f>
        <v>11333333.333333334</v>
      </c>
      <c r="BO64" s="490">
        <f>IF(BO63=0,IF($E61="USD",BN64*(1+Flags!$D$31)^(1/12)-BO68,BN64-BO68),BO63-BO68)</f>
        <v>11111111.111111112</v>
      </c>
      <c r="BP64" s="490">
        <f>IF(BP63=0,IF($E61="USD",BO64*(1+Flags!$D$31)^(1/12)-BP68,BO64-BP68),BP63-BP68)</f>
        <v>10888888.88888889</v>
      </c>
      <c r="BQ64" s="490">
        <f>IF(BQ63=0,IF($E61="USD",BP64*(1+Flags!$D$31)^(1/12)-BQ68,BP64-BQ68),BQ63-BQ68)</f>
        <v>10666666.666666668</v>
      </c>
      <c r="BR64" s="490">
        <f>IF(BR63=0,IF($E61="USD",BQ64*(1+Flags!$D$31)^(1/12)-BR68,BQ64-BR68),BR63-BR68)</f>
        <v>10444444.444444446</v>
      </c>
      <c r="BS64" s="490">
        <f>IF(BS63=0,IF($E61="USD",BR64*(1+Flags!$D$31)^(1/12)-BS68,BR64-BS68),BS63-BS68)</f>
        <v>10222222.222222224</v>
      </c>
      <c r="BT64" s="490">
        <f>IF(BT63=0,IF($E61="USD",BS64*(1+Flags!$D$31)^(1/12)-BT68,BS64-BT68),BT63-BT68)</f>
        <v>10000000.000000002</v>
      </c>
      <c r="BU64" s="490">
        <f>IF(BU63=0,IF($E61="USD",BT64*(1+Flags!$D$31)^(1/12)-BU68,BT64-BU68),BU63-BU68)</f>
        <v>9777777.7777777798</v>
      </c>
      <c r="BV64" s="490">
        <f>IF(BV63=0,IF($E61="USD",BU64*(1+Flags!$D$31)^(1/12)-BV68,BU64-BV68),BV63-BV68)</f>
        <v>9555555.5555555578</v>
      </c>
      <c r="BW64" s="490">
        <f>IF(BW63=0,IF($E61="USD",BV64*(1+Flags!$D$31)^(1/12)-BW68,BV64-BW68),BW63-BW68)</f>
        <v>9333333.3333333358</v>
      </c>
      <c r="BX64" s="490">
        <f>IF(BX63=0,IF($E61="USD",BW64*(1+Flags!$D$31)^(1/12)-BX68,BW64-BX68),BX63-BX68)</f>
        <v>9111111.1111111138</v>
      </c>
      <c r="BY64" s="490">
        <f>IF(BY63=0,IF($E61="USD",BX64*(1+Flags!$D$31)^(1/12)-BY68,BX64-BY68),BY63-BY68)</f>
        <v>8888888.8888888918</v>
      </c>
      <c r="BZ64" s="490">
        <f>IF(BZ63=0,IF($E61="USD",BY64*(1+Flags!$D$31)^(1/12)-BZ68,BY64-BZ68),BZ63-BZ68)</f>
        <v>8666666.6666666698</v>
      </c>
      <c r="CA64" s="490">
        <f>IF(CA63=0,IF($E61="USD",BZ64*(1+Flags!$D$31)^(1/12)-CA68,BZ64-CA68),CA63-CA68)</f>
        <v>8444444.4444444478</v>
      </c>
      <c r="CB64" s="490">
        <f>IF(CB63=0,IF($E61="USD",CA64*(1+Flags!$D$31)^(1/12)-CB68,CA64-CB68),CB63-CB68)</f>
        <v>8222222.2222222257</v>
      </c>
      <c r="CC64" s="490">
        <f>IF(CC63=0,IF($E61="USD",CB64*(1+Flags!$D$31)^(1/12)-CC68,CB64-CC68),CC63-CC68)</f>
        <v>8000000.0000000037</v>
      </c>
      <c r="CD64" s="490">
        <f>IF(CD63=0,IF($E61="USD",CC64*(1+Flags!$D$31)^(1/12)-CD68,CC64-CD68),CD63-CD68)</f>
        <v>7777777.7777777817</v>
      </c>
      <c r="CE64" s="490">
        <f>IF(CE63=0,IF($E61="USD",CD64*(1+Flags!$D$31)^(1/12)-CE68,CD64-CE68),CE63-CE68)</f>
        <v>7555555.5555555597</v>
      </c>
      <c r="CF64" s="490">
        <f>IF(CF63=0,IF($E61="USD",CE64*(1+Flags!$D$31)^(1/12)-CF68,CE64-CF68),CF63-CF68)</f>
        <v>7333333.3333333377</v>
      </c>
      <c r="CG64" s="490">
        <f>IF(CG63=0,IF($E61="USD",CF64*(1+Flags!$D$31)^(1/12)-CG68,CF64-CG68),CG63-CG68)</f>
        <v>7111111.1111111157</v>
      </c>
      <c r="CH64" s="490">
        <f>IF(CH63=0,IF($E61="USD",CG64*(1+Flags!$D$31)^(1/12)-CH68,CG64-CH68),CH63-CH68)</f>
        <v>6888888.8888888936</v>
      </c>
      <c r="CI64" s="490">
        <f>IF(CI63=0,IF($E61="USD",CH64*(1+Flags!$D$31)^(1/12)-CI68,CH64-CI68),CI63-CI68)</f>
        <v>6666666.6666666716</v>
      </c>
      <c r="CJ64" s="490">
        <f>IF(CJ63=0,IF($E61="USD",CI64*(1+Flags!$D$31)^(1/12)-CJ68,CI64-CJ68),CJ63-CJ68)</f>
        <v>6444444.4444444496</v>
      </c>
      <c r="CK64" s="490">
        <f>IF(CK63=0,IF($E61="USD",CJ64*(1+Flags!$D$31)^(1/12)-CK68,CJ64-CK68),CK63-CK68)</f>
        <v>6222222.2222222276</v>
      </c>
      <c r="CL64" s="490">
        <f>IF(CL63=0,IF($E61="USD",CK64*(1+Flags!$D$31)^(1/12)-CL68,CK64-CL68),CL63-CL68)</f>
        <v>6000000.0000000056</v>
      </c>
      <c r="CM64" s="490">
        <f>IF(CM63=0,IF($E61="USD",CL64*(1+Flags!$D$31)^(1/12)-CM68,CL64-CM68),CM63-CM68)</f>
        <v>5777777.7777777836</v>
      </c>
      <c r="CN64" s="490">
        <f>IF(CN63=0,IF($E61="USD",CM64*(1+Flags!$D$31)^(1/12)-CN68,CM64-CN68),CN63-CN68)</f>
        <v>5555555.5555555616</v>
      </c>
      <c r="CO64" s="490">
        <f>IF(CO63=0,IF($E61="USD",CN64*(1+Flags!$D$31)^(1/12)-CO68,CN64-CO68),CO63-CO68)</f>
        <v>5333333.3333333395</v>
      </c>
      <c r="CP64" s="490">
        <f>IF(CP63=0,IF($E61="USD",CO64*(1+Flags!$D$31)^(1/12)-CP68,CO64-CP68),CP63-CP68)</f>
        <v>5111111.1111111175</v>
      </c>
      <c r="CQ64" s="490">
        <f>IF(CQ63=0,IF($E61="USD",CP64*(1+Flags!$D$31)^(1/12)-CQ68,CP64-CQ68),CQ63-CQ68)</f>
        <v>4888888.8888888955</v>
      </c>
      <c r="CR64" s="490">
        <f>IF(CR63=0,IF($E61="USD",CQ64*(1+Flags!$D$31)^(1/12)-CR68,CQ64-CR68),CR63-CR68)</f>
        <v>4666666.6666666735</v>
      </c>
      <c r="CS64" s="490">
        <f>IF(CS63=0,IF($E61="USD",CR64*(1+Flags!$D$31)^(1/12)-CS68,CR64-CS68),CS63-CS68)</f>
        <v>4444444.4444444515</v>
      </c>
      <c r="CT64" s="490">
        <f>IF(CT63=0,IF($E61="USD",CS64*(1+Flags!$D$31)^(1/12)-CT68,CS64-CT68),CT63-CT68)</f>
        <v>4222222.2222222295</v>
      </c>
      <c r="CU64" s="490">
        <f>IF(CU63=0,IF($E61="USD",CT64*(1+Flags!$D$31)^(1/12)-CU68,CT64-CU68),CU63-CU68)</f>
        <v>4000000.0000000075</v>
      </c>
      <c r="CV64" s="490">
        <f>IF(CV63=0,IF($E61="USD",CU64*(1+Flags!$D$31)^(1/12)-CV68,CU64-CV68),CV63-CV68)</f>
        <v>3777777.7777777854</v>
      </c>
      <c r="CW64" s="490">
        <f>IF(CW63=0,IF($E61="USD",CV64*(1+Flags!$D$31)^(1/12)-CW68,CV64-CW68),CW63-CW68)</f>
        <v>3555555.5555555634</v>
      </c>
      <c r="CX64" s="490">
        <f>IF(CX63=0,IF($E61="USD",CW64*(1+Flags!$D$31)^(1/12)-CX68,CW64-CX68),CX63-CX68)</f>
        <v>3333333.3333333414</v>
      </c>
      <c r="CY64" s="490">
        <f>IF(CY63=0,IF($E61="USD",CX64*(1+Flags!$D$31)^(1/12)-CY68,CX64-CY68),CY63-CY68)</f>
        <v>3111111.1111111194</v>
      </c>
      <c r="CZ64" s="490">
        <f>IF(CZ63=0,IF($E61="USD",CY64*(1+Flags!$D$31)^(1/12)-CZ68,CY64-CZ68),CZ63-CZ68)</f>
        <v>2888888.8888888974</v>
      </c>
      <c r="DA64" s="490">
        <f>IF(DA63=0,IF($E61="USD",CZ64*(1+Flags!$D$31)^(1/12)-DA68,CZ64-DA68),DA63-DA68)</f>
        <v>2666666.6666666754</v>
      </c>
      <c r="DB64" s="490">
        <f>IF(DB63=0,IF($E61="USD",DA64*(1+Flags!$D$31)^(1/12)-DB68,DA64-DB68),DB63-DB68)</f>
        <v>2444444.4444444533</v>
      </c>
      <c r="DC64" s="490">
        <f>IF(DC63=0,IF($E61="USD",DB64*(1+Flags!$D$31)^(1/12)-DC68,DB64-DC68),DC63-DC68)</f>
        <v>2222222.2222222313</v>
      </c>
      <c r="DD64" s="490">
        <f>IF(DD63=0,IF($E61="USD",DC64*(1+Flags!$D$31)^(1/12)-DD68,DC64-DD68),DD63-DD68)</f>
        <v>2000000.0000000091</v>
      </c>
      <c r="DE64" s="490">
        <f>IF(DE63=0,IF($E61="USD",DD64*(1+Flags!$D$31)^(1/12)-DE68,DD64-DE68),DE63-DE68)</f>
        <v>1777777.7777777868</v>
      </c>
      <c r="DF64" s="490">
        <f>IF(DF63=0,IF($E61="USD",DE64*(1+Flags!$D$31)^(1/12)-DF68,DE64-DF68),DF63-DF68)</f>
        <v>1555555.5555555646</v>
      </c>
      <c r="DG64" s="490">
        <f>IF(DG63=0,IF($E61="USD",DF64*(1+Flags!$D$31)^(1/12)-DG68,DF64-DG68),DG63-DG68)</f>
        <v>1333333.3333333423</v>
      </c>
      <c r="DH64" s="490">
        <f>IF(DH63=0,IF($E61="USD",DG64*(1+Flags!$D$31)^(1/12)-DH68,DG64-DH68),DH63-DH68)</f>
        <v>1111111.1111111201</v>
      </c>
      <c r="DI64" s="490">
        <f>IF(DI63=0,IF($E61="USD",DH64*(1+Flags!$D$31)^(1/12)-DI68,DH64-DI68),DI63-DI68)</f>
        <v>888888.88888889784</v>
      </c>
      <c r="DJ64" s="490">
        <f>IF(DJ63=0,IF($E61="USD",DI64*(1+Flags!$D$31)^(1/12)-DJ68,DI64-DJ68),DJ63-DJ68)</f>
        <v>666666.66666667559</v>
      </c>
      <c r="DK64" s="490">
        <f>IF(DK63=0,IF($E61="USD",DJ64*(1+Flags!$D$31)^(1/12)-DK68,DJ64-DK68),DK63-DK68)</f>
        <v>444444.44444445334</v>
      </c>
      <c r="DL64" s="490">
        <f>IF(DL63=0,IF($E61="USD",DK64*(1+Flags!$D$31)^(1/12)-DL68,DK64-DL68),DL63-DL68)</f>
        <v>222222.22222223112</v>
      </c>
      <c r="DM64" s="490">
        <f>IF(DM63=0,IF($E61="USD",DL64*(1+Flags!$D$31)^(1/12)-DM68,DL64-DM68),DM63-DM68)</f>
        <v>8.9057721197605133E-9</v>
      </c>
      <c r="DN64" s="490">
        <f>IF(DN63=0,IF($E61="USD",DM64*(1+Flags!$D$31)^(1/12)-DN68,DM64-DN68),DN63-DN68)</f>
        <v>8.9057721197605133E-9</v>
      </c>
      <c r="DO64" s="490">
        <f>IF(DO63=0,IF($E61="USD",DN64*(1+Flags!$D$31)^(1/12)-DO68,DN64-DO68),DO63-DO68)</f>
        <v>8.9057721197605133E-9</v>
      </c>
      <c r="DP64" s="490">
        <f>IF(DP63=0,IF($E61="USD",DO64*(1+Flags!$D$31)^(1/12)-DP68,DO64-DP68),DP63-DP68)</f>
        <v>8.9057721197605133E-9</v>
      </c>
      <c r="DQ64" s="490">
        <f>IF(DQ63=0,IF($E61="USD",DP64*(1+Flags!$D$31)^(1/12)-DQ68,DP64-DQ68),DQ63-DQ68)</f>
        <v>8.9057721197605133E-9</v>
      </c>
      <c r="DR64" s="490">
        <f>IF(DR63=0,IF($E61="USD",DQ64*(1+Flags!$D$31)^(1/12)-DR68,DQ64-DR68),DR63-DR68)</f>
        <v>8.9057721197605133E-9</v>
      </c>
      <c r="DS64" s="490">
        <f>IF(DS63=0,IF($E61="USD",DR64*(1+Flags!$D$31)^(1/12)-DS68,DR64-DS68),DS63-DS68)</f>
        <v>8.9057721197605133E-9</v>
      </c>
      <c r="DT64" s="490">
        <f>IF(DT63=0,IF($E61="USD",DS64*(1+Flags!$D$31)^(1/12)-DT68,DS64-DT68),DT63-DT68)</f>
        <v>8.9057721197605133E-9</v>
      </c>
      <c r="DU64" s="490">
        <f>IF(DU63=0,IF($E61="USD",DT64*(1+Flags!$D$31)^(1/12)-DU68,DT64-DU68),DU63-DU68)</f>
        <v>8.9057721197605133E-9</v>
      </c>
      <c r="DV64" s="490">
        <f>IF(DV63=0,IF($E61="USD",DU64*(1+Flags!$D$31)^(1/12)-DV68,DU64-DV68),DV63-DV68)</f>
        <v>8.9057721197605133E-9</v>
      </c>
      <c r="DW64" s="490">
        <f>IF(DW63=0,IF($E61="USD",DV64*(1+Flags!$D$31)^(1/12)-DW68,DV64-DW68),DW63-DW68)</f>
        <v>8.9057721197605133E-9</v>
      </c>
      <c r="DX64" s="490">
        <f>IF(DX63=0,IF($E61="USD",DW64*(1+Flags!$D$31)^(1/12)-DX68,DW64-DX68),DX63-DX68)</f>
        <v>8.9057721197605133E-9</v>
      </c>
      <c r="DY64" s="490">
        <f>IF(DY63=0,IF($E61="USD",DX64*(1+Flags!$D$31)^(1/12)-DY68,DX64-DY68),DY63-DY68)</f>
        <v>8.9057721197605133E-9</v>
      </c>
    </row>
    <row r="65" spans="2:129" s="43" customFormat="1">
      <c r="C65" s="43" t="s">
        <v>388</v>
      </c>
      <c r="E65" s="482">
        <f>+'Model Assumptions'!H138</f>
        <v>22222.222222222223</v>
      </c>
      <c r="F65" s="126"/>
      <c r="G65" s="126"/>
      <c r="H65" s="12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row>
    <row r="66" spans="2:129" s="43" customFormat="1">
      <c r="C66" s="43" t="s">
        <v>87</v>
      </c>
      <c r="E66" s="483">
        <f>+'Model Assumptions'!H139</f>
        <v>0.5</v>
      </c>
      <c r="F66" s="129"/>
      <c r="G66" s="129"/>
      <c r="H66" s="129"/>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row>
    <row r="67" spans="2:129" s="43" customFormat="1">
      <c r="C67" s="43" t="s">
        <v>395</v>
      </c>
      <c r="E67" s="484">
        <f>+'Model Assumptions'!H140</f>
        <v>5</v>
      </c>
      <c r="F67" s="130"/>
      <c r="G67" s="130"/>
      <c r="H67" s="130"/>
      <c r="J67" s="46">
        <f>+IF(AND(J$1&gt;=DATE(YEAR($E60), MONTH($E60) + $E66*12, DAY($E60)),J$1&lt;DATE(YEAR($E60), MONTH($E60) + $E67*12, DAY($E60))),$E65,0)</f>
        <v>0</v>
      </c>
      <c r="K67" s="46">
        <f t="shared" ref="K67:BV67" si="55">+IF(AND(K$1&gt;=DATE(YEAR($E60), MONTH($E60) + $E66*12, DAY($E60)),K$1&lt;DATE(YEAR($E60), MONTH($E60) + $E67*12, DAY($E60))),$E65,0)</f>
        <v>0</v>
      </c>
      <c r="L67" s="46">
        <f t="shared" si="55"/>
        <v>0</v>
      </c>
      <c r="M67" s="46">
        <f t="shared" si="55"/>
        <v>0</v>
      </c>
      <c r="N67" s="46">
        <f t="shared" si="55"/>
        <v>0</v>
      </c>
      <c r="O67" s="46">
        <f t="shared" si="55"/>
        <v>0</v>
      </c>
      <c r="P67" s="46">
        <f t="shared" si="55"/>
        <v>0</v>
      </c>
      <c r="Q67" s="46">
        <f t="shared" si="55"/>
        <v>0</v>
      </c>
      <c r="R67" s="46">
        <f t="shared" si="55"/>
        <v>0</v>
      </c>
      <c r="S67" s="46">
        <f t="shared" si="55"/>
        <v>0</v>
      </c>
      <c r="T67" s="46">
        <f t="shared" si="55"/>
        <v>0</v>
      </c>
      <c r="U67" s="46">
        <f t="shared" si="55"/>
        <v>0</v>
      </c>
      <c r="V67" s="46">
        <f t="shared" si="55"/>
        <v>0</v>
      </c>
      <c r="W67" s="46">
        <f t="shared" si="55"/>
        <v>0</v>
      </c>
      <c r="X67" s="46">
        <f t="shared" si="55"/>
        <v>0</v>
      </c>
      <c r="Y67" s="46">
        <f t="shared" si="55"/>
        <v>0</v>
      </c>
      <c r="Z67" s="46">
        <f t="shared" si="55"/>
        <v>0</v>
      </c>
      <c r="AA67" s="46">
        <f t="shared" si="55"/>
        <v>0</v>
      </c>
      <c r="AB67" s="46">
        <f t="shared" si="55"/>
        <v>0</v>
      </c>
      <c r="AC67" s="46">
        <f t="shared" si="55"/>
        <v>0</v>
      </c>
      <c r="AD67" s="46">
        <f t="shared" si="55"/>
        <v>0</v>
      </c>
      <c r="AE67" s="46">
        <f t="shared" si="55"/>
        <v>0</v>
      </c>
      <c r="AF67" s="46">
        <f t="shared" si="55"/>
        <v>0</v>
      </c>
      <c r="AG67" s="46">
        <f t="shared" si="55"/>
        <v>0</v>
      </c>
      <c r="AH67" s="46">
        <f t="shared" si="55"/>
        <v>0</v>
      </c>
      <c r="AI67" s="46">
        <f t="shared" si="55"/>
        <v>0</v>
      </c>
      <c r="AJ67" s="46">
        <f t="shared" si="55"/>
        <v>0</v>
      </c>
      <c r="AK67" s="46">
        <f t="shared" si="55"/>
        <v>0</v>
      </c>
      <c r="AL67" s="46">
        <f t="shared" si="55"/>
        <v>0</v>
      </c>
      <c r="AM67" s="46">
        <f t="shared" si="55"/>
        <v>0</v>
      </c>
      <c r="AN67" s="46">
        <f t="shared" si="55"/>
        <v>0</v>
      </c>
      <c r="AO67" s="46">
        <f t="shared" si="55"/>
        <v>0</v>
      </c>
      <c r="AP67" s="46">
        <f t="shared" si="55"/>
        <v>0</v>
      </c>
      <c r="AQ67" s="46">
        <f t="shared" si="55"/>
        <v>0</v>
      </c>
      <c r="AR67" s="46">
        <f t="shared" si="55"/>
        <v>0</v>
      </c>
      <c r="AS67" s="46">
        <f t="shared" si="55"/>
        <v>0</v>
      </c>
      <c r="AT67" s="46">
        <f t="shared" si="55"/>
        <v>0</v>
      </c>
      <c r="AU67" s="46">
        <f t="shared" si="55"/>
        <v>0</v>
      </c>
      <c r="AV67" s="46">
        <f t="shared" si="55"/>
        <v>0</v>
      </c>
      <c r="AW67" s="46">
        <f t="shared" si="55"/>
        <v>0</v>
      </c>
      <c r="AX67" s="46">
        <f t="shared" si="55"/>
        <v>0</v>
      </c>
      <c r="AY67" s="46">
        <f t="shared" si="55"/>
        <v>0</v>
      </c>
      <c r="AZ67" s="46">
        <f t="shared" si="55"/>
        <v>0</v>
      </c>
      <c r="BA67" s="46">
        <f t="shared" si="55"/>
        <v>0</v>
      </c>
      <c r="BB67" s="46">
        <f t="shared" si="55"/>
        <v>0</v>
      </c>
      <c r="BC67" s="46">
        <f t="shared" si="55"/>
        <v>0</v>
      </c>
      <c r="BD67" s="46">
        <f t="shared" si="55"/>
        <v>0</v>
      </c>
      <c r="BE67" s="46">
        <f t="shared" si="55"/>
        <v>0</v>
      </c>
      <c r="BF67" s="46">
        <f t="shared" si="55"/>
        <v>0</v>
      </c>
      <c r="BG67" s="46">
        <f t="shared" si="55"/>
        <v>0</v>
      </c>
      <c r="BH67" s="46">
        <f t="shared" si="55"/>
        <v>0</v>
      </c>
      <c r="BI67" s="46">
        <f t="shared" si="55"/>
        <v>0</v>
      </c>
      <c r="BJ67" s="46">
        <f t="shared" si="55"/>
        <v>0</v>
      </c>
      <c r="BK67" s="46">
        <f t="shared" si="55"/>
        <v>0</v>
      </c>
      <c r="BL67" s="46">
        <f t="shared" si="55"/>
        <v>22222.222222222223</v>
      </c>
      <c r="BM67" s="46">
        <f t="shared" si="55"/>
        <v>22222.222222222223</v>
      </c>
      <c r="BN67" s="46">
        <f t="shared" si="55"/>
        <v>22222.222222222223</v>
      </c>
      <c r="BO67" s="46">
        <f t="shared" si="55"/>
        <v>22222.222222222223</v>
      </c>
      <c r="BP67" s="46">
        <f t="shared" si="55"/>
        <v>22222.222222222223</v>
      </c>
      <c r="BQ67" s="46">
        <f t="shared" si="55"/>
        <v>22222.222222222223</v>
      </c>
      <c r="BR67" s="46">
        <f t="shared" si="55"/>
        <v>22222.222222222223</v>
      </c>
      <c r="BS67" s="46">
        <f t="shared" si="55"/>
        <v>22222.222222222223</v>
      </c>
      <c r="BT67" s="46">
        <f t="shared" si="55"/>
        <v>22222.222222222223</v>
      </c>
      <c r="BU67" s="46">
        <f t="shared" si="55"/>
        <v>22222.222222222223</v>
      </c>
      <c r="BV67" s="46">
        <f t="shared" si="55"/>
        <v>22222.222222222223</v>
      </c>
      <c r="BW67" s="46">
        <f t="shared" ref="BW67:CC67" si="56">+IF(AND(BW$1&gt;=DATE(YEAR($E60), MONTH($E60) + $E66*12, DAY($E60)),BW$1&lt;DATE(YEAR($E60), MONTH($E60) + $E67*12, DAY($E60))),$E65,0)</f>
        <v>22222.222222222223</v>
      </c>
      <c r="BX67" s="46">
        <f t="shared" si="56"/>
        <v>22222.222222222223</v>
      </c>
      <c r="BY67" s="46">
        <f t="shared" si="56"/>
        <v>22222.222222222223</v>
      </c>
      <c r="BZ67" s="46">
        <f t="shared" si="56"/>
        <v>22222.222222222223</v>
      </c>
      <c r="CA67" s="46">
        <f t="shared" si="56"/>
        <v>22222.222222222223</v>
      </c>
      <c r="CB67" s="46">
        <f t="shared" si="56"/>
        <v>22222.222222222223</v>
      </c>
      <c r="CC67" s="46">
        <f t="shared" si="56"/>
        <v>22222.222222222223</v>
      </c>
      <c r="CD67" s="46">
        <f t="shared" ref="CD67:DY67" si="57">+IF(AND(CD$1&gt;=DATE(YEAR($E60), MONTH($E60) + $E66*12, DAY($E60)),CD$1&lt;DATE(YEAR($E60), MONTH($E60) + $E67*12, DAY($E60))),$E65,0)</f>
        <v>22222.222222222223</v>
      </c>
      <c r="CE67" s="46">
        <f t="shared" si="57"/>
        <v>22222.222222222223</v>
      </c>
      <c r="CF67" s="46">
        <f t="shared" si="57"/>
        <v>22222.222222222223</v>
      </c>
      <c r="CG67" s="46">
        <f t="shared" si="57"/>
        <v>22222.222222222223</v>
      </c>
      <c r="CH67" s="46">
        <f t="shared" si="57"/>
        <v>22222.222222222223</v>
      </c>
      <c r="CI67" s="46">
        <f t="shared" si="57"/>
        <v>22222.222222222223</v>
      </c>
      <c r="CJ67" s="46">
        <f t="shared" si="57"/>
        <v>22222.222222222223</v>
      </c>
      <c r="CK67" s="46">
        <f t="shared" si="57"/>
        <v>22222.222222222223</v>
      </c>
      <c r="CL67" s="46">
        <f t="shared" si="57"/>
        <v>22222.222222222223</v>
      </c>
      <c r="CM67" s="46">
        <f t="shared" si="57"/>
        <v>22222.222222222223</v>
      </c>
      <c r="CN67" s="46">
        <f t="shared" si="57"/>
        <v>22222.222222222223</v>
      </c>
      <c r="CO67" s="46">
        <f t="shared" si="57"/>
        <v>22222.222222222223</v>
      </c>
      <c r="CP67" s="46">
        <f t="shared" si="57"/>
        <v>22222.222222222223</v>
      </c>
      <c r="CQ67" s="46">
        <f t="shared" si="57"/>
        <v>22222.222222222223</v>
      </c>
      <c r="CR67" s="46">
        <f t="shared" si="57"/>
        <v>22222.222222222223</v>
      </c>
      <c r="CS67" s="46">
        <f t="shared" si="57"/>
        <v>22222.222222222223</v>
      </c>
      <c r="CT67" s="46">
        <f t="shared" si="57"/>
        <v>22222.222222222223</v>
      </c>
      <c r="CU67" s="46">
        <f t="shared" si="57"/>
        <v>22222.222222222223</v>
      </c>
      <c r="CV67" s="46">
        <f t="shared" si="57"/>
        <v>22222.222222222223</v>
      </c>
      <c r="CW67" s="46">
        <f t="shared" si="57"/>
        <v>22222.222222222223</v>
      </c>
      <c r="CX67" s="46">
        <f t="shared" si="57"/>
        <v>22222.222222222223</v>
      </c>
      <c r="CY67" s="46">
        <f t="shared" si="57"/>
        <v>22222.222222222223</v>
      </c>
      <c r="CZ67" s="46">
        <f t="shared" si="57"/>
        <v>22222.222222222223</v>
      </c>
      <c r="DA67" s="46">
        <f t="shared" si="57"/>
        <v>22222.222222222223</v>
      </c>
      <c r="DB67" s="46">
        <f t="shared" si="57"/>
        <v>22222.222222222223</v>
      </c>
      <c r="DC67" s="46">
        <f t="shared" si="57"/>
        <v>22222.222222222223</v>
      </c>
      <c r="DD67" s="46">
        <f t="shared" si="57"/>
        <v>22222.222222222223</v>
      </c>
      <c r="DE67" s="46">
        <f t="shared" si="57"/>
        <v>22222.222222222223</v>
      </c>
      <c r="DF67" s="46">
        <f t="shared" si="57"/>
        <v>22222.222222222223</v>
      </c>
      <c r="DG67" s="46">
        <f t="shared" si="57"/>
        <v>22222.222222222223</v>
      </c>
      <c r="DH67" s="46">
        <f t="shared" si="57"/>
        <v>22222.222222222223</v>
      </c>
      <c r="DI67" s="46">
        <f t="shared" si="57"/>
        <v>22222.222222222223</v>
      </c>
      <c r="DJ67" s="46">
        <f t="shared" si="57"/>
        <v>22222.222222222223</v>
      </c>
      <c r="DK67" s="46">
        <f t="shared" si="57"/>
        <v>22222.222222222223</v>
      </c>
      <c r="DL67" s="46">
        <f t="shared" si="57"/>
        <v>22222.222222222223</v>
      </c>
      <c r="DM67" s="46">
        <f t="shared" si="57"/>
        <v>22222.222222222223</v>
      </c>
      <c r="DN67" s="46">
        <f t="shared" si="57"/>
        <v>0</v>
      </c>
      <c r="DO67" s="46">
        <f t="shared" si="57"/>
        <v>0</v>
      </c>
      <c r="DP67" s="46">
        <f t="shared" si="57"/>
        <v>0</v>
      </c>
      <c r="DQ67" s="46">
        <f t="shared" si="57"/>
        <v>0</v>
      </c>
      <c r="DR67" s="46">
        <f t="shared" si="57"/>
        <v>0</v>
      </c>
      <c r="DS67" s="46">
        <f t="shared" si="57"/>
        <v>0</v>
      </c>
      <c r="DT67" s="46">
        <f t="shared" si="57"/>
        <v>0</v>
      </c>
      <c r="DU67" s="46">
        <f t="shared" si="57"/>
        <v>0</v>
      </c>
      <c r="DV67" s="46">
        <f t="shared" si="57"/>
        <v>0</v>
      </c>
      <c r="DW67" s="46">
        <f t="shared" si="57"/>
        <v>0</v>
      </c>
      <c r="DX67" s="46">
        <f t="shared" si="57"/>
        <v>0</v>
      </c>
      <c r="DY67" s="46">
        <f t="shared" si="57"/>
        <v>0</v>
      </c>
    </row>
    <row r="68" spans="2:129" s="43" customFormat="1">
      <c r="C68" s="43" t="s">
        <v>389</v>
      </c>
      <c r="E68" s="527"/>
      <c r="F68" s="130"/>
      <c r="G68" s="130"/>
      <c r="H68" s="130"/>
      <c r="J68" s="491">
        <f>IF($E61="LCY",J67*'Model Assumptions'!$H$135,Financing!J67*Flags!J$30)</f>
        <v>0</v>
      </c>
      <c r="K68" s="491">
        <f>IF($E61="LCY",K67*'Model Assumptions'!$H$135,Financing!K67*Flags!K$30)</f>
        <v>0</v>
      </c>
      <c r="L68" s="491">
        <f>IF($E61="LCY",L67*'Model Assumptions'!$H$135,Financing!L67*Flags!L$30)</f>
        <v>0</v>
      </c>
      <c r="M68" s="491">
        <f>IF($E61="LCY",M67*'Model Assumptions'!$H$135,Financing!M67*Flags!M$30)</f>
        <v>0</v>
      </c>
      <c r="N68" s="491">
        <f>IF($E61="LCY",N67*'Model Assumptions'!$H$135,Financing!N67*Flags!N$30)</f>
        <v>0</v>
      </c>
      <c r="O68" s="491">
        <f>IF($E61="LCY",O67*'Model Assumptions'!$H$135,Financing!O67*Flags!O$30)</f>
        <v>0</v>
      </c>
      <c r="P68" s="491">
        <f>IF($E61="LCY",P67*'Model Assumptions'!$H$135,Financing!P67*Flags!P$30)</f>
        <v>0</v>
      </c>
      <c r="Q68" s="491">
        <f>IF($E61="LCY",Q67*'Model Assumptions'!$H$135,Financing!Q67*Flags!Q$30)</f>
        <v>0</v>
      </c>
      <c r="R68" s="491">
        <f>IF($E61="LCY",R67*'Model Assumptions'!$H$135,Financing!R67*Flags!R$30)</f>
        <v>0</v>
      </c>
      <c r="S68" s="491">
        <f>IF($E61="LCY",S67*'Model Assumptions'!$H$135,Financing!S67*Flags!S$30)</f>
        <v>0</v>
      </c>
      <c r="T68" s="491">
        <f>IF($E61="LCY",T67*'Model Assumptions'!$H$135,Financing!T67*Flags!T$30)</f>
        <v>0</v>
      </c>
      <c r="U68" s="491">
        <f>IF($E61="LCY",U67*'Model Assumptions'!$H$135,Financing!U67*Flags!U$30)</f>
        <v>0</v>
      </c>
      <c r="V68" s="491">
        <f>IF($E61="LCY",V67*'Model Assumptions'!$H$135,Financing!V67*Flags!V$30)</f>
        <v>0</v>
      </c>
      <c r="W68" s="491">
        <f>IF($E61="LCY",W67*'Model Assumptions'!$H$135,Financing!W67*Flags!W$30)</f>
        <v>0</v>
      </c>
      <c r="X68" s="491">
        <f>IF($E61="LCY",X67*'Model Assumptions'!$H$135,Financing!X67*Flags!X$30)</f>
        <v>0</v>
      </c>
      <c r="Y68" s="491">
        <f>IF($E61="LCY",Y67*'Model Assumptions'!$H$135,Financing!Y67*Flags!Y$30)</f>
        <v>0</v>
      </c>
      <c r="Z68" s="491">
        <f>IF($E61="LCY",Z67*'Model Assumptions'!$H$135,Financing!Z67*Flags!Z$30)</f>
        <v>0</v>
      </c>
      <c r="AA68" s="491">
        <f>IF($E61="LCY",AA67*'Model Assumptions'!$H$135,Financing!AA67*Flags!AA$30)</f>
        <v>0</v>
      </c>
      <c r="AB68" s="491">
        <f>IF($E61="LCY",AB67*'Model Assumptions'!$H$135,Financing!AB67*Flags!AB$30)</f>
        <v>0</v>
      </c>
      <c r="AC68" s="491">
        <f>IF($E61="LCY",AC67*'Model Assumptions'!$H$135,Financing!AC67*Flags!AC$30)</f>
        <v>0</v>
      </c>
      <c r="AD68" s="491">
        <f>IF($E61="LCY",AD67*'Model Assumptions'!$H$135,Financing!AD67*Flags!AD$30)</f>
        <v>0</v>
      </c>
      <c r="AE68" s="491">
        <f>IF($E61="LCY",AE67*'Model Assumptions'!$H$135,Financing!AE67*Flags!AE$30)</f>
        <v>0</v>
      </c>
      <c r="AF68" s="491">
        <f>IF($E61="LCY",AF67*'Model Assumptions'!$H$135,Financing!AF67*Flags!AF$30)</f>
        <v>0</v>
      </c>
      <c r="AG68" s="491">
        <f>IF($E61="LCY",AG67*'Model Assumptions'!$H$135,Financing!AG67*Flags!AG$30)</f>
        <v>0</v>
      </c>
      <c r="AH68" s="491">
        <f>IF($E61="LCY",AH67*'Model Assumptions'!$H$135,Financing!AH67*Flags!AH$30)</f>
        <v>0</v>
      </c>
      <c r="AI68" s="491">
        <f>IF($E61="LCY",AI67*'Model Assumptions'!$H$135,Financing!AI67*Flags!AI$30)</f>
        <v>0</v>
      </c>
      <c r="AJ68" s="491">
        <f>IF($E61="LCY",AJ67*'Model Assumptions'!$H$135,Financing!AJ67*Flags!AJ$30)</f>
        <v>0</v>
      </c>
      <c r="AK68" s="491">
        <f>IF($E61="LCY",AK67*'Model Assumptions'!$H$135,Financing!AK67*Flags!AK$30)</f>
        <v>0</v>
      </c>
      <c r="AL68" s="491">
        <f>IF($E61="LCY",AL67*'Model Assumptions'!$H$135,Financing!AL67*Flags!AL$30)</f>
        <v>0</v>
      </c>
      <c r="AM68" s="491">
        <f>IF($E61="LCY",AM67*'Model Assumptions'!$H$135,Financing!AM67*Flags!AM$30)</f>
        <v>0</v>
      </c>
      <c r="AN68" s="491">
        <f>IF($E61="LCY",AN67*'Model Assumptions'!$H$135,Financing!AN67*Flags!AN$30)</f>
        <v>0</v>
      </c>
      <c r="AO68" s="491">
        <f>IF($E61="LCY",AO67*'Model Assumptions'!$H$135,Financing!AO67*Flags!AO$30)</f>
        <v>0</v>
      </c>
      <c r="AP68" s="491">
        <f>IF($E61="LCY",AP67*'Model Assumptions'!$H$135,Financing!AP67*Flags!AP$30)</f>
        <v>0</v>
      </c>
      <c r="AQ68" s="491">
        <f>IF($E61="LCY",AQ67*'Model Assumptions'!$H$135,Financing!AQ67*Flags!AQ$30)</f>
        <v>0</v>
      </c>
      <c r="AR68" s="491">
        <f>IF($E61="LCY",AR67*'Model Assumptions'!$H$135,Financing!AR67*Flags!AR$30)</f>
        <v>0</v>
      </c>
      <c r="AS68" s="491">
        <f>IF($E61="LCY",AS67*'Model Assumptions'!$H$135,Financing!AS67*Flags!AS$30)</f>
        <v>0</v>
      </c>
      <c r="AT68" s="491">
        <f>IF($E61="LCY",AT67*'Model Assumptions'!$H$135,Financing!AT67*Flags!AT$30)</f>
        <v>0</v>
      </c>
      <c r="AU68" s="491">
        <f>IF($E61="LCY",AU67*'Model Assumptions'!$H$135,Financing!AU67*Flags!AU$30)</f>
        <v>0</v>
      </c>
      <c r="AV68" s="491">
        <f>IF($E61="LCY",AV67*'Model Assumptions'!$H$135,Financing!AV67*Flags!AV$30)</f>
        <v>0</v>
      </c>
      <c r="AW68" s="491">
        <f>IF($E61="LCY",AW67*'Model Assumptions'!$H$135,Financing!AW67*Flags!AW$30)</f>
        <v>0</v>
      </c>
      <c r="AX68" s="491">
        <f>IF($E61="LCY",AX67*'Model Assumptions'!$H$135,Financing!AX67*Flags!AX$30)</f>
        <v>0</v>
      </c>
      <c r="AY68" s="491">
        <f>IF($E61="LCY",AY67*'Model Assumptions'!$H$135,Financing!AY67*Flags!AY$30)</f>
        <v>0</v>
      </c>
      <c r="AZ68" s="491">
        <f>IF($E61="LCY",AZ67*'Model Assumptions'!$H$135,Financing!AZ67*Flags!AZ$30)</f>
        <v>0</v>
      </c>
      <c r="BA68" s="491">
        <f>IF($E61="LCY",BA67*'Model Assumptions'!$H$135,Financing!BA67*Flags!BA$30)</f>
        <v>0</v>
      </c>
      <c r="BB68" s="491">
        <f>IF($E61="LCY",BB67*'Model Assumptions'!$H$135,Financing!BB67*Flags!BB$30)</f>
        <v>0</v>
      </c>
      <c r="BC68" s="491">
        <f>IF($E61="LCY",BC67*'Model Assumptions'!$H$135,Financing!BC67*Flags!BC$30)</f>
        <v>0</v>
      </c>
      <c r="BD68" s="491">
        <f>IF($E61="LCY",BD67*'Model Assumptions'!$H$135,Financing!BD67*Flags!BD$30)</f>
        <v>0</v>
      </c>
      <c r="BE68" s="491">
        <f>IF($E61="LCY",BE67*'Model Assumptions'!$H$135,Financing!BE67*Flags!BE$30)</f>
        <v>0</v>
      </c>
      <c r="BF68" s="491">
        <f>IF($E61="LCY",BF67*'Model Assumptions'!$H$135,Financing!BF67*Flags!BF$30)</f>
        <v>0</v>
      </c>
      <c r="BG68" s="491">
        <f>IF($E61="LCY",BG67*'Model Assumptions'!$H$135,Financing!BG67*Flags!BG$30)</f>
        <v>0</v>
      </c>
      <c r="BH68" s="491">
        <f>IF($E61="LCY",BH67*'Model Assumptions'!$H$135,Financing!BH67*Flags!BH$30)</f>
        <v>0</v>
      </c>
      <c r="BI68" s="491">
        <f>IF($E61="LCY",BI67*'Model Assumptions'!$H$135,Financing!BI67*Flags!BI$30)</f>
        <v>0</v>
      </c>
      <c r="BJ68" s="491">
        <f>IF($E61="LCY",BJ67*'Model Assumptions'!$H$135,Financing!BJ67*Flags!BJ$30)</f>
        <v>0</v>
      </c>
      <c r="BK68" s="491">
        <f>IF($E61="LCY",BK67*'Model Assumptions'!$H$135,Financing!BK67*Flags!BK$30)</f>
        <v>0</v>
      </c>
      <c r="BL68" s="491">
        <f>IF($E61="LCY",BL67*'Model Assumptions'!$H$135,Financing!BL67*Flags!BL$30)</f>
        <v>222222.22222222222</v>
      </c>
      <c r="BM68" s="491">
        <f>IF($E61="LCY",BM67*'Model Assumptions'!$H$135,Financing!BM67*Flags!BM$30)</f>
        <v>222222.22222222222</v>
      </c>
      <c r="BN68" s="491">
        <f>IF($E61="LCY",BN67*'Model Assumptions'!$H$135,Financing!BN67*Flags!BN$30)</f>
        <v>222222.22222222222</v>
      </c>
      <c r="BO68" s="491">
        <f>IF($E61="LCY",BO67*'Model Assumptions'!$H$135,Financing!BO67*Flags!BO$30)</f>
        <v>222222.22222222222</v>
      </c>
      <c r="BP68" s="491">
        <f>IF($E61="LCY",BP67*'Model Assumptions'!$H$135,Financing!BP67*Flags!BP$30)</f>
        <v>222222.22222222222</v>
      </c>
      <c r="BQ68" s="491">
        <f>IF($E61="LCY",BQ67*'Model Assumptions'!$H$135,Financing!BQ67*Flags!BQ$30)</f>
        <v>222222.22222222222</v>
      </c>
      <c r="BR68" s="491">
        <f>IF($E61="LCY",BR67*'Model Assumptions'!$H$135,Financing!BR67*Flags!BR$30)</f>
        <v>222222.22222222222</v>
      </c>
      <c r="BS68" s="491">
        <f>IF($E61="LCY",BS67*'Model Assumptions'!$H$135,Financing!BS67*Flags!BS$30)</f>
        <v>222222.22222222222</v>
      </c>
      <c r="BT68" s="491">
        <f>IF($E61="LCY",BT67*'Model Assumptions'!$H$135,Financing!BT67*Flags!BT$30)</f>
        <v>222222.22222222222</v>
      </c>
      <c r="BU68" s="491">
        <f>IF($E61="LCY",BU67*'Model Assumptions'!$H$135,Financing!BU67*Flags!BU$30)</f>
        <v>222222.22222222222</v>
      </c>
      <c r="BV68" s="491">
        <f>IF($E61="LCY",BV67*'Model Assumptions'!$H$135,Financing!BV67*Flags!BV$30)</f>
        <v>222222.22222222222</v>
      </c>
      <c r="BW68" s="491">
        <f>IF($E61="LCY",BW67*'Model Assumptions'!$H$135,Financing!BW67*Flags!BW$30)</f>
        <v>222222.22222222222</v>
      </c>
      <c r="BX68" s="491">
        <f>IF($E61="LCY",BX67*'Model Assumptions'!$H$135,Financing!BX67*Flags!BX$30)</f>
        <v>222222.22222222222</v>
      </c>
      <c r="BY68" s="491">
        <f>IF($E61="LCY",BY67*'Model Assumptions'!$H$135,Financing!BY67*Flags!BY$30)</f>
        <v>222222.22222222222</v>
      </c>
      <c r="BZ68" s="491">
        <f>IF($E61="LCY",BZ67*'Model Assumptions'!$H$135,Financing!BZ67*Flags!BZ$30)</f>
        <v>222222.22222222222</v>
      </c>
      <c r="CA68" s="491">
        <f>IF($E61="LCY",CA67*'Model Assumptions'!$H$135,Financing!CA67*Flags!CA$30)</f>
        <v>222222.22222222222</v>
      </c>
      <c r="CB68" s="491">
        <f>IF($E61="LCY",CB67*'Model Assumptions'!$H$135,Financing!CB67*Flags!CB$30)</f>
        <v>222222.22222222222</v>
      </c>
      <c r="CC68" s="491">
        <f>IF($E61="LCY",CC67*'Model Assumptions'!$H$135,Financing!CC67*Flags!CC$30)</f>
        <v>222222.22222222222</v>
      </c>
      <c r="CD68" s="491">
        <f>IF($E61="LCY",CD67*'Model Assumptions'!$H$135,Financing!CD67*Flags!CD$30)</f>
        <v>222222.22222222222</v>
      </c>
      <c r="CE68" s="491">
        <f>IF($E61="LCY",CE67*'Model Assumptions'!$H$135,Financing!CE67*Flags!CE$30)</f>
        <v>222222.22222222222</v>
      </c>
      <c r="CF68" s="491">
        <f>IF($E61="LCY",CF67*'Model Assumptions'!$H$135,Financing!CF67*Flags!CF$30)</f>
        <v>222222.22222222222</v>
      </c>
      <c r="CG68" s="491">
        <f>IF($E61="LCY",CG67*'Model Assumptions'!$H$135,Financing!CG67*Flags!CG$30)</f>
        <v>222222.22222222222</v>
      </c>
      <c r="CH68" s="491">
        <f>IF($E61="LCY",CH67*'Model Assumptions'!$H$135,Financing!CH67*Flags!CH$30)</f>
        <v>222222.22222222222</v>
      </c>
      <c r="CI68" s="491">
        <f>IF($E61="LCY",CI67*'Model Assumptions'!$H$135,Financing!CI67*Flags!CI$30)</f>
        <v>222222.22222222222</v>
      </c>
      <c r="CJ68" s="491">
        <f>IF($E61="LCY",CJ67*'Model Assumptions'!$H$135,Financing!CJ67*Flags!CJ$30)</f>
        <v>222222.22222222222</v>
      </c>
      <c r="CK68" s="491">
        <f>IF($E61="LCY",CK67*'Model Assumptions'!$H$135,Financing!CK67*Flags!CK$30)</f>
        <v>222222.22222222222</v>
      </c>
      <c r="CL68" s="491">
        <f>IF($E61="LCY",CL67*'Model Assumptions'!$H$135,Financing!CL67*Flags!CL$30)</f>
        <v>222222.22222222222</v>
      </c>
      <c r="CM68" s="491">
        <f>IF($E61="LCY",CM67*'Model Assumptions'!$H$135,Financing!CM67*Flags!CM$30)</f>
        <v>222222.22222222222</v>
      </c>
      <c r="CN68" s="491">
        <f>IF($E61="LCY",CN67*'Model Assumptions'!$H$135,Financing!CN67*Flags!CN$30)</f>
        <v>222222.22222222222</v>
      </c>
      <c r="CO68" s="491">
        <f>IF($E61="LCY",CO67*'Model Assumptions'!$H$135,Financing!CO67*Flags!CO$30)</f>
        <v>222222.22222222222</v>
      </c>
      <c r="CP68" s="491">
        <f>IF($E61="LCY",CP67*'Model Assumptions'!$H$135,Financing!CP67*Flags!CP$30)</f>
        <v>222222.22222222222</v>
      </c>
      <c r="CQ68" s="491">
        <f>IF($E61="LCY",CQ67*'Model Assumptions'!$H$135,Financing!CQ67*Flags!CQ$30)</f>
        <v>222222.22222222222</v>
      </c>
      <c r="CR68" s="491">
        <f>IF($E61="LCY",CR67*'Model Assumptions'!$H$135,Financing!CR67*Flags!CR$30)</f>
        <v>222222.22222222222</v>
      </c>
      <c r="CS68" s="491">
        <f>IF($E61="LCY",CS67*'Model Assumptions'!$H$135,Financing!CS67*Flags!CS$30)</f>
        <v>222222.22222222222</v>
      </c>
      <c r="CT68" s="491">
        <f>IF($E61="LCY",CT67*'Model Assumptions'!$H$135,Financing!CT67*Flags!CT$30)</f>
        <v>222222.22222222222</v>
      </c>
      <c r="CU68" s="491">
        <f>IF($E61="LCY",CU67*'Model Assumptions'!$H$135,Financing!CU67*Flags!CU$30)</f>
        <v>222222.22222222222</v>
      </c>
      <c r="CV68" s="491">
        <f>IF($E61="LCY",CV67*'Model Assumptions'!$H$135,Financing!CV67*Flags!CV$30)</f>
        <v>222222.22222222222</v>
      </c>
      <c r="CW68" s="491">
        <f>IF($E61="LCY",CW67*'Model Assumptions'!$H$135,Financing!CW67*Flags!CW$30)</f>
        <v>222222.22222222222</v>
      </c>
      <c r="CX68" s="491">
        <f>IF($E61="LCY",CX67*'Model Assumptions'!$H$135,Financing!CX67*Flags!CX$30)</f>
        <v>222222.22222222222</v>
      </c>
      <c r="CY68" s="491">
        <f>IF($E61="LCY",CY67*'Model Assumptions'!$H$135,Financing!CY67*Flags!CY$30)</f>
        <v>222222.22222222222</v>
      </c>
      <c r="CZ68" s="491">
        <f>IF($E61="LCY",CZ67*'Model Assumptions'!$H$135,Financing!CZ67*Flags!CZ$30)</f>
        <v>222222.22222222222</v>
      </c>
      <c r="DA68" s="491">
        <f>IF($E61="LCY",DA67*'Model Assumptions'!$H$135,Financing!DA67*Flags!DA$30)</f>
        <v>222222.22222222222</v>
      </c>
      <c r="DB68" s="491">
        <f>IF($E61="LCY",DB67*'Model Assumptions'!$H$135,Financing!DB67*Flags!DB$30)</f>
        <v>222222.22222222222</v>
      </c>
      <c r="DC68" s="491">
        <f>IF($E61="LCY",DC67*'Model Assumptions'!$H$135,Financing!DC67*Flags!DC$30)</f>
        <v>222222.22222222222</v>
      </c>
      <c r="DD68" s="491">
        <f>IF($E61="LCY",DD67*'Model Assumptions'!$H$135,Financing!DD67*Flags!DD$30)</f>
        <v>222222.22222222222</v>
      </c>
      <c r="DE68" s="491">
        <f>IF($E61="LCY",DE67*'Model Assumptions'!$H$135,Financing!DE67*Flags!DE$30)</f>
        <v>222222.22222222222</v>
      </c>
      <c r="DF68" s="491">
        <f>IF($E61="LCY",DF67*'Model Assumptions'!$H$135,Financing!DF67*Flags!DF$30)</f>
        <v>222222.22222222222</v>
      </c>
      <c r="DG68" s="491">
        <f>IF($E61="LCY",DG67*'Model Assumptions'!$H$135,Financing!DG67*Flags!DG$30)</f>
        <v>222222.22222222222</v>
      </c>
      <c r="DH68" s="491">
        <f>IF($E61="LCY",DH67*'Model Assumptions'!$H$135,Financing!DH67*Flags!DH$30)</f>
        <v>222222.22222222222</v>
      </c>
      <c r="DI68" s="491">
        <f>IF($E61="LCY",DI67*'Model Assumptions'!$H$135,Financing!DI67*Flags!DI$30)</f>
        <v>222222.22222222222</v>
      </c>
      <c r="DJ68" s="491">
        <f>IF($E61="LCY",DJ67*'Model Assumptions'!$H$135,Financing!DJ67*Flags!DJ$30)</f>
        <v>222222.22222222222</v>
      </c>
      <c r="DK68" s="491">
        <f>IF($E61="LCY",DK67*'Model Assumptions'!$H$135,Financing!DK67*Flags!DK$30)</f>
        <v>222222.22222222222</v>
      </c>
      <c r="DL68" s="491">
        <f>IF($E61="LCY",DL67*'Model Assumptions'!$H$135,Financing!DL67*Flags!DL$30)</f>
        <v>222222.22222222222</v>
      </c>
      <c r="DM68" s="491">
        <f>IF($E61="LCY",DM67*'Model Assumptions'!$H$135,Financing!DM67*Flags!DM$30)</f>
        <v>222222.22222222222</v>
      </c>
      <c r="DN68" s="491">
        <f>IF($E61="LCY",DN67*'Model Assumptions'!$H$135,Financing!DN67*Flags!DN$30)</f>
        <v>0</v>
      </c>
      <c r="DO68" s="491">
        <f>IF($E61="LCY",DO67*'Model Assumptions'!$H$135,Financing!DO67*Flags!DO$30)</f>
        <v>0</v>
      </c>
      <c r="DP68" s="491">
        <f>IF($E61="LCY",DP67*'Model Assumptions'!$H$135,Financing!DP67*Flags!DP$30)</f>
        <v>0</v>
      </c>
      <c r="DQ68" s="491">
        <f>IF($E61="LCY",DQ67*'Model Assumptions'!$H$135,Financing!DQ67*Flags!DQ$30)</f>
        <v>0</v>
      </c>
      <c r="DR68" s="491">
        <f>IF($E61="LCY",DR67*'Model Assumptions'!$H$135,Financing!DR67*Flags!DR$30)</f>
        <v>0</v>
      </c>
      <c r="DS68" s="491">
        <f>IF($E61="LCY",DS67*'Model Assumptions'!$H$135,Financing!DS67*Flags!DS$30)</f>
        <v>0</v>
      </c>
      <c r="DT68" s="491">
        <f>IF($E61="LCY",DT67*'Model Assumptions'!$H$135,Financing!DT67*Flags!DT$30)</f>
        <v>0</v>
      </c>
      <c r="DU68" s="491">
        <f>IF($E61="LCY",DU67*'Model Assumptions'!$H$135,Financing!DU67*Flags!DU$30)</f>
        <v>0</v>
      </c>
      <c r="DV68" s="491">
        <f>IF($E61="LCY",DV67*'Model Assumptions'!$H$135,Financing!DV67*Flags!DV$30)</f>
        <v>0</v>
      </c>
      <c r="DW68" s="491">
        <f>IF($E61="LCY",DW67*'Model Assumptions'!$H$135,Financing!DW67*Flags!DW$30)</f>
        <v>0</v>
      </c>
      <c r="DX68" s="491">
        <f>IF($E61="LCY",DX67*'Model Assumptions'!$H$135,Financing!DX67*Flags!DX$30)</f>
        <v>0</v>
      </c>
      <c r="DY68" s="491">
        <f>IF($E61="LCY",DY67*'Model Assumptions'!$H$135,Financing!DY67*Flags!DY$30)</f>
        <v>0</v>
      </c>
    </row>
    <row r="69" spans="2:129" s="43" customFormat="1">
      <c r="C69" s="43" t="s">
        <v>396</v>
      </c>
      <c r="E69" s="485">
        <f>+'Model Assumptions'!H141</f>
        <v>0.1</v>
      </c>
      <c r="F69" s="131"/>
      <c r="G69" s="131"/>
      <c r="H69" s="131"/>
      <c r="J69" s="251">
        <f>(SUM(J62:$J62)-SUM(J67:$J67))*$E69/12</f>
        <v>0</v>
      </c>
      <c r="K69" s="251">
        <f>(SUM($J62:K62)-SUM($J67:K67))*$E69/12</f>
        <v>0</v>
      </c>
      <c r="L69" s="251">
        <f>(SUM($J62:L62)-SUM($J67:L67))*$E69/12</f>
        <v>0</v>
      </c>
      <c r="M69" s="251">
        <f>(SUM($J62:M62)-SUM($J67:M67))*$E69/12</f>
        <v>0</v>
      </c>
      <c r="N69" s="251">
        <f>(SUM($J62:N62)-SUM($J67:N67))*$E69/12</f>
        <v>0</v>
      </c>
      <c r="O69" s="251">
        <f>(SUM($J62:O62)-SUM($J67:O67))*$E69/12</f>
        <v>0</v>
      </c>
      <c r="P69" s="251">
        <f>(SUM($J62:P62)-SUM($J67:P67))*$E69/12</f>
        <v>0</v>
      </c>
      <c r="Q69" s="251">
        <f>(SUM($J62:Q62)-SUM($J67:Q67))*$E69/12</f>
        <v>0</v>
      </c>
      <c r="R69" s="251">
        <f>(SUM($J62:R62)-SUM($J67:R67))*$E69/12</f>
        <v>0</v>
      </c>
      <c r="S69" s="251">
        <f>(SUM($J62:S62)-SUM($J67:S67))*$E69/12</f>
        <v>0</v>
      </c>
      <c r="T69" s="251">
        <f>(SUM($J62:T62)-SUM($J67:T67))*$E69/12</f>
        <v>0</v>
      </c>
      <c r="U69" s="251">
        <f>(SUM($J62:U62)-SUM($J67:U67))*$E69/12</f>
        <v>0</v>
      </c>
      <c r="V69" s="251">
        <f>(SUM($J62:V62)-SUM($J67:V67))*$E69/12</f>
        <v>0</v>
      </c>
      <c r="W69" s="251">
        <f>(SUM($J62:W62)-SUM($J67:W67))*$E69/12</f>
        <v>0</v>
      </c>
      <c r="X69" s="251">
        <f>(SUM($J62:X62)-SUM($J67:X67))*$E69/12</f>
        <v>0</v>
      </c>
      <c r="Y69" s="251">
        <f>(SUM($J62:Y62)-SUM($J67:Y67))*$E69/12</f>
        <v>0</v>
      </c>
      <c r="Z69" s="251">
        <f>(SUM($J62:Z62)-SUM($J67:Z67))*$E69/12</f>
        <v>0</v>
      </c>
      <c r="AA69" s="251">
        <f>(SUM($J62:AA62)-SUM($J67:AA67))*$E69/12</f>
        <v>0</v>
      </c>
      <c r="AB69" s="251">
        <f>(SUM($J62:AB62)-SUM($J67:AB67))*$E69/12</f>
        <v>0</v>
      </c>
      <c r="AC69" s="251">
        <f>(SUM($J62:AC62)-SUM($J67:AC67))*$E69/12</f>
        <v>0</v>
      </c>
      <c r="AD69" s="251">
        <f>(SUM($J62:AD62)-SUM($J67:AD67))*$E69/12</f>
        <v>0</v>
      </c>
      <c r="AE69" s="251">
        <f>(SUM($J62:AE62)-SUM($J67:AE67))*$E69/12</f>
        <v>0</v>
      </c>
      <c r="AF69" s="251">
        <f>(SUM($J62:AF62)-SUM($J67:AF67))*$E69/12</f>
        <v>0</v>
      </c>
      <c r="AG69" s="251">
        <f>(SUM($J62:AG62)-SUM($J67:AG67))*$E69/12</f>
        <v>0</v>
      </c>
      <c r="AH69" s="251">
        <f>(SUM($J62:AH62)-SUM($J67:AH67))*$E69/12</f>
        <v>0</v>
      </c>
      <c r="AI69" s="251">
        <f>(SUM($J62:AI62)-SUM($J67:AI67))*$E69/12</f>
        <v>0</v>
      </c>
      <c r="AJ69" s="251">
        <f>(SUM($J62:AJ62)-SUM($J67:AJ67))*$E69/12</f>
        <v>0</v>
      </c>
      <c r="AK69" s="251">
        <f>(SUM($J62:AK62)-SUM($J67:AK67))*$E69/12</f>
        <v>0</v>
      </c>
      <c r="AL69" s="251">
        <f>(SUM($J62:AL62)-SUM($J67:AL67))*$E69/12</f>
        <v>0</v>
      </c>
      <c r="AM69" s="251">
        <f>(SUM($J62:AM62)-SUM($J67:AM67))*$E69/12</f>
        <v>0</v>
      </c>
      <c r="AN69" s="251">
        <f>(SUM($J62:AN62)-SUM($J67:AN67))*$E69/12</f>
        <v>0</v>
      </c>
      <c r="AO69" s="251">
        <f>(SUM($J62:AO62)-SUM($J67:AO67))*$E69/12</f>
        <v>0</v>
      </c>
      <c r="AP69" s="251">
        <f>(SUM($J62:AP62)-SUM($J67:AP67))*$E69/12</f>
        <v>0</v>
      </c>
      <c r="AQ69" s="251">
        <f>(SUM($J62:AQ62)-SUM($J67:AQ67))*$E69/12</f>
        <v>0</v>
      </c>
      <c r="AR69" s="251">
        <f>(SUM($J62:AR62)-SUM($J67:AR67))*$E69/12</f>
        <v>0</v>
      </c>
      <c r="AS69" s="251">
        <f>(SUM($J62:AS62)-SUM($J67:AS67))*$E69/12</f>
        <v>0</v>
      </c>
      <c r="AT69" s="251">
        <f>(SUM($J62:AT62)-SUM($J67:AT67))*$E69/12</f>
        <v>0</v>
      </c>
      <c r="AU69" s="251">
        <f>(SUM($J62:AU62)-SUM($J67:AU67))*$E69/12</f>
        <v>0</v>
      </c>
      <c r="AV69" s="251">
        <f>(SUM($J62:AV62)-SUM($J67:AV67))*$E69/12</f>
        <v>0</v>
      </c>
      <c r="AW69" s="251">
        <f>(SUM($J62:AW62)-SUM($J67:AW67))*$E69/12</f>
        <v>0</v>
      </c>
      <c r="AX69" s="251">
        <f>(SUM($J62:AX62)-SUM($J67:AX67))*$E69/12</f>
        <v>0</v>
      </c>
      <c r="AY69" s="251">
        <f>(SUM($J62:AY62)-SUM($J67:AY67))*$E69/12</f>
        <v>0</v>
      </c>
      <c r="AZ69" s="251">
        <f>(SUM($J62:AZ62)-SUM($J67:AZ67))*$E69/12</f>
        <v>0</v>
      </c>
      <c r="BA69" s="251">
        <f>(SUM($J62:BA62)-SUM($J67:BA67))*$E69/12</f>
        <v>0</v>
      </c>
      <c r="BB69" s="251">
        <f>(SUM($J62:BB62)-SUM($J67:BB67))*$E69/12</f>
        <v>0</v>
      </c>
      <c r="BC69" s="251">
        <f>(SUM($J62:BC62)-SUM($J67:BC67))*$E69/12</f>
        <v>0</v>
      </c>
      <c r="BD69" s="251">
        <f>(SUM($J62:BD62)-SUM($J67:BD67))*$E69/12</f>
        <v>0</v>
      </c>
      <c r="BE69" s="251">
        <f>(SUM($J62:BE62)-SUM($J67:BE67))*$E69/12</f>
        <v>0</v>
      </c>
      <c r="BF69" s="251">
        <f>(SUM($J62:BF62)-SUM($J67:BF67))*$E69/12</f>
        <v>10000</v>
      </c>
      <c r="BG69" s="251">
        <f>(SUM($J62:BG62)-SUM($J67:BG67))*$E69/12</f>
        <v>10000</v>
      </c>
      <c r="BH69" s="251">
        <f>(SUM($J62:BH62)-SUM($J67:BH67))*$E69/12</f>
        <v>10000</v>
      </c>
      <c r="BI69" s="251">
        <f>(SUM($J62:BI62)-SUM($J67:BI67))*$E69/12</f>
        <v>10000</v>
      </c>
      <c r="BJ69" s="251">
        <f>(SUM($J62:BJ62)-SUM($J67:BJ67))*$E69/12</f>
        <v>10000</v>
      </c>
      <c r="BK69" s="251">
        <f>(SUM($J62:BK62)-SUM($J67:BK67))*$E69/12</f>
        <v>10000</v>
      </c>
      <c r="BL69" s="251">
        <f>(SUM($J62:BL62)-SUM($J67:BL67))*$E69/12</f>
        <v>9814.8148148148157</v>
      </c>
      <c r="BM69" s="251">
        <f>(SUM($J62:BM62)-SUM($J67:BM67))*$E69/12</f>
        <v>9629.6296296296296</v>
      </c>
      <c r="BN69" s="251">
        <f>(SUM($J62:BN62)-SUM($J67:BN67))*$E69/12</f>
        <v>9444.4444444444434</v>
      </c>
      <c r="BO69" s="251">
        <f>(SUM($J62:BO62)-SUM($J67:BO67))*$E69/12</f>
        <v>9259.2592592592591</v>
      </c>
      <c r="BP69" s="251">
        <f>(SUM($J62:BP62)-SUM($J67:BP67))*$E69/12</f>
        <v>9074.0740740740748</v>
      </c>
      <c r="BQ69" s="251">
        <f>(SUM($J62:BQ62)-SUM($J67:BQ67))*$E69/12</f>
        <v>8888.8888888888905</v>
      </c>
      <c r="BR69" s="251">
        <f>(SUM($J62:BR62)-SUM($J67:BR67))*$E69/12</f>
        <v>8703.7037037037044</v>
      </c>
      <c r="BS69" s="251">
        <f>(SUM($J62:BS62)-SUM($J67:BS67))*$E69/12</f>
        <v>8518.5185185185201</v>
      </c>
      <c r="BT69" s="251">
        <f>(SUM($J62:BT62)-SUM($J67:BT67))*$E69/12</f>
        <v>8333.3333333333339</v>
      </c>
      <c r="BU69" s="251">
        <f>(SUM($J62:BU62)-SUM($J67:BU67))*$E69/12</f>
        <v>8148.1481481481487</v>
      </c>
      <c r="BV69" s="251">
        <f>(SUM($J62:BV62)-SUM($J67:BV67))*$E69/12</f>
        <v>7962.9629629629635</v>
      </c>
      <c r="BW69" s="251">
        <f>(SUM($J62:BW62)-SUM($J67:BW67))*$E69/12</f>
        <v>7777.7777777777774</v>
      </c>
      <c r="BX69" s="251">
        <f>(SUM($J62:BX62)-SUM($J67:BX67))*$E69/12</f>
        <v>7592.5925925925922</v>
      </c>
      <c r="BY69" s="251">
        <f>(SUM($J62:BY62)-SUM($J67:BY67))*$E69/12</f>
        <v>7407.407407407406</v>
      </c>
      <c r="BZ69" s="251">
        <f>(SUM($J62:BZ62)-SUM($J67:BZ67))*$E69/12</f>
        <v>7222.2222222222217</v>
      </c>
      <c r="CA69" s="251">
        <f>(SUM($J62:CA62)-SUM($J67:CA67))*$E69/12</f>
        <v>7037.0370370370365</v>
      </c>
      <c r="CB69" s="251">
        <f>(SUM($J62:CB62)-SUM($J67:CB67))*$E69/12</f>
        <v>6851.8518518518504</v>
      </c>
      <c r="CC69" s="251">
        <f>(SUM($J62:CC62)-SUM($J67:CC67))*$E69/12</f>
        <v>6666.6666666666652</v>
      </c>
      <c r="CD69" s="251">
        <f>(SUM($J62:CD62)-SUM($J67:CD67))*$E69/12</f>
        <v>6481.481481481479</v>
      </c>
      <c r="CE69" s="251">
        <f>(SUM($J62:CE62)-SUM($J67:CE67))*$E69/12</f>
        <v>6296.2962962962947</v>
      </c>
      <c r="CF69" s="251">
        <f>(SUM($J62:CF62)-SUM($J67:CF67))*$E69/12</f>
        <v>6111.1111111111086</v>
      </c>
      <c r="CG69" s="251">
        <f>(SUM($J62:CG62)-SUM($J67:CG67))*$E69/12</f>
        <v>5925.9259259259234</v>
      </c>
      <c r="CH69" s="251">
        <f>(SUM($J62:CH62)-SUM($J67:CH67))*$E69/12</f>
        <v>5740.7407407407381</v>
      </c>
      <c r="CI69" s="251">
        <f>(SUM($J62:CI62)-SUM($J67:CI67))*$E69/12</f>
        <v>5555.5555555555538</v>
      </c>
      <c r="CJ69" s="251">
        <f>(SUM($J62:CJ62)-SUM($J67:CJ67))*$E69/12</f>
        <v>5370.3703703703677</v>
      </c>
      <c r="CK69" s="251">
        <f>(SUM($J62:CK62)-SUM($J67:CK67))*$E69/12</f>
        <v>5185.1851851851825</v>
      </c>
      <c r="CL69" s="251">
        <f>(SUM($J62:CL62)-SUM($J67:CL67))*$E69/12</f>
        <v>4999.9999999999973</v>
      </c>
      <c r="CM69" s="251">
        <f>(SUM($J62:CM62)-SUM($J67:CM67))*$E69/12</f>
        <v>4814.8148148148121</v>
      </c>
      <c r="CN69" s="251">
        <f>(SUM($J62:CN62)-SUM($J67:CN67))*$E69/12</f>
        <v>4629.6296296296268</v>
      </c>
      <c r="CO69" s="251">
        <f>(SUM($J62:CO62)-SUM($J67:CO67))*$E69/12</f>
        <v>4444.4444444444407</v>
      </c>
      <c r="CP69" s="251">
        <f>(SUM($J62:CP62)-SUM($J67:CP67))*$E69/12</f>
        <v>4259.2592592592555</v>
      </c>
      <c r="CQ69" s="251">
        <f>(SUM($J62:CQ62)-SUM($J67:CQ67))*$E69/12</f>
        <v>4074.0740740740707</v>
      </c>
      <c r="CR69" s="251">
        <f>(SUM($J62:CR62)-SUM($J67:CR67))*$E69/12</f>
        <v>3888.888888888885</v>
      </c>
      <c r="CS69" s="251">
        <f>(SUM($J62:CS62)-SUM($J67:CS67))*$E69/12</f>
        <v>3703.7037037036994</v>
      </c>
      <c r="CT69" s="251">
        <f>(SUM($J62:CT62)-SUM($J67:CT67))*$E69/12</f>
        <v>3518.5185185185142</v>
      </c>
      <c r="CU69" s="251">
        <f>(SUM($J62:CU62)-SUM($J67:CU67))*$E69/12</f>
        <v>3333.3333333333285</v>
      </c>
      <c r="CV69" s="251">
        <f>(SUM($J62:CV62)-SUM($J67:CV67))*$E69/12</f>
        <v>3148.1481481481428</v>
      </c>
      <c r="CW69" s="251">
        <f>(SUM($J62:CW62)-SUM($J67:CW67))*$E69/12</f>
        <v>2962.962962962958</v>
      </c>
      <c r="CX69" s="251">
        <f>(SUM($J62:CX62)-SUM($J67:CX67))*$E69/12</f>
        <v>2777.7777777777724</v>
      </c>
      <c r="CY69" s="251">
        <f>(SUM($J62:CY62)-SUM($J67:CY67))*$E69/12</f>
        <v>2592.5925925925872</v>
      </c>
      <c r="CZ69" s="251">
        <f>(SUM($J62:CZ62)-SUM($J67:CZ67))*$E69/12</f>
        <v>2407.4074074074015</v>
      </c>
      <c r="DA69" s="251">
        <f>(SUM($J62:DA62)-SUM($J67:DA67))*$E69/12</f>
        <v>2222.2222222222163</v>
      </c>
      <c r="DB69" s="251">
        <f>(SUM($J62:DB62)-SUM($J67:DB67))*$E69/12</f>
        <v>2037.0370370370308</v>
      </c>
      <c r="DC69" s="251">
        <f>(SUM($J62:DC62)-SUM($J67:DC67))*$E69/12</f>
        <v>1851.8518518518456</v>
      </c>
      <c r="DD69" s="251">
        <f>(SUM($J62:DD62)-SUM($J67:DD67))*$E69/12</f>
        <v>1666.6666666666599</v>
      </c>
      <c r="DE69" s="251">
        <f>(SUM($J62:DE62)-SUM($J67:DE67))*$E69/12</f>
        <v>1481.4814814814745</v>
      </c>
      <c r="DF69" s="251">
        <f>(SUM($J62:DF62)-SUM($J67:DF67))*$E69/12</f>
        <v>1296.296296296289</v>
      </c>
      <c r="DG69" s="251">
        <f>(SUM($J62:DG62)-SUM($J67:DG67))*$E69/12</f>
        <v>1111.1111111111047</v>
      </c>
      <c r="DH69" s="251">
        <f>(SUM($J62:DH62)-SUM($J67:DH67))*$E69/12</f>
        <v>925.92592592591927</v>
      </c>
      <c r="DI69" s="251">
        <f>(SUM($J62:DI62)-SUM($J67:DI67))*$E69/12</f>
        <v>740.74074074073394</v>
      </c>
      <c r="DJ69" s="251">
        <f>(SUM($J62:DJ62)-SUM($J67:DJ67))*$E69/12</f>
        <v>555.55555555554849</v>
      </c>
      <c r="DK69" s="251">
        <f>(SUM($J62:DK62)-SUM($J67:DK67))*$E69/12</f>
        <v>370.3703703703631</v>
      </c>
      <c r="DL69" s="251">
        <f>(SUM($J62:DL62)-SUM($J67:DL67))*$E69/12</f>
        <v>185.18518518517763</v>
      </c>
      <c r="DM69" s="251">
        <f>(SUM($J62:DM62)-SUM($J67:DM67))*$E69/12</f>
        <v>-7.7610214551289875E-12</v>
      </c>
      <c r="DN69" s="251">
        <f>(SUM($J62:DN62)-SUM($J67:DN67))*$E69/12</f>
        <v>-7.7610214551289875E-12</v>
      </c>
      <c r="DO69" s="251">
        <f>(SUM($J62:DO62)-SUM($J67:DO67))*$E69/12</f>
        <v>-7.7610214551289875E-12</v>
      </c>
      <c r="DP69" s="251">
        <f>(SUM($J62:DP62)-SUM($J67:DP67))*$E69/12</f>
        <v>-7.7610214551289875E-12</v>
      </c>
      <c r="DQ69" s="251">
        <f>(SUM($J62:DQ62)-SUM($J67:DQ67))*$E69/12</f>
        <v>-7.7610214551289875E-12</v>
      </c>
      <c r="DR69" s="251">
        <f>(SUM($J62:DR62)-SUM($J67:DR67))*$E69/12</f>
        <v>-7.7610214551289875E-12</v>
      </c>
      <c r="DS69" s="251">
        <f>(SUM($J62:DS62)-SUM($J67:DS67))*$E69/12</f>
        <v>-7.7610214551289875E-12</v>
      </c>
      <c r="DT69" s="251">
        <f>(SUM($J62:DT62)-SUM($J67:DT67))*$E69/12</f>
        <v>-7.7610214551289875E-12</v>
      </c>
      <c r="DU69" s="251">
        <f>(SUM($J62:DU62)-SUM($J67:DU67))*$E69/12</f>
        <v>-7.7610214551289875E-12</v>
      </c>
      <c r="DV69" s="251">
        <f>(SUM($J62:DV62)-SUM($J67:DV67))*$E69/12</f>
        <v>-7.7610214551289875E-12</v>
      </c>
      <c r="DW69" s="251">
        <f>(SUM($J62:DW62)-SUM($J67:DW67))*$E69/12</f>
        <v>-7.7610214551289875E-12</v>
      </c>
      <c r="DX69" s="251">
        <f>(SUM($J62:DX62)-SUM($J67:DX67))*$E69/12</f>
        <v>-7.7610214551289875E-12</v>
      </c>
      <c r="DY69" s="251">
        <f>(SUM($J62:DY62)-SUM($J67:DY67))*$E69/12</f>
        <v>-7.7610214551289875E-12</v>
      </c>
    </row>
    <row r="70" spans="2:129" s="43" customFormat="1">
      <c r="C70" s="43" t="s">
        <v>390</v>
      </c>
      <c r="E70" s="488"/>
      <c r="F70" s="131"/>
      <c r="G70" s="131"/>
      <c r="H70" s="131"/>
      <c r="J70" s="491">
        <f>J64*$E69/12</f>
        <v>0</v>
      </c>
      <c r="K70" s="491">
        <f t="shared" ref="K70:BV70" si="58">K64*$E69/12</f>
        <v>0</v>
      </c>
      <c r="L70" s="491">
        <f t="shared" si="58"/>
        <v>0</v>
      </c>
      <c r="M70" s="491">
        <f t="shared" si="58"/>
        <v>0</v>
      </c>
      <c r="N70" s="491">
        <f t="shared" si="58"/>
        <v>0</v>
      </c>
      <c r="O70" s="491">
        <f t="shared" si="58"/>
        <v>0</v>
      </c>
      <c r="P70" s="491">
        <f t="shared" si="58"/>
        <v>0</v>
      </c>
      <c r="Q70" s="491">
        <f t="shared" si="58"/>
        <v>0</v>
      </c>
      <c r="R70" s="491">
        <f t="shared" si="58"/>
        <v>0</v>
      </c>
      <c r="S70" s="491">
        <f t="shared" si="58"/>
        <v>0</v>
      </c>
      <c r="T70" s="491">
        <f t="shared" si="58"/>
        <v>0</v>
      </c>
      <c r="U70" s="491">
        <f t="shared" si="58"/>
        <v>0</v>
      </c>
      <c r="V70" s="491">
        <f t="shared" si="58"/>
        <v>0</v>
      </c>
      <c r="W70" s="491">
        <f t="shared" si="58"/>
        <v>0</v>
      </c>
      <c r="X70" s="491">
        <f t="shared" si="58"/>
        <v>0</v>
      </c>
      <c r="Y70" s="491">
        <f t="shared" si="58"/>
        <v>0</v>
      </c>
      <c r="Z70" s="491">
        <f t="shared" si="58"/>
        <v>0</v>
      </c>
      <c r="AA70" s="491">
        <f t="shared" si="58"/>
        <v>0</v>
      </c>
      <c r="AB70" s="491">
        <f t="shared" si="58"/>
        <v>0</v>
      </c>
      <c r="AC70" s="491">
        <f t="shared" si="58"/>
        <v>0</v>
      </c>
      <c r="AD70" s="491">
        <f t="shared" si="58"/>
        <v>0</v>
      </c>
      <c r="AE70" s="491">
        <f t="shared" si="58"/>
        <v>0</v>
      </c>
      <c r="AF70" s="491">
        <f t="shared" si="58"/>
        <v>0</v>
      </c>
      <c r="AG70" s="491">
        <f t="shared" si="58"/>
        <v>0</v>
      </c>
      <c r="AH70" s="491">
        <f t="shared" si="58"/>
        <v>0</v>
      </c>
      <c r="AI70" s="491">
        <f t="shared" si="58"/>
        <v>0</v>
      </c>
      <c r="AJ70" s="491">
        <f t="shared" si="58"/>
        <v>0</v>
      </c>
      <c r="AK70" s="491">
        <f t="shared" si="58"/>
        <v>0</v>
      </c>
      <c r="AL70" s="491">
        <f t="shared" si="58"/>
        <v>0</v>
      </c>
      <c r="AM70" s="491">
        <f t="shared" si="58"/>
        <v>0</v>
      </c>
      <c r="AN70" s="491">
        <f t="shared" si="58"/>
        <v>0</v>
      </c>
      <c r="AO70" s="491">
        <f t="shared" si="58"/>
        <v>0</v>
      </c>
      <c r="AP70" s="491">
        <f t="shared" si="58"/>
        <v>0</v>
      </c>
      <c r="AQ70" s="491">
        <f t="shared" si="58"/>
        <v>0</v>
      </c>
      <c r="AR70" s="491">
        <f t="shared" si="58"/>
        <v>0</v>
      </c>
      <c r="AS70" s="491">
        <f t="shared" si="58"/>
        <v>0</v>
      </c>
      <c r="AT70" s="491">
        <f t="shared" si="58"/>
        <v>0</v>
      </c>
      <c r="AU70" s="491">
        <f t="shared" si="58"/>
        <v>0</v>
      </c>
      <c r="AV70" s="491">
        <f t="shared" si="58"/>
        <v>0</v>
      </c>
      <c r="AW70" s="491">
        <f t="shared" si="58"/>
        <v>0</v>
      </c>
      <c r="AX70" s="491">
        <f t="shared" si="58"/>
        <v>0</v>
      </c>
      <c r="AY70" s="491">
        <f t="shared" si="58"/>
        <v>0</v>
      </c>
      <c r="AZ70" s="491">
        <f t="shared" si="58"/>
        <v>0</v>
      </c>
      <c r="BA70" s="491">
        <f t="shared" si="58"/>
        <v>0</v>
      </c>
      <c r="BB70" s="491">
        <f t="shared" si="58"/>
        <v>0</v>
      </c>
      <c r="BC70" s="491">
        <f t="shared" si="58"/>
        <v>0</v>
      </c>
      <c r="BD70" s="491">
        <f t="shared" si="58"/>
        <v>0</v>
      </c>
      <c r="BE70" s="491">
        <f t="shared" si="58"/>
        <v>0</v>
      </c>
      <c r="BF70" s="491">
        <f t="shared" si="58"/>
        <v>100000</v>
      </c>
      <c r="BG70" s="491">
        <f t="shared" si="58"/>
        <v>100000</v>
      </c>
      <c r="BH70" s="491">
        <f t="shared" si="58"/>
        <v>100000</v>
      </c>
      <c r="BI70" s="491">
        <f t="shared" si="58"/>
        <v>100000</v>
      </c>
      <c r="BJ70" s="491">
        <f t="shared" si="58"/>
        <v>100000</v>
      </c>
      <c r="BK70" s="491">
        <f t="shared" si="58"/>
        <v>100000</v>
      </c>
      <c r="BL70" s="491">
        <f t="shared" si="58"/>
        <v>98148.148148148146</v>
      </c>
      <c r="BM70" s="491">
        <f t="shared" si="58"/>
        <v>96296.296296296307</v>
      </c>
      <c r="BN70" s="491">
        <f t="shared" si="58"/>
        <v>94444.444444444453</v>
      </c>
      <c r="BO70" s="491">
        <f t="shared" si="58"/>
        <v>92592.592592592599</v>
      </c>
      <c r="BP70" s="491">
        <f t="shared" si="58"/>
        <v>90740.740740740745</v>
      </c>
      <c r="BQ70" s="491">
        <f t="shared" si="58"/>
        <v>88888.888888888891</v>
      </c>
      <c r="BR70" s="491">
        <f t="shared" si="58"/>
        <v>87037.037037037051</v>
      </c>
      <c r="BS70" s="491">
        <f t="shared" si="58"/>
        <v>85185.185185185212</v>
      </c>
      <c r="BT70" s="491">
        <f t="shared" si="58"/>
        <v>83333.333333333358</v>
      </c>
      <c r="BU70" s="491">
        <f t="shared" si="58"/>
        <v>81481.481481481504</v>
      </c>
      <c r="BV70" s="491">
        <f t="shared" si="58"/>
        <v>79629.62962962965</v>
      </c>
      <c r="BW70" s="491">
        <f t="shared" ref="BW70:CC70" si="59">BW64*$E69/12</f>
        <v>77777.777777777796</v>
      </c>
      <c r="BX70" s="491">
        <f t="shared" si="59"/>
        <v>75925.925925925956</v>
      </c>
      <c r="BY70" s="491">
        <f t="shared" si="59"/>
        <v>74074.074074074102</v>
      </c>
      <c r="BZ70" s="491">
        <f t="shared" si="59"/>
        <v>72222.222222222248</v>
      </c>
      <c r="CA70" s="491">
        <f t="shared" si="59"/>
        <v>70370.370370370409</v>
      </c>
      <c r="CB70" s="491">
        <f t="shared" si="59"/>
        <v>68518.518518518555</v>
      </c>
      <c r="CC70" s="491">
        <f t="shared" si="59"/>
        <v>66666.666666666701</v>
      </c>
      <c r="CD70" s="491">
        <f t="shared" ref="CD70:DY70" si="60">CD64*$E69/12</f>
        <v>64814.814814814854</v>
      </c>
      <c r="CE70" s="491">
        <f t="shared" si="60"/>
        <v>62962.962962963</v>
      </c>
      <c r="CF70" s="491">
        <f t="shared" si="60"/>
        <v>61111.111111111153</v>
      </c>
      <c r="CG70" s="491">
        <f t="shared" si="60"/>
        <v>59259.259259259299</v>
      </c>
      <c r="CH70" s="491">
        <f t="shared" si="60"/>
        <v>57407.407407407452</v>
      </c>
      <c r="CI70" s="491">
        <f t="shared" si="60"/>
        <v>55555.555555555598</v>
      </c>
      <c r="CJ70" s="491">
        <f t="shared" si="60"/>
        <v>53703.703703703744</v>
      </c>
      <c r="CK70" s="491">
        <f t="shared" si="60"/>
        <v>51851.851851851905</v>
      </c>
      <c r="CL70" s="491">
        <f t="shared" si="60"/>
        <v>50000.000000000051</v>
      </c>
      <c r="CM70" s="491">
        <f t="shared" si="60"/>
        <v>48148.148148148197</v>
      </c>
      <c r="CN70" s="491">
        <f t="shared" si="60"/>
        <v>46296.29629629635</v>
      </c>
      <c r="CO70" s="491">
        <f t="shared" si="60"/>
        <v>44444.444444444496</v>
      </c>
      <c r="CP70" s="491">
        <f t="shared" si="60"/>
        <v>42592.592592592649</v>
      </c>
      <c r="CQ70" s="491">
        <f t="shared" si="60"/>
        <v>40740.740740740795</v>
      </c>
      <c r="CR70" s="491">
        <f t="shared" si="60"/>
        <v>38888.888888888949</v>
      </c>
      <c r="CS70" s="491">
        <f t="shared" si="60"/>
        <v>37037.037037037102</v>
      </c>
      <c r="CT70" s="491">
        <f t="shared" si="60"/>
        <v>35185.185185185248</v>
      </c>
      <c r="CU70" s="491">
        <f t="shared" si="60"/>
        <v>33333.333333333394</v>
      </c>
      <c r="CV70" s="491">
        <f t="shared" si="60"/>
        <v>31481.481481481547</v>
      </c>
      <c r="CW70" s="491">
        <f t="shared" si="60"/>
        <v>29629.629629629697</v>
      </c>
      <c r="CX70" s="491">
        <f t="shared" si="60"/>
        <v>27777.77777777785</v>
      </c>
      <c r="CY70" s="491">
        <f t="shared" si="60"/>
        <v>25925.925925925996</v>
      </c>
      <c r="CZ70" s="491">
        <f t="shared" si="60"/>
        <v>24074.074074074146</v>
      </c>
      <c r="DA70" s="491">
        <f t="shared" si="60"/>
        <v>22222.222222222295</v>
      </c>
      <c r="DB70" s="491">
        <f t="shared" si="60"/>
        <v>20370.370370370445</v>
      </c>
      <c r="DC70" s="491">
        <f t="shared" si="60"/>
        <v>18518.518518518595</v>
      </c>
      <c r="DD70" s="491">
        <f t="shared" si="60"/>
        <v>16666.666666666744</v>
      </c>
      <c r="DE70" s="491">
        <f t="shared" si="60"/>
        <v>14814.81481481489</v>
      </c>
      <c r="DF70" s="491">
        <f t="shared" si="60"/>
        <v>12962.962962963038</v>
      </c>
      <c r="DG70" s="491">
        <f t="shared" si="60"/>
        <v>11111.111111111188</v>
      </c>
      <c r="DH70" s="491">
        <f t="shared" si="60"/>
        <v>9259.2592592593337</v>
      </c>
      <c r="DI70" s="491">
        <f t="shared" si="60"/>
        <v>7407.4074074074824</v>
      </c>
      <c r="DJ70" s="491">
        <f t="shared" si="60"/>
        <v>5555.5555555556302</v>
      </c>
      <c r="DK70" s="491">
        <f t="shared" si="60"/>
        <v>3703.7037037037785</v>
      </c>
      <c r="DL70" s="491">
        <f t="shared" si="60"/>
        <v>1851.8518518519261</v>
      </c>
      <c r="DM70" s="491">
        <f t="shared" si="60"/>
        <v>7.4214767664670952E-11</v>
      </c>
      <c r="DN70" s="491">
        <f t="shared" si="60"/>
        <v>7.4214767664670952E-11</v>
      </c>
      <c r="DO70" s="491">
        <f t="shared" si="60"/>
        <v>7.4214767664670952E-11</v>
      </c>
      <c r="DP70" s="491">
        <f t="shared" si="60"/>
        <v>7.4214767664670952E-11</v>
      </c>
      <c r="DQ70" s="491">
        <f t="shared" si="60"/>
        <v>7.4214767664670952E-11</v>
      </c>
      <c r="DR70" s="491">
        <f t="shared" si="60"/>
        <v>7.4214767664670952E-11</v>
      </c>
      <c r="DS70" s="491">
        <f t="shared" si="60"/>
        <v>7.4214767664670952E-11</v>
      </c>
      <c r="DT70" s="491">
        <f t="shared" si="60"/>
        <v>7.4214767664670952E-11</v>
      </c>
      <c r="DU70" s="491">
        <f t="shared" si="60"/>
        <v>7.4214767664670952E-11</v>
      </c>
      <c r="DV70" s="491">
        <f t="shared" si="60"/>
        <v>7.4214767664670952E-11</v>
      </c>
      <c r="DW70" s="491">
        <f t="shared" si="60"/>
        <v>7.4214767664670952E-11</v>
      </c>
      <c r="DX70" s="491">
        <f t="shared" si="60"/>
        <v>7.4214767664670952E-11</v>
      </c>
      <c r="DY70" s="491">
        <f t="shared" si="60"/>
        <v>7.4214767664670952E-11</v>
      </c>
    </row>
    <row r="71" spans="2:129" s="43" customFormat="1">
      <c r="C71" s="43" t="s">
        <v>392</v>
      </c>
      <c r="E71" s="486"/>
      <c r="F71" s="127"/>
      <c r="G71" s="127"/>
      <c r="H71" s="127"/>
      <c r="J71" s="491">
        <f>IF($E61="USD",J64*(1-Flags!$K$29),0)</f>
        <v>0</v>
      </c>
      <c r="K71" s="491">
        <f>IF($E61="USD",K64*(1-Flags!$K$29),0)</f>
        <v>0</v>
      </c>
      <c r="L71" s="491">
        <f>IF($E61="USD",L64*(1-Flags!$K$29),0)</f>
        <v>0</v>
      </c>
      <c r="M71" s="491">
        <f>IF($E61="USD",M64*(1-Flags!$K$29),0)</f>
        <v>0</v>
      </c>
      <c r="N71" s="491">
        <f>IF($E61="USD",N64*(1-Flags!$K$29),0)</f>
        <v>0</v>
      </c>
      <c r="O71" s="491">
        <f>IF($E61="USD",O64*(1-Flags!$K$29),0)</f>
        <v>0</v>
      </c>
      <c r="P71" s="491">
        <f>IF($E61="USD",P64*(1-Flags!$K$29),0)</f>
        <v>0</v>
      </c>
      <c r="Q71" s="491">
        <f>IF($E61="USD",Q64*(1-Flags!$K$29),0)</f>
        <v>0</v>
      </c>
      <c r="R71" s="491">
        <f>IF($E61="USD",R64*(1-Flags!$K$29),0)</f>
        <v>0</v>
      </c>
      <c r="S71" s="491">
        <f>IF($E61="USD",S64*(1-Flags!$K$29),0)</f>
        <v>0</v>
      </c>
      <c r="T71" s="491">
        <f>IF($E61="USD",T64*(1-Flags!$K$29),0)</f>
        <v>0</v>
      </c>
      <c r="U71" s="491">
        <f>IF($E61="USD",U64*(1-Flags!$K$29),0)</f>
        <v>0</v>
      </c>
      <c r="V71" s="491">
        <f>IF($E61="USD",V64*(1-Flags!$K$29),0)</f>
        <v>0</v>
      </c>
      <c r="W71" s="491">
        <f>IF($E61="USD",W64*(1-Flags!$K$29),0)</f>
        <v>0</v>
      </c>
      <c r="X71" s="491">
        <f>IF($E61="USD",X64*(1-Flags!$K$29),0)</f>
        <v>0</v>
      </c>
      <c r="Y71" s="491">
        <f>IF($E61="USD",Y64*(1-Flags!$K$29),0)</f>
        <v>0</v>
      </c>
      <c r="Z71" s="491">
        <f>IF($E61="USD",Z64*(1-Flags!$K$29),0)</f>
        <v>0</v>
      </c>
      <c r="AA71" s="491">
        <f>IF($E61="USD",AA64*(1-Flags!$K$29),0)</f>
        <v>0</v>
      </c>
      <c r="AB71" s="491">
        <f>IF($E61="USD",AB64*(1-Flags!$K$29),0)</f>
        <v>0</v>
      </c>
      <c r="AC71" s="491">
        <f>IF($E61="USD",AC64*(1-Flags!$K$29),0)</f>
        <v>0</v>
      </c>
      <c r="AD71" s="491">
        <f>IF($E61="USD",AD64*(1-Flags!$K$29),0)</f>
        <v>0</v>
      </c>
      <c r="AE71" s="491">
        <f>IF($E61="USD",AE64*(1-Flags!$K$29),0)</f>
        <v>0</v>
      </c>
      <c r="AF71" s="491">
        <f>IF($E61="USD",AF64*(1-Flags!$K$29),0)</f>
        <v>0</v>
      </c>
      <c r="AG71" s="491">
        <f>IF($E61="USD",AG64*(1-Flags!$K$29),0)</f>
        <v>0</v>
      </c>
      <c r="AH71" s="491">
        <f>IF($E61="USD",AH64*(1-Flags!$K$29),0)</f>
        <v>0</v>
      </c>
      <c r="AI71" s="491">
        <f>IF($E61="USD",AI64*(1-Flags!$K$29),0)</f>
        <v>0</v>
      </c>
      <c r="AJ71" s="491">
        <f>IF($E61="USD",AJ64*(1-Flags!$K$29),0)</f>
        <v>0</v>
      </c>
      <c r="AK71" s="491">
        <f>IF($E61="USD",AK64*(1-Flags!$K$29),0)</f>
        <v>0</v>
      </c>
      <c r="AL71" s="491">
        <f>IF($E61="USD",AL64*(1-Flags!$K$29),0)</f>
        <v>0</v>
      </c>
      <c r="AM71" s="491">
        <f>IF($E61="USD",AM64*(1-Flags!$K$29),0)</f>
        <v>0</v>
      </c>
      <c r="AN71" s="491">
        <f>IF($E61="USD",AN64*(1-Flags!$K$29),0)</f>
        <v>0</v>
      </c>
      <c r="AO71" s="491">
        <f>IF($E61="USD",AO64*(1-Flags!$K$29),0)</f>
        <v>0</v>
      </c>
      <c r="AP71" s="491">
        <f>IF($E61="USD",AP64*(1-Flags!$K$29),0)</f>
        <v>0</v>
      </c>
      <c r="AQ71" s="491">
        <f>IF($E61="USD",AQ64*(1-Flags!$K$29),0)</f>
        <v>0</v>
      </c>
      <c r="AR71" s="491">
        <f>IF($E61="USD",AR64*(1-Flags!$K$29),0)</f>
        <v>0</v>
      </c>
      <c r="AS71" s="491">
        <f>IF($E61="USD",AS64*(1-Flags!$K$29),0)</f>
        <v>0</v>
      </c>
      <c r="AT71" s="491">
        <f>IF($E61="USD",AT64*(1-Flags!$K$29),0)</f>
        <v>0</v>
      </c>
      <c r="AU71" s="491">
        <f>IF($E61="USD",AU64*(1-Flags!$K$29),0)</f>
        <v>0</v>
      </c>
      <c r="AV71" s="491">
        <f>IF($E61="USD",AV64*(1-Flags!$K$29),0)</f>
        <v>0</v>
      </c>
      <c r="AW71" s="491">
        <f>IF($E61="USD",AW64*(1-Flags!$K$29),0)</f>
        <v>0</v>
      </c>
      <c r="AX71" s="491">
        <f>IF($E61="USD",AX64*(1-Flags!$K$29),0)</f>
        <v>0</v>
      </c>
      <c r="AY71" s="491">
        <f>IF($E61="USD",AY64*(1-Flags!$K$29),0)</f>
        <v>0</v>
      </c>
      <c r="AZ71" s="491">
        <f>IF($E61="USD",AZ64*(1-Flags!$K$29),0)</f>
        <v>0</v>
      </c>
      <c r="BA71" s="491">
        <f>IF($E61="USD",BA64*(1-Flags!$K$29),0)</f>
        <v>0</v>
      </c>
      <c r="BB71" s="491">
        <f>IF($E61="USD",BB64*(1-Flags!$K$29),0)</f>
        <v>0</v>
      </c>
      <c r="BC71" s="491">
        <f>IF($E61="USD",BC64*(1-Flags!$K$29),0)</f>
        <v>0</v>
      </c>
      <c r="BD71" s="491">
        <f>IF($E61="USD",BD64*(1-Flags!$K$29),0)</f>
        <v>0</v>
      </c>
      <c r="BE71" s="491">
        <f>IF($E61="USD",BE64*(1-Flags!$K$29),0)</f>
        <v>0</v>
      </c>
      <c r="BF71" s="491">
        <f>IF($E61="USD",BF64*(1-Flags!$K$29),0)</f>
        <v>0</v>
      </c>
      <c r="BG71" s="491">
        <f>IF($E61="USD",BG64*(1-Flags!$K$29),0)</f>
        <v>0</v>
      </c>
      <c r="BH71" s="491">
        <f>IF($E61="USD",BH64*(1-Flags!$K$29),0)</f>
        <v>0</v>
      </c>
      <c r="BI71" s="491">
        <f>IF($E61="USD",BI64*(1-Flags!$K$29),0)</f>
        <v>0</v>
      </c>
      <c r="BJ71" s="491">
        <f>IF($E61="USD",BJ64*(1-Flags!$K$29),0)</f>
        <v>0</v>
      </c>
      <c r="BK71" s="491">
        <f>IF($E61="USD",BK64*(1-Flags!$K$29),0)</f>
        <v>0</v>
      </c>
      <c r="BL71" s="491">
        <f>IF($E61="USD",BL64*(1-Flags!$K$29),0)</f>
        <v>0</v>
      </c>
      <c r="BM71" s="491">
        <f>IF($E61="USD",BM64*(1-Flags!$K$29),0)</f>
        <v>0</v>
      </c>
      <c r="BN71" s="491">
        <f>IF($E61="USD",BN64*(1-Flags!$K$29),0)</f>
        <v>0</v>
      </c>
      <c r="BO71" s="491">
        <f>IF($E61="USD",BO64*(1-Flags!$K$29),0)</f>
        <v>0</v>
      </c>
      <c r="BP71" s="491">
        <f>IF($E61="USD",BP64*(1-Flags!$K$29),0)</f>
        <v>0</v>
      </c>
      <c r="BQ71" s="491">
        <f>IF($E61="USD",BQ64*(1-Flags!$K$29),0)</f>
        <v>0</v>
      </c>
      <c r="BR71" s="491">
        <f>IF($E61="USD",BR64*(1-Flags!$K$29),0)</f>
        <v>0</v>
      </c>
      <c r="BS71" s="491">
        <f>IF($E61="USD",BS64*(1-Flags!$K$29),0)</f>
        <v>0</v>
      </c>
      <c r="BT71" s="491">
        <f>IF($E61="USD",BT64*(1-Flags!$K$29),0)</f>
        <v>0</v>
      </c>
      <c r="BU71" s="491">
        <f>IF($E61="USD",BU64*(1-Flags!$K$29),0)</f>
        <v>0</v>
      </c>
      <c r="BV71" s="491">
        <f>IF($E61="USD",BV64*(1-Flags!$K$29),0)</f>
        <v>0</v>
      </c>
      <c r="BW71" s="491">
        <f>IF($E61="USD",BW64*(1-Flags!$K$29),0)</f>
        <v>0</v>
      </c>
      <c r="BX71" s="491">
        <f>IF($E61="USD",BX64*(1-Flags!$K$29),0)</f>
        <v>0</v>
      </c>
      <c r="BY71" s="491">
        <f>IF($E61="USD",BY64*(1-Flags!$K$29),0)</f>
        <v>0</v>
      </c>
      <c r="BZ71" s="491">
        <f>IF($E61="USD",BZ64*(1-Flags!$K$29),0)</f>
        <v>0</v>
      </c>
      <c r="CA71" s="491">
        <f>IF($E61="USD",CA64*(1-Flags!$K$29),0)</f>
        <v>0</v>
      </c>
      <c r="CB71" s="491">
        <f>IF($E61="USD",CB64*(1-Flags!$K$29),0)</f>
        <v>0</v>
      </c>
      <c r="CC71" s="491">
        <f>IF($E61="USD",CC64*(1-Flags!$K$29),0)</f>
        <v>0</v>
      </c>
      <c r="CD71" s="491">
        <f>IF($E61="USD",CD64*(1-Flags!$K$29),0)</f>
        <v>0</v>
      </c>
      <c r="CE71" s="491">
        <f>IF($E61="USD",CE64*(1-Flags!$K$29),0)</f>
        <v>0</v>
      </c>
      <c r="CF71" s="491">
        <f>IF($E61="USD",CF64*(1-Flags!$K$29),0)</f>
        <v>0</v>
      </c>
      <c r="CG71" s="491">
        <f>IF($E61="USD",CG64*(1-Flags!$K$29),0)</f>
        <v>0</v>
      </c>
      <c r="CH71" s="491">
        <f>IF($E61="USD",CH64*(1-Flags!$K$29),0)</f>
        <v>0</v>
      </c>
      <c r="CI71" s="491">
        <f>IF($E61="USD",CI64*(1-Flags!$K$29),0)</f>
        <v>0</v>
      </c>
      <c r="CJ71" s="491">
        <f>IF($E61="USD",CJ64*(1-Flags!$K$29),0)</f>
        <v>0</v>
      </c>
      <c r="CK71" s="491">
        <f>IF($E61="USD",CK64*(1-Flags!$K$29),0)</f>
        <v>0</v>
      </c>
      <c r="CL71" s="491">
        <f>IF($E61="USD",CL64*(1-Flags!$K$29),0)</f>
        <v>0</v>
      </c>
      <c r="CM71" s="491">
        <f>IF($E61="USD",CM64*(1-Flags!$K$29),0)</f>
        <v>0</v>
      </c>
      <c r="CN71" s="491">
        <f>IF($E61="USD",CN64*(1-Flags!$K$29),0)</f>
        <v>0</v>
      </c>
      <c r="CO71" s="491">
        <f>IF($E61="USD",CO64*(1-Flags!$K$29),0)</f>
        <v>0</v>
      </c>
      <c r="CP71" s="491">
        <f>IF($E61="USD",CP64*(1-Flags!$K$29),0)</f>
        <v>0</v>
      </c>
      <c r="CQ71" s="491">
        <f>IF($E61="USD",CQ64*(1-Flags!$K$29),0)</f>
        <v>0</v>
      </c>
      <c r="CR71" s="491">
        <f>IF($E61="USD",CR64*(1-Flags!$K$29),0)</f>
        <v>0</v>
      </c>
      <c r="CS71" s="491">
        <f>IF($E61="USD",CS64*(1-Flags!$K$29),0)</f>
        <v>0</v>
      </c>
      <c r="CT71" s="491">
        <f>IF($E61="USD",CT64*(1-Flags!$K$29),0)</f>
        <v>0</v>
      </c>
      <c r="CU71" s="491">
        <f>IF($E61="USD",CU64*(1-Flags!$K$29),0)</f>
        <v>0</v>
      </c>
      <c r="CV71" s="491">
        <f>IF($E61="USD",CV64*(1-Flags!$K$29),0)</f>
        <v>0</v>
      </c>
      <c r="CW71" s="491">
        <f>IF($E61="USD",CW64*(1-Flags!$K$29),0)</f>
        <v>0</v>
      </c>
      <c r="CX71" s="491">
        <f>IF($E61="USD",CX64*(1-Flags!$K$29),0)</f>
        <v>0</v>
      </c>
      <c r="CY71" s="491">
        <f>IF($E61="USD",CY64*(1-Flags!$K$29),0)</f>
        <v>0</v>
      </c>
      <c r="CZ71" s="491">
        <f>IF($E61="USD",CZ64*(1-Flags!$K$29),0)</f>
        <v>0</v>
      </c>
      <c r="DA71" s="491">
        <f>IF($E61="USD",DA64*(1-Flags!$K$29),0)</f>
        <v>0</v>
      </c>
      <c r="DB71" s="491">
        <f>IF($E61="USD",DB64*(1-Flags!$K$29),0)</f>
        <v>0</v>
      </c>
      <c r="DC71" s="491">
        <f>IF($E61="USD",DC64*(1-Flags!$K$29),0)</f>
        <v>0</v>
      </c>
      <c r="DD71" s="491">
        <f>IF($E61="USD",DD64*(1-Flags!$K$29),0)</f>
        <v>0</v>
      </c>
      <c r="DE71" s="491">
        <f>IF($E61="USD",DE64*(1-Flags!$K$29),0)</f>
        <v>0</v>
      </c>
      <c r="DF71" s="491">
        <f>IF($E61="USD",DF64*(1-Flags!$K$29),0)</f>
        <v>0</v>
      </c>
      <c r="DG71" s="491">
        <f>IF($E61="USD",DG64*(1-Flags!$K$29),0)</f>
        <v>0</v>
      </c>
      <c r="DH71" s="491">
        <f>IF($E61="USD",DH64*(1-Flags!$K$29),0)</f>
        <v>0</v>
      </c>
      <c r="DI71" s="491">
        <f>IF($E61="USD",DI64*(1-Flags!$K$29),0)</f>
        <v>0</v>
      </c>
      <c r="DJ71" s="491">
        <f>IF($E61="USD",DJ64*(1-Flags!$K$29),0)</f>
        <v>0</v>
      </c>
      <c r="DK71" s="491">
        <f>IF($E61="USD",DK64*(1-Flags!$K$29),0)</f>
        <v>0</v>
      </c>
      <c r="DL71" s="491">
        <f>IF($E61="USD",DL64*(1-Flags!$K$29),0)</f>
        <v>0</v>
      </c>
      <c r="DM71" s="491">
        <f>IF($E61="USD",DM64*(1-Flags!$K$29),0)</f>
        <v>0</v>
      </c>
      <c r="DN71" s="491">
        <f>IF($E61="USD",DN64*(1-Flags!$K$29),0)</f>
        <v>0</v>
      </c>
      <c r="DO71" s="491">
        <f>IF($E61="USD",DO64*(1-Flags!$K$29),0)</f>
        <v>0</v>
      </c>
      <c r="DP71" s="491">
        <f>IF($E61="USD",DP64*(1-Flags!$K$29),0)</f>
        <v>0</v>
      </c>
      <c r="DQ71" s="491">
        <f>IF($E61="USD",DQ64*(1-Flags!$K$29),0)</f>
        <v>0</v>
      </c>
      <c r="DR71" s="491">
        <f>IF($E61="USD",DR64*(1-Flags!$K$29),0)</f>
        <v>0</v>
      </c>
      <c r="DS71" s="491">
        <f>IF($E61="USD",DS64*(1-Flags!$K$29),0)</f>
        <v>0</v>
      </c>
      <c r="DT71" s="491">
        <f>IF($E61="USD",DT64*(1-Flags!$K$29),0)</f>
        <v>0</v>
      </c>
      <c r="DU71" s="491">
        <f>IF($E61="USD",DU64*(1-Flags!$K$29),0)</f>
        <v>0</v>
      </c>
      <c r="DV71" s="491">
        <f>IF($E61="USD",DV64*(1-Flags!$K$29),0)</f>
        <v>0</v>
      </c>
      <c r="DW71" s="491">
        <f>IF($E61="USD",DW64*(1-Flags!$K$29),0)</f>
        <v>0</v>
      </c>
      <c r="DX71" s="491">
        <f>IF($E61="USD",DX64*(1-Flags!$K$29),0)</f>
        <v>0</v>
      </c>
      <c r="DY71" s="491">
        <f>IF($E61="USD",DY64*(1-Flags!$K$29),0)</f>
        <v>0</v>
      </c>
    </row>
    <row r="72" spans="2:129">
      <c r="C72" s="43" t="s">
        <v>637</v>
      </c>
      <c r="E72" s="578">
        <f>'Model Assumptions'!H142</f>
        <v>0.02</v>
      </c>
      <c r="J72" s="159">
        <f>J62*$E$72</f>
        <v>0</v>
      </c>
      <c r="K72" s="159">
        <f>K62*$E$72</f>
        <v>0</v>
      </c>
      <c r="L72" s="159">
        <f t="shared" ref="L72:BV72" si="61">L62*$E$72</f>
        <v>0</v>
      </c>
      <c r="M72" s="159">
        <f t="shared" si="61"/>
        <v>0</v>
      </c>
      <c r="N72" s="159">
        <f t="shared" si="61"/>
        <v>0</v>
      </c>
      <c r="O72" s="159">
        <f t="shared" si="61"/>
        <v>0</v>
      </c>
      <c r="P72" s="159">
        <f t="shared" si="61"/>
        <v>0</v>
      </c>
      <c r="Q72" s="159">
        <f t="shared" si="61"/>
        <v>0</v>
      </c>
      <c r="R72" s="159">
        <f t="shared" si="61"/>
        <v>0</v>
      </c>
      <c r="S72" s="159">
        <f t="shared" si="61"/>
        <v>0</v>
      </c>
      <c r="T72" s="159">
        <f t="shared" si="61"/>
        <v>0</v>
      </c>
      <c r="U72" s="159">
        <f t="shared" si="61"/>
        <v>0</v>
      </c>
      <c r="V72" s="159">
        <f t="shared" si="61"/>
        <v>0</v>
      </c>
      <c r="W72" s="159">
        <f t="shared" si="61"/>
        <v>0</v>
      </c>
      <c r="X72" s="159">
        <f t="shared" si="61"/>
        <v>0</v>
      </c>
      <c r="Y72" s="159">
        <f t="shared" si="61"/>
        <v>0</v>
      </c>
      <c r="Z72" s="159">
        <f t="shared" si="61"/>
        <v>0</v>
      </c>
      <c r="AA72" s="159">
        <f t="shared" si="61"/>
        <v>0</v>
      </c>
      <c r="AB72" s="159">
        <f t="shared" si="61"/>
        <v>0</v>
      </c>
      <c r="AC72" s="159">
        <f t="shared" si="61"/>
        <v>0</v>
      </c>
      <c r="AD72" s="159">
        <f t="shared" si="61"/>
        <v>0</v>
      </c>
      <c r="AE72" s="159">
        <f t="shared" si="61"/>
        <v>0</v>
      </c>
      <c r="AF72" s="159">
        <f t="shared" si="61"/>
        <v>0</v>
      </c>
      <c r="AG72" s="159">
        <f t="shared" si="61"/>
        <v>0</v>
      </c>
      <c r="AH72" s="159">
        <f t="shared" si="61"/>
        <v>0</v>
      </c>
      <c r="AI72" s="159">
        <f t="shared" si="61"/>
        <v>0</v>
      </c>
      <c r="AJ72" s="159">
        <f t="shared" si="61"/>
        <v>0</v>
      </c>
      <c r="AK72" s="159">
        <f t="shared" si="61"/>
        <v>0</v>
      </c>
      <c r="AL72" s="159">
        <f t="shared" si="61"/>
        <v>0</v>
      </c>
      <c r="AM72" s="159">
        <f t="shared" si="61"/>
        <v>0</v>
      </c>
      <c r="AN72" s="159">
        <f t="shared" si="61"/>
        <v>0</v>
      </c>
      <c r="AO72" s="159">
        <f t="shared" si="61"/>
        <v>0</v>
      </c>
      <c r="AP72" s="159">
        <f t="shared" si="61"/>
        <v>0</v>
      </c>
      <c r="AQ72" s="159">
        <f t="shared" si="61"/>
        <v>0</v>
      </c>
      <c r="AR72" s="159">
        <f t="shared" si="61"/>
        <v>0</v>
      </c>
      <c r="AS72" s="159">
        <f t="shared" si="61"/>
        <v>0</v>
      </c>
      <c r="AT72" s="159">
        <f t="shared" si="61"/>
        <v>0</v>
      </c>
      <c r="AU72" s="159">
        <f t="shared" si="61"/>
        <v>0</v>
      </c>
      <c r="AV72" s="159">
        <f t="shared" si="61"/>
        <v>0</v>
      </c>
      <c r="AW72" s="159">
        <f t="shared" si="61"/>
        <v>0</v>
      </c>
      <c r="AX72" s="159">
        <f t="shared" si="61"/>
        <v>0</v>
      </c>
      <c r="AY72" s="159">
        <f t="shared" si="61"/>
        <v>0</v>
      </c>
      <c r="AZ72" s="159">
        <f t="shared" si="61"/>
        <v>0</v>
      </c>
      <c r="BA72" s="159">
        <f t="shared" si="61"/>
        <v>0</v>
      </c>
      <c r="BB72" s="159">
        <f t="shared" si="61"/>
        <v>0</v>
      </c>
      <c r="BC72" s="159">
        <f t="shared" si="61"/>
        <v>0</v>
      </c>
      <c r="BD72" s="159">
        <f t="shared" si="61"/>
        <v>0</v>
      </c>
      <c r="BE72" s="159">
        <f t="shared" si="61"/>
        <v>0</v>
      </c>
      <c r="BF72" s="159">
        <f t="shared" si="61"/>
        <v>24000</v>
      </c>
      <c r="BG72" s="159">
        <f t="shared" si="61"/>
        <v>0</v>
      </c>
      <c r="BH72" s="159">
        <f t="shared" si="61"/>
        <v>0</v>
      </c>
      <c r="BI72" s="159">
        <f t="shared" si="61"/>
        <v>0</v>
      </c>
      <c r="BJ72" s="159">
        <f t="shared" si="61"/>
        <v>0</v>
      </c>
      <c r="BK72" s="159">
        <f t="shared" si="61"/>
        <v>0</v>
      </c>
      <c r="BL72" s="159">
        <f t="shared" si="61"/>
        <v>0</v>
      </c>
      <c r="BM72" s="159">
        <f t="shared" si="61"/>
        <v>0</v>
      </c>
      <c r="BN72" s="159">
        <f t="shared" si="61"/>
        <v>0</v>
      </c>
      <c r="BO72" s="159">
        <f t="shared" si="61"/>
        <v>0</v>
      </c>
      <c r="BP72" s="159">
        <f t="shared" si="61"/>
        <v>0</v>
      </c>
      <c r="BQ72" s="159">
        <f t="shared" si="61"/>
        <v>0</v>
      </c>
      <c r="BR72" s="159">
        <f t="shared" si="61"/>
        <v>0</v>
      </c>
      <c r="BS72" s="159">
        <f t="shared" si="61"/>
        <v>0</v>
      </c>
      <c r="BT72" s="159">
        <f t="shared" si="61"/>
        <v>0</v>
      </c>
      <c r="BU72" s="159">
        <f t="shared" si="61"/>
        <v>0</v>
      </c>
      <c r="BV72" s="159">
        <f t="shared" si="61"/>
        <v>0</v>
      </c>
      <c r="BW72" s="159">
        <f t="shared" ref="BW72:DY72" si="62">BW62*$E$72</f>
        <v>0</v>
      </c>
      <c r="BX72" s="159">
        <f t="shared" si="62"/>
        <v>0</v>
      </c>
      <c r="BY72" s="159">
        <f t="shared" si="62"/>
        <v>0</v>
      </c>
      <c r="BZ72" s="159">
        <f t="shared" si="62"/>
        <v>0</v>
      </c>
      <c r="CA72" s="159">
        <f t="shared" si="62"/>
        <v>0</v>
      </c>
      <c r="CB72" s="159">
        <f t="shared" si="62"/>
        <v>0</v>
      </c>
      <c r="CC72" s="159">
        <f t="shared" si="62"/>
        <v>0</v>
      </c>
      <c r="CD72" s="159">
        <f t="shared" si="62"/>
        <v>0</v>
      </c>
      <c r="CE72" s="159">
        <f t="shared" si="62"/>
        <v>0</v>
      </c>
      <c r="CF72" s="159">
        <f t="shared" si="62"/>
        <v>0</v>
      </c>
      <c r="CG72" s="159">
        <f t="shared" si="62"/>
        <v>0</v>
      </c>
      <c r="CH72" s="159">
        <f t="shared" si="62"/>
        <v>0</v>
      </c>
      <c r="CI72" s="159">
        <f t="shared" si="62"/>
        <v>0</v>
      </c>
      <c r="CJ72" s="159">
        <f t="shared" si="62"/>
        <v>0</v>
      </c>
      <c r="CK72" s="159">
        <f t="shared" si="62"/>
        <v>0</v>
      </c>
      <c r="CL72" s="159">
        <f t="shared" si="62"/>
        <v>0</v>
      </c>
      <c r="CM72" s="159">
        <f t="shared" si="62"/>
        <v>0</v>
      </c>
      <c r="CN72" s="159">
        <f t="shared" si="62"/>
        <v>0</v>
      </c>
      <c r="CO72" s="159">
        <f t="shared" si="62"/>
        <v>0</v>
      </c>
      <c r="CP72" s="159">
        <f t="shared" si="62"/>
        <v>0</v>
      </c>
      <c r="CQ72" s="159">
        <f t="shared" si="62"/>
        <v>0</v>
      </c>
      <c r="CR72" s="159">
        <f t="shared" si="62"/>
        <v>0</v>
      </c>
      <c r="CS72" s="159">
        <f t="shared" si="62"/>
        <v>0</v>
      </c>
      <c r="CT72" s="159">
        <f t="shared" si="62"/>
        <v>0</v>
      </c>
      <c r="CU72" s="159">
        <f t="shared" si="62"/>
        <v>0</v>
      </c>
      <c r="CV72" s="159">
        <f t="shared" si="62"/>
        <v>0</v>
      </c>
      <c r="CW72" s="159">
        <f t="shared" si="62"/>
        <v>0</v>
      </c>
      <c r="CX72" s="159">
        <f t="shared" si="62"/>
        <v>0</v>
      </c>
      <c r="CY72" s="159">
        <f t="shared" si="62"/>
        <v>0</v>
      </c>
      <c r="CZ72" s="159">
        <f t="shared" si="62"/>
        <v>0</v>
      </c>
      <c r="DA72" s="159">
        <f t="shared" si="62"/>
        <v>0</v>
      </c>
      <c r="DB72" s="159">
        <f t="shared" si="62"/>
        <v>0</v>
      </c>
      <c r="DC72" s="159">
        <f t="shared" si="62"/>
        <v>0</v>
      </c>
      <c r="DD72" s="159">
        <f t="shared" si="62"/>
        <v>0</v>
      </c>
      <c r="DE72" s="159">
        <f t="shared" si="62"/>
        <v>0</v>
      </c>
      <c r="DF72" s="159">
        <f t="shared" si="62"/>
        <v>0</v>
      </c>
      <c r="DG72" s="159">
        <f t="shared" si="62"/>
        <v>0</v>
      </c>
      <c r="DH72" s="159">
        <f t="shared" si="62"/>
        <v>0</v>
      </c>
      <c r="DI72" s="159">
        <f t="shared" si="62"/>
        <v>0</v>
      </c>
      <c r="DJ72" s="159">
        <f t="shared" si="62"/>
        <v>0</v>
      </c>
      <c r="DK72" s="159">
        <f t="shared" si="62"/>
        <v>0</v>
      </c>
      <c r="DL72" s="159">
        <f t="shared" si="62"/>
        <v>0</v>
      </c>
      <c r="DM72" s="159">
        <f t="shared" si="62"/>
        <v>0</v>
      </c>
      <c r="DN72" s="159">
        <f t="shared" si="62"/>
        <v>0</v>
      </c>
      <c r="DO72" s="159">
        <f t="shared" si="62"/>
        <v>0</v>
      </c>
      <c r="DP72" s="159">
        <f t="shared" si="62"/>
        <v>0</v>
      </c>
      <c r="DQ72" s="159">
        <f t="shared" si="62"/>
        <v>0</v>
      </c>
      <c r="DR72" s="159">
        <f t="shared" si="62"/>
        <v>0</v>
      </c>
      <c r="DS72" s="159">
        <f t="shared" si="62"/>
        <v>0</v>
      </c>
      <c r="DT72" s="159">
        <f t="shared" si="62"/>
        <v>0</v>
      </c>
      <c r="DU72" s="159">
        <f t="shared" si="62"/>
        <v>0</v>
      </c>
      <c r="DV72" s="159">
        <f t="shared" si="62"/>
        <v>0</v>
      </c>
      <c r="DW72" s="159">
        <f t="shared" si="62"/>
        <v>0</v>
      </c>
      <c r="DX72" s="159">
        <f t="shared" si="62"/>
        <v>0</v>
      </c>
      <c r="DY72" s="159">
        <f t="shared" si="62"/>
        <v>0</v>
      </c>
    </row>
    <row r="73" spans="2:129">
      <c r="C73" s="43" t="s">
        <v>638</v>
      </c>
      <c r="J73" s="579">
        <f>J63*$E$72</f>
        <v>0</v>
      </c>
      <c r="K73" s="579">
        <f>K63*$E$72</f>
        <v>0</v>
      </c>
      <c r="L73" s="579">
        <f t="shared" ref="L73:BV73" si="63">L63*$E$72</f>
        <v>0</v>
      </c>
      <c r="M73" s="579">
        <f t="shared" si="63"/>
        <v>0</v>
      </c>
      <c r="N73" s="579">
        <f t="shared" si="63"/>
        <v>0</v>
      </c>
      <c r="O73" s="579">
        <f t="shared" si="63"/>
        <v>0</v>
      </c>
      <c r="P73" s="579">
        <f t="shared" si="63"/>
        <v>0</v>
      </c>
      <c r="Q73" s="579">
        <f t="shared" si="63"/>
        <v>0</v>
      </c>
      <c r="R73" s="579">
        <f t="shared" si="63"/>
        <v>0</v>
      </c>
      <c r="S73" s="579">
        <f t="shared" si="63"/>
        <v>0</v>
      </c>
      <c r="T73" s="579">
        <f t="shared" si="63"/>
        <v>0</v>
      </c>
      <c r="U73" s="579">
        <f t="shared" si="63"/>
        <v>0</v>
      </c>
      <c r="V73" s="579">
        <f t="shared" si="63"/>
        <v>0</v>
      </c>
      <c r="W73" s="579">
        <f t="shared" si="63"/>
        <v>0</v>
      </c>
      <c r="X73" s="579">
        <f t="shared" si="63"/>
        <v>0</v>
      </c>
      <c r="Y73" s="579">
        <f t="shared" si="63"/>
        <v>0</v>
      </c>
      <c r="Z73" s="579">
        <f t="shared" si="63"/>
        <v>0</v>
      </c>
      <c r="AA73" s="579">
        <f t="shared" si="63"/>
        <v>0</v>
      </c>
      <c r="AB73" s="579">
        <f t="shared" si="63"/>
        <v>0</v>
      </c>
      <c r="AC73" s="579">
        <f t="shared" si="63"/>
        <v>0</v>
      </c>
      <c r="AD73" s="579">
        <f t="shared" si="63"/>
        <v>0</v>
      </c>
      <c r="AE73" s="579">
        <f t="shared" si="63"/>
        <v>0</v>
      </c>
      <c r="AF73" s="579">
        <f t="shared" si="63"/>
        <v>0</v>
      </c>
      <c r="AG73" s="579">
        <f t="shared" si="63"/>
        <v>0</v>
      </c>
      <c r="AH73" s="579">
        <f t="shared" si="63"/>
        <v>0</v>
      </c>
      <c r="AI73" s="579">
        <f t="shared" si="63"/>
        <v>0</v>
      </c>
      <c r="AJ73" s="579">
        <f t="shared" si="63"/>
        <v>0</v>
      </c>
      <c r="AK73" s="579">
        <f t="shared" si="63"/>
        <v>0</v>
      </c>
      <c r="AL73" s="579">
        <f t="shared" si="63"/>
        <v>0</v>
      </c>
      <c r="AM73" s="579">
        <f t="shared" si="63"/>
        <v>0</v>
      </c>
      <c r="AN73" s="579">
        <f t="shared" si="63"/>
        <v>0</v>
      </c>
      <c r="AO73" s="579">
        <f t="shared" si="63"/>
        <v>0</v>
      </c>
      <c r="AP73" s="579">
        <f t="shared" si="63"/>
        <v>0</v>
      </c>
      <c r="AQ73" s="579">
        <f t="shared" si="63"/>
        <v>0</v>
      </c>
      <c r="AR73" s="579">
        <f t="shared" si="63"/>
        <v>0</v>
      </c>
      <c r="AS73" s="579">
        <f t="shared" si="63"/>
        <v>0</v>
      </c>
      <c r="AT73" s="579">
        <f t="shared" si="63"/>
        <v>0</v>
      </c>
      <c r="AU73" s="579">
        <f t="shared" si="63"/>
        <v>0</v>
      </c>
      <c r="AV73" s="579">
        <f t="shared" si="63"/>
        <v>0</v>
      </c>
      <c r="AW73" s="579">
        <f t="shared" si="63"/>
        <v>0</v>
      </c>
      <c r="AX73" s="579">
        <f t="shared" si="63"/>
        <v>0</v>
      </c>
      <c r="AY73" s="579">
        <f t="shared" si="63"/>
        <v>0</v>
      </c>
      <c r="AZ73" s="579">
        <f t="shared" si="63"/>
        <v>0</v>
      </c>
      <c r="BA73" s="579">
        <f t="shared" si="63"/>
        <v>0</v>
      </c>
      <c r="BB73" s="579">
        <f t="shared" si="63"/>
        <v>0</v>
      </c>
      <c r="BC73" s="579">
        <f t="shared" si="63"/>
        <v>0</v>
      </c>
      <c r="BD73" s="579">
        <f t="shared" si="63"/>
        <v>0</v>
      </c>
      <c r="BE73" s="579">
        <f t="shared" si="63"/>
        <v>0</v>
      </c>
      <c r="BF73" s="579">
        <f t="shared" si="63"/>
        <v>240000</v>
      </c>
      <c r="BG73" s="579">
        <f t="shared" si="63"/>
        <v>0</v>
      </c>
      <c r="BH73" s="579">
        <f t="shared" si="63"/>
        <v>0</v>
      </c>
      <c r="BI73" s="579">
        <f t="shared" si="63"/>
        <v>0</v>
      </c>
      <c r="BJ73" s="579">
        <f t="shared" si="63"/>
        <v>0</v>
      </c>
      <c r="BK73" s="579">
        <f t="shared" si="63"/>
        <v>0</v>
      </c>
      <c r="BL73" s="579">
        <f t="shared" si="63"/>
        <v>0</v>
      </c>
      <c r="BM73" s="579">
        <f t="shared" si="63"/>
        <v>0</v>
      </c>
      <c r="BN73" s="579">
        <f t="shared" si="63"/>
        <v>0</v>
      </c>
      <c r="BO73" s="579">
        <f t="shared" si="63"/>
        <v>0</v>
      </c>
      <c r="BP73" s="579">
        <f t="shared" si="63"/>
        <v>0</v>
      </c>
      <c r="BQ73" s="579">
        <f t="shared" si="63"/>
        <v>0</v>
      </c>
      <c r="BR73" s="579">
        <f t="shared" si="63"/>
        <v>0</v>
      </c>
      <c r="BS73" s="579">
        <f t="shared" si="63"/>
        <v>0</v>
      </c>
      <c r="BT73" s="579">
        <f t="shared" si="63"/>
        <v>0</v>
      </c>
      <c r="BU73" s="579">
        <f t="shared" si="63"/>
        <v>0</v>
      </c>
      <c r="BV73" s="579">
        <f t="shared" si="63"/>
        <v>0</v>
      </c>
      <c r="BW73" s="579">
        <f t="shared" ref="BW73:DY73" si="64">BW63*$E$72</f>
        <v>0</v>
      </c>
      <c r="BX73" s="579">
        <f t="shared" si="64"/>
        <v>0</v>
      </c>
      <c r="BY73" s="579">
        <f t="shared" si="64"/>
        <v>0</v>
      </c>
      <c r="BZ73" s="579">
        <f t="shared" si="64"/>
        <v>0</v>
      </c>
      <c r="CA73" s="579">
        <f t="shared" si="64"/>
        <v>0</v>
      </c>
      <c r="CB73" s="579">
        <f t="shared" si="64"/>
        <v>0</v>
      </c>
      <c r="CC73" s="579">
        <f t="shared" si="64"/>
        <v>0</v>
      </c>
      <c r="CD73" s="579">
        <f t="shared" si="64"/>
        <v>0</v>
      </c>
      <c r="CE73" s="579">
        <f t="shared" si="64"/>
        <v>0</v>
      </c>
      <c r="CF73" s="579">
        <f t="shared" si="64"/>
        <v>0</v>
      </c>
      <c r="CG73" s="579">
        <f t="shared" si="64"/>
        <v>0</v>
      </c>
      <c r="CH73" s="579">
        <f t="shared" si="64"/>
        <v>0</v>
      </c>
      <c r="CI73" s="579">
        <f t="shared" si="64"/>
        <v>0</v>
      </c>
      <c r="CJ73" s="579">
        <f t="shared" si="64"/>
        <v>0</v>
      </c>
      <c r="CK73" s="579">
        <f t="shared" si="64"/>
        <v>0</v>
      </c>
      <c r="CL73" s="579">
        <f t="shared" si="64"/>
        <v>0</v>
      </c>
      <c r="CM73" s="579">
        <f t="shared" si="64"/>
        <v>0</v>
      </c>
      <c r="CN73" s="579">
        <f t="shared" si="64"/>
        <v>0</v>
      </c>
      <c r="CO73" s="579">
        <f t="shared" si="64"/>
        <v>0</v>
      </c>
      <c r="CP73" s="579">
        <f t="shared" si="64"/>
        <v>0</v>
      </c>
      <c r="CQ73" s="579">
        <f t="shared" si="64"/>
        <v>0</v>
      </c>
      <c r="CR73" s="579">
        <f t="shared" si="64"/>
        <v>0</v>
      </c>
      <c r="CS73" s="579">
        <f t="shared" si="64"/>
        <v>0</v>
      </c>
      <c r="CT73" s="579">
        <f t="shared" si="64"/>
        <v>0</v>
      </c>
      <c r="CU73" s="579">
        <f t="shared" si="64"/>
        <v>0</v>
      </c>
      <c r="CV73" s="579">
        <f t="shared" si="64"/>
        <v>0</v>
      </c>
      <c r="CW73" s="579">
        <f t="shared" si="64"/>
        <v>0</v>
      </c>
      <c r="CX73" s="579">
        <f t="shared" si="64"/>
        <v>0</v>
      </c>
      <c r="CY73" s="579">
        <f t="shared" si="64"/>
        <v>0</v>
      </c>
      <c r="CZ73" s="579">
        <f t="shared" si="64"/>
        <v>0</v>
      </c>
      <c r="DA73" s="579">
        <f t="shared" si="64"/>
        <v>0</v>
      </c>
      <c r="DB73" s="579">
        <f t="shared" si="64"/>
        <v>0</v>
      </c>
      <c r="DC73" s="579">
        <f t="shared" si="64"/>
        <v>0</v>
      </c>
      <c r="DD73" s="579">
        <f t="shared" si="64"/>
        <v>0</v>
      </c>
      <c r="DE73" s="579">
        <f t="shared" si="64"/>
        <v>0</v>
      </c>
      <c r="DF73" s="579">
        <f t="shared" si="64"/>
        <v>0</v>
      </c>
      <c r="DG73" s="579">
        <f t="shared" si="64"/>
        <v>0</v>
      </c>
      <c r="DH73" s="579">
        <f t="shared" si="64"/>
        <v>0</v>
      </c>
      <c r="DI73" s="579">
        <f t="shared" si="64"/>
        <v>0</v>
      </c>
      <c r="DJ73" s="579">
        <f t="shared" si="64"/>
        <v>0</v>
      </c>
      <c r="DK73" s="579">
        <f t="shared" si="64"/>
        <v>0</v>
      </c>
      <c r="DL73" s="579">
        <f t="shared" si="64"/>
        <v>0</v>
      </c>
      <c r="DM73" s="579">
        <f t="shared" si="64"/>
        <v>0</v>
      </c>
      <c r="DN73" s="579">
        <f t="shared" si="64"/>
        <v>0</v>
      </c>
      <c r="DO73" s="579">
        <f t="shared" si="64"/>
        <v>0</v>
      </c>
      <c r="DP73" s="579">
        <f t="shared" si="64"/>
        <v>0</v>
      </c>
      <c r="DQ73" s="579">
        <f t="shared" si="64"/>
        <v>0</v>
      </c>
      <c r="DR73" s="579">
        <f t="shared" si="64"/>
        <v>0</v>
      </c>
      <c r="DS73" s="579">
        <f t="shared" si="64"/>
        <v>0</v>
      </c>
      <c r="DT73" s="579">
        <f t="shared" si="64"/>
        <v>0</v>
      </c>
      <c r="DU73" s="579">
        <f t="shared" si="64"/>
        <v>0</v>
      </c>
      <c r="DV73" s="579">
        <f t="shared" si="64"/>
        <v>0</v>
      </c>
      <c r="DW73" s="579">
        <f t="shared" si="64"/>
        <v>0</v>
      </c>
      <c r="DX73" s="579">
        <f t="shared" si="64"/>
        <v>0</v>
      </c>
      <c r="DY73" s="579">
        <f t="shared" si="64"/>
        <v>0</v>
      </c>
    </row>
    <row r="74" spans="2:129">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row>
    <row r="75" spans="2:129" s="43" customFormat="1">
      <c r="B75" s="44" t="s">
        <v>26</v>
      </c>
      <c r="C75" s="43" t="s">
        <v>44</v>
      </c>
      <c r="E75" s="481">
        <f>+'Model Assumptions'!I133</f>
        <v>46753</v>
      </c>
      <c r="F75" s="125"/>
      <c r="G75" s="125"/>
      <c r="H75" s="125"/>
    </row>
    <row r="76" spans="2:129" s="43" customFormat="1">
      <c r="B76" s="44"/>
      <c r="C76" s="43" t="s">
        <v>394</v>
      </c>
      <c r="E76" s="482" t="str">
        <f>+'Model Assumptions'!I137</f>
        <v>USD</v>
      </c>
      <c r="F76" s="125"/>
      <c r="G76" s="125"/>
      <c r="H76" s="125"/>
    </row>
    <row r="77" spans="2:129" s="43" customFormat="1">
      <c r="C77" s="43" t="s">
        <v>386</v>
      </c>
      <c r="E77" s="482">
        <f>+'Model Assumptions'!I134</f>
        <v>1000000</v>
      </c>
      <c r="F77" s="126"/>
      <c r="G77" s="126"/>
      <c r="H77" s="126"/>
      <c r="J77" s="46">
        <f t="shared" ref="J77:AO77" si="65">+IF(J$1=$E$75,$E$77,0)</f>
        <v>0</v>
      </c>
      <c r="K77" s="46">
        <f t="shared" si="65"/>
        <v>0</v>
      </c>
      <c r="L77" s="46">
        <f t="shared" si="65"/>
        <v>0</v>
      </c>
      <c r="M77" s="46">
        <f t="shared" si="65"/>
        <v>0</v>
      </c>
      <c r="N77" s="46">
        <f t="shared" si="65"/>
        <v>0</v>
      </c>
      <c r="O77" s="46">
        <f t="shared" si="65"/>
        <v>0</v>
      </c>
      <c r="P77" s="46">
        <f t="shared" si="65"/>
        <v>0</v>
      </c>
      <c r="Q77" s="46">
        <f t="shared" si="65"/>
        <v>0</v>
      </c>
      <c r="R77" s="46">
        <f t="shared" si="65"/>
        <v>0</v>
      </c>
      <c r="S77" s="46">
        <f t="shared" si="65"/>
        <v>0</v>
      </c>
      <c r="T77" s="46">
        <f t="shared" si="65"/>
        <v>0</v>
      </c>
      <c r="U77" s="46">
        <f t="shared" si="65"/>
        <v>0</v>
      </c>
      <c r="V77" s="46">
        <f t="shared" si="65"/>
        <v>0</v>
      </c>
      <c r="W77" s="46">
        <f t="shared" si="65"/>
        <v>0</v>
      </c>
      <c r="X77" s="46">
        <f t="shared" si="65"/>
        <v>0</v>
      </c>
      <c r="Y77" s="46">
        <f t="shared" si="65"/>
        <v>0</v>
      </c>
      <c r="Z77" s="46">
        <f t="shared" si="65"/>
        <v>0</v>
      </c>
      <c r="AA77" s="46">
        <f t="shared" si="65"/>
        <v>0</v>
      </c>
      <c r="AB77" s="46">
        <f t="shared" si="65"/>
        <v>0</v>
      </c>
      <c r="AC77" s="46">
        <f t="shared" si="65"/>
        <v>0</v>
      </c>
      <c r="AD77" s="46">
        <f t="shared" si="65"/>
        <v>0</v>
      </c>
      <c r="AE77" s="46">
        <f t="shared" si="65"/>
        <v>0</v>
      </c>
      <c r="AF77" s="46">
        <f t="shared" si="65"/>
        <v>0</v>
      </c>
      <c r="AG77" s="46">
        <f t="shared" si="65"/>
        <v>0</v>
      </c>
      <c r="AH77" s="46">
        <f t="shared" si="65"/>
        <v>0</v>
      </c>
      <c r="AI77" s="46">
        <f t="shared" si="65"/>
        <v>0</v>
      </c>
      <c r="AJ77" s="46">
        <f t="shared" si="65"/>
        <v>0</v>
      </c>
      <c r="AK77" s="46">
        <f t="shared" si="65"/>
        <v>0</v>
      </c>
      <c r="AL77" s="46">
        <f t="shared" si="65"/>
        <v>0</v>
      </c>
      <c r="AM77" s="46">
        <f t="shared" si="65"/>
        <v>0</v>
      </c>
      <c r="AN77" s="46">
        <f t="shared" si="65"/>
        <v>0</v>
      </c>
      <c r="AO77" s="46">
        <f t="shared" si="65"/>
        <v>0</v>
      </c>
      <c r="AP77" s="46">
        <f t="shared" ref="AP77:BU77" si="66">+IF(AP$1=$E$75,$E$77,0)</f>
        <v>0</v>
      </c>
      <c r="AQ77" s="46">
        <f t="shared" si="66"/>
        <v>0</v>
      </c>
      <c r="AR77" s="46">
        <f t="shared" si="66"/>
        <v>0</v>
      </c>
      <c r="AS77" s="46">
        <f t="shared" si="66"/>
        <v>0</v>
      </c>
      <c r="AT77" s="46">
        <f t="shared" si="66"/>
        <v>0</v>
      </c>
      <c r="AU77" s="46">
        <f t="shared" si="66"/>
        <v>0</v>
      </c>
      <c r="AV77" s="46">
        <f t="shared" si="66"/>
        <v>0</v>
      </c>
      <c r="AW77" s="46">
        <f t="shared" si="66"/>
        <v>0</v>
      </c>
      <c r="AX77" s="46">
        <f t="shared" si="66"/>
        <v>0</v>
      </c>
      <c r="AY77" s="46">
        <f t="shared" si="66"/>
        <v>0</v>
      </c>
      <c r="AZ77" s="46">
        <f t="shared" si="66"/>
        <v>0</v>
      </c>
      <c r="BA77" s="46">
        <f t="shared" si="66"/>
        <v>0</v>
      </c>
      <c r="BB77" s="46">
        <f t="shared" si="66"/>
        <v>0</v>
      </c>
      <c r="BC77" s="46">
        <f t="shared" si="66"/>
        <v>0</v>
      </c>
      <c r="BD77" s="46">
        <f t="shared" si="66"/>
        <v>0</v>
      </c>
      <c r="BE77" s="46">
        <f t="shared" si="66"/>
        <v>0</v>
      </c>
      <c r="BF77" s="46">
        <f t="shared" si="66"/>
        <v>0</v>
      </c>
      <c r="BG77" s="46">
        <f t="shared" si="66"/>
        <v>0</v>
      </c>
      <c r="BH77" s="46">
        <f t="shared" si="66"/>
        <v>0</v>
      </c>
      <c r="BI77" s="46">
        <f t="shared" si="66"/>
        <v>0</v>
      </c>
      <c r="BJ77" s="46">
        <f t="shared" si="66"/>
        <v>0</v>
      </c>
      <c r="BK77" s="46">
        <f t="shared" si="66"/>
        <v>0</v>
      </c>
      <c r="BL77" s="46">
        <f t="shared" si="66"/>
        <v>0</v>
      </c>
      <c r="BM77" s="46">
        <f t="shared" si="66"/>
        <v>0</v>
      </c>
      <c r="BN77" s="46">
        <f t="shared" si="66"/>
        <v>0</v>
      </c>
      <c r="BO77" s="46">
        <f t="shared" si="66"/>
        <v>0</v>
      </c>
      <c r="BP77" s="46">
        <f t="shared" si="66"/>
        <v>0</v>
      </c>
      <c r="BQ77" s="46">
        <f t="shared" si="66"/>
        <v>0</v>
      </c>
      <c r="BR77" s="46">
        <f t="shared" si="66"/>
        <v>1000000</v>
      </c>
      <c r="BS77" s="46">
        <f t="shared" si="66"/>
        <v>0</v>
      </c>
      <c r="BT77" s="46">
        <f t="shared" si="66"/>
        <v>0</v>
      </c>
      <c r="BU77" s="46">
        <f t="shared" si="66"/>
        <v>0</v>
      </c>
      <c r="BV77" s="46">
        <f t="shared" ref="BV77:DY77" si="67">+IF(BV$1=$E$75,$E$77,0)</f>
        <v>0</v>
      </c>
      <c r="BW77" s="46">
        <f t="shared" si="67"/>
        <v>0</v>
      </c>
      <c r="BX77" s="46">
        <f t="shared" si="67"/>
        <v>0</v>
      </c>
      <c r="BY77" s="46">
        <f t="shared" si="67"/>
        <v>0</v>
      </c>
      <c r="BZ77" s="46">
        <f t="shared" si="67"/>
        <v>0</v>
      </c>
      <c r="CA77" s="46">
        <f t="shared" si="67"/>
        <v>0</v>
      </c>
      <c r="CB77" s="46">
        <f t="shared" si="67"/>
        <v>0</v>
      </c>
      <c r="CC77" s="46">
        <f t="shared" si="67"/>
        <v>0</v>
      </c>
      <c r="CD77" s="46">
        <f t="shared" si="67"/>
        <v>0</v>
      </c>
      <c r="CE77" s="46">
        <f t="shared" si="67"/>
        <v>0</v>
      </c>
      <c r="CF77" s="46">
        <f t="shared" si="67"/>
        <v>0</v>
      </c>
      <c r="CG77" s="46">
        <f t="shared" si="67"/>
        <v>0</v>
      </c>
      <c r="CH77" s="46">
        <f t="shared" si="67"/>
        <v>0</v>
      </c>
      <c r="CI77" s="46">
        <f t="shared" si="67"/>
        <v>0</v>
      </c>
      <c r="CJ77" s="46">
        <f t="shared" si="67"/>
        <v>0</v>
      </c>
      <c r="CK77" s="46">
        <f t="shared" si="67"/>
        <v>0</v>
      </c>
      <c r="CL77" s="46">
        <f t="shared" si="67"/>
        <v>0</v>
      </c>
      <c r="CM77" s="46">
        <f t="shared" si="67"/>
        <v>0</v>
      </c>
      <c r="CN77" s="46">
        <f t="shared" si="67"/>
        <v>0</v>
      </c>
      <c r="CO77" s="46">
        <f t="shared" si="67"/>
        <v>0</v>
      </c>
      <c r="CP77" s="46">
        <f t="shared" si="67"/>
        <v>0</v>
      </c>
      <c r="CQ77" s="46">
        <f t="shared" si="67"/>
        <v>0</v>
      </c>
      <c r="CR77" s="46">
        <f t="shared" si="67"/>
        <v>0</v>
      </c>
      <c r="CS77" s="46">
        <f t="shared" si="67"/>
        <v>0</v>
      </c>
      <c r="CT77" s="46">
        <f t="shared" si="67"/>
        <v>0</v>
      </c>
      <c r="CU77" s="46">
        <f t="shared" si="67"/>
        <v>0</v>
      </c>
      <c r="CV77" s="46">
        <f t="shared" si="67"/>
        <v>0</v>
      </c>
      <c r="CW77" s="46">
        <f t="shared" si="67"/>
        <v>0</v>
      </c>
      <c r="CX77" s="46">
        <f t="shared" si="67"/>
        <v>0</v>
      </c>
      <c r="CY77" s="46">
        <f t="shared" si="67"/>
        <v>0</v>
      </c>
      <c r="CZ77" s="46">
        <f t="shared" si="67"/>
        <v>0</v>
      </c>
      <c r="DA77" s="46">
        <f t="shared" si="67"/>
        <v>0</v>
      </c>
      <c r="DB77" s="46">
        <f t="shared" si="67"/>
        <v>0</v>
      </c>
      <c r="DC77" s="46">
        <f t="shared" si="67"/>
        <v>0</v>
      </c>
      <c r="DD77" s="46">
        <f t="shared" si="67"/>
        <v>0</v>
      </c>
      <c r="DE77" s="46">
        <f t="shared" si="67"/>
        <v>0</v>
      </c>
      <c r="DF77" s="46">
        <f t="shared" si="67"/>
        <v>0</v>
      </c>
      <c r="DG77" s="46">
        <f t="shared" si="67"/>
        <v>0</v>
      </c>
      <c r="DH77" s="46">
        <f t="shared" si="67"/>
        <v>0</v>
      </c>
      <c r="DI77" s="46">
        <f t="shared" si="67"/>
        <v>0</v>
      </c>
      <c r="DJ77" s="46">
        <f t="shared" si="67"/>
        <v>0</v>
      </c>
      <c r="DK77" s="46">
        <f t="shared" si="67"/>
        <v>0</v>
      </c>
      <c r="DL77" s="46">
        <f t="shared" si="67"/>
        <v>0</v>
      </c>
      <c r="DM77" s="46">
        <f t="shared" si="67"/>
        <v>0</v>
      </c>
      <c r="DN77" s="46">
        <f t="shared" si="67"/>
        <v>0</v>
      </c>
      <c r="DO77" s="46">
        <f t="shared" si="67"/>
        <v>0</v>
      </c>
      <c r="DP77" s="46">
        <f t="shared" si="67"/>
        <v>0</v>
      </c>
      <c r="DQ77" s="46">
        <f t="shared" si="67"/>
        <v>0</v>
      </c>
      <c r="DR77" s="46">
        <f t="shared" si="67"/>
        <v>0</v>
      </c>
      <c r="DS77" s="46">
        <f t="shared" si="67"/>
        <v>0</v>
      </c>
      <c r="DT77" s="46">
        <f t="shared" si="67"/>
        <v>0</v>
      </c>
      <c r="DU77" s="46">
        <f t="shared" si="67"/>
        <v>0</v>
      </c>
      <c r="DV77" s="46">
        <f t="shared" si="67"/>
        <v>0</v>
      </c>
      <c r="DW77" s="46">
        <f t="shared" si="67"/>
        <v>0</v>
      </c>
      <c r="DX77" s="46">
        <f t="shared" si="67"/>
        <v>0</v>
      </c>
      <c r="DY77" s="46">
        <f t="shared" si="67"/>
        <v>0</v>
      </c>
    </row>
    <row r="78" spans="2:129" s="43" customFormat="1">
      <c r="C78" s="43" t="s">
        <v>387</v>
      </c>
      <c r="E78" s="482">
        <f>+'Model Assumptions'!I136</f>
        <v>10000000</v>
      </c>
      <c r="F78" s="126"/>
      <c r="G78" s="126"/>
      <c r="H78" s="126"/>
      <c r="J78" s="490">
        <f>J77*Flags!J$30</f>
        <v>0</v>
      </c>
      <c r="K78" s="490">
        <f>K77*Flags!K$30</f>
        <v>0</v>
      </c>
      <c r="L78" s="490">
        <f>L77*Flags!L$30</f>
        <v>0</v>
      </c>
      <c r="M78" s="490">
        <f>M77*Flags!M$30</f>
        <v>0</v>
      </c>
      <c r="N78" s="490">
        <f>N77*Flags!N$30</f>
        <v>0</v>
      </c>
      <c r="O78" s="490">
        <f>O77*Flags!O$30</f>
        <v>0</v>
      </c>
      <c r="P78" s="490">
        <f>P77*Flags!P$30</f>
        <v>0</v>
      </c>
      <c r="Q78" s="490">
        <f>Q77*Flags!Q$30</f>
        <v>0</v>
      </c>
      <c r="R78" s="490">
        <f>R77*Flags!R$30</f>
        <v>0</v>
      </c>
      <c r="S78" s="490">
        <f>S77*Flags!S$30</f>
        <v>0</v>
      </c>
      <c r="T78" s="490">
        <f>T77*Flags!T$30</f>
        <v>0</v>
      </c>
      <c r="U78" s="490">
        <f>U77*Flags!U$30</f>
        <v>0</v>
      </c>
      <c r="V78" s="490">
        <f>V77*Flags!V$30</f>
        <v>0</v>
      </c>
      <c r="W78" s="490">
        <f>W77*Flags!W$30</f>
        <v>0</v>
      </c>
      <c r="X78" s="490">
        <f>X77*Flags!X$30</f>
        <v>0</v>
      </c>
      <c r="Y78" s="490">
        <f>Y77*Flags!Y$30</f>
        <v>0</v>
      </c>
      <c r="Z78" s="490">
        <f>Z77*Flags!Z$30</f>
        <v>0</v>
      </c>
      <c r="AA78" s="490">
        <f>AA77*Flags!AA$30</f>
        <v>0</v>
      </c>
      <c r="AB78" s="490">
        <f>AB77*Flags!AB$30</f>
        <v>0</v>
      </c>
      <c r="AC78" s="490">
        <f>AC77*Flags!AC$30</f>
        <v>0</v>
      </c>
      <c r="AD78" s="490">
        <f>AD77*Flags!AD$30</f>
        <v>0</v>
      </c>
      <c r="AE78" s="490">
        <f>AE77*Flags!AE$30</f>
        <v>0</v>
      </c>
      <c r="AF78" s="490">
        <f>AF77*Flags!AF$30</f>
        <v>0</v>
      </c>
      <c r="AG78" s="490">
        <f>AG77*Flags!AG$30</f>
        <v>0</v>
      </c>
      <c r="AH78" s="490">
        <f>AH77*Flags!AH$30</f>
        <v>0</v>
      </c>
      <c r="AI78" s="490">
        <f>AI77*Flags!AI$30</f>
        <v>0</v>
      </c>
      <c r="AJ78" s="490">
        <f>AJ77*Flags!AJ$30</f>
        <v>0</v>
      </c>
      <c r="AK78" s="490">
        <f>AK77*Flags!AK$30</f>
        <v>0</v>
      </c>
      <c r="AL78" s="490">
        <f>AL77*Flags!AL$30</f>
        <v>0</v>
      </c>
      <c r="AM78" s="490">
        <f>AM77*Flags!AM$30</f>
        <v>0</v>
      </c>
      <c r="AN78" s="490">
        <f>AN77*Flags!AN$30</f>
        <v>0</v>
      </c>
      <c r="AO78" s="490">
        <f>AO77*Flags!AO$30</f>
        <v>0</v>
      </c>
      <c r="AP78" s="490">
        <f>AP77*Flags!AP$30</f>
        <v>0</v>
      </c>
      <c r="AQ78" s="490">
        <f>AQ77*Flags!AQ$30</f>
        <v>0</v>
      </c>
      <c r="AR78" s="490">
        <f>AR77*Flags!AR$30</f>
        <v>0</v>
      </c>
      <c r="AS78" s="490">
        <f>AS77*Flags!AS$30</f>
        <v>0</v>
      </c>
      <c r="AT78" s="490">
        <f>AT77*Flags!AT$30</f>
        <v>0</v>
      </c>
      <c r="AU78" s="490">
        <f>AU77*Flags!AU$30</f>
        <v>0</v>
      </c>
      <c r="AV78" s="490">
        <f>AV77*Flags!AV$30</f>
        <v>0</v>
      </c>
      <c r="AW78" s="490">
        <f>AW77*Flags!AW$30</f>
        <v>0</v>
      </c>
      <c r="AX78" s="490">
        <f>AX77*Flags!AX$30</f>
        <v>0</v>
      </c>
      <c r="AY78" s="490">
        <f>AY77*Flags!AY$30</f>
        <v>0</v>
      </c>
      <c r="AZ78" s="490">
        <f>AZ77*Flags!AZ$30</f>
        <v>0</v>
      </c>
      <c r="BA78" s="490">
        <f>BA77*Flags!BA$30</f>
        <v>0</v>
      </c>
      <c r="BB78" s="490">
        <f>BB77*Flags!BB$30</f>
        <v>0</v>
      </c>
      <c r="BC78" s="490">
        <f>BC77*Flags!BC$30</f>
        <v>0</v>
      </c>
      <c r="BD78" s="490">
        <f>BD77*Flags!BD$30</f>
        <v>0</v>
      </c>
      <c r="BE78" s="490">
        <f>BE77*Flags!BE$30</f>
        <v>0</v>
      </c>
      <c r="BF78" s="490">
        <f>BF77*Flags!BF$30</f>
        <v>0</v>
      </c>
      <c r="BG78" s="490">
        <f>BG77*Flags!BG$30</f>
        <v>0</v>
      </c>
      <c r="BH78" s="490">
        <f>BH77*Flags!BH$30</f>
        <v>0</v>
      </c>
      <c r="BI78" s="490">
        <f>BI77*Flags!BI$30</f>
        <v>0</v>
      </c>
      <c r="BJ78" s="490">
        <f>BJ77*Flags!BJ$30</f>
        <v>0</v>
      </c>
      <c r="BK78" s="490">
        <f>BK77*Flags!BK$30</f>
        <v>0</v>
      </c>
      <c r="BL78" s="490">
        <f>BL77*Flags!BL$30</f>
        <v>0</v>
      </c>
      <c r="BM78" s="490">
        <f>BM77*Flags!BM$30</f>
        <v>0</v>
      </c>
      <c r="BN78" s="490">
        <f>BN77*Flags!BN$30</f>
        <v>0</v>
      </c>
      <c r="BO78" s="490">
        <f>BO77*Flags!BO$30</f>
        <v>0</v>
      </c>
      <c r="BP78" s="490">
        <f>BP77*Flags!BP$30</f>
        <v>0</v>
      </c>
      <c r="BQ78" s="490">
        <f>BQ77*Flags!BQ$30</f>
        <v>0</v>
      </c>
      <c r="BR78" s="490">
        <f>BR77*Flags!BR$30</f>
        <v>10000000</v>
      </c>
      <c r="BS78" s="490">
        <f>BS77*Flags!BS$30</f>
        <v>0</v>
      </c>
      <c r="BT78" s="490">
        <f>BT77*Flags!BT$30</f>
        <v>0</v>
      </c>
      <c r="BU78" s="490">
        <f>BU77*Flags!BU$30</f>
        <v>0</v>
      </c>
      <c r="BV78" s="490">
        <f>BV77*Flags!BV$30</f>
        <v>0</v>
      </c>
      <c r="BW78" s="490">
        <f>BW77*Flags!BW$30</f>
        <v>0</v>
      </c>
      <c r="BX78" s="490">
        <f>BX77*Flags!BX$30</f>
        <v>0</v>
      </c>
      <c r="BY78" s="490">
        <f>BY77*Flags!BY$30</f>
        <v>0</v>
      </c>
      <c r="BZ78" s="490">
        <f>BZ77*Flags!BZ$30</f>
        <v>0</v>
      </c>
      <c r="CA78" s="490">
        <f>CA77*Flags!CA$30</f>
        <v>0</v>
      </c>
      <c r="CB78" s="490">
        <f>CB77*Flags!CB$30</f>
        <v>0</v>
      </c>
      <c r="CC78" s="490">
        <f>CC77*Flags!CC$30</f>
        <v>0</v>
      </c>
      <c r="CD78" s="490">
        <f>CD77*Flags!CD$30</f>
        <v>0</v>
      </c>
      <c r="CE78" s="490">
        <f>CE77*Flags!CE$30</f>
        <v>0</v>
      </c>
      <c r="CF78" s="490">
        <f>CF77*Flags!CF$30</f>
        <v>0</v>
      </c>
      <c r="CG78" s="490">
        <f>CG77*Flags!CG$30</f>
        <v>0</v>
      </c>
      <c r="CH78" s="490">
        <f>CH77*Flags!CH$30</f>
        <v>0</v>
      </c>
      <c r="CI78" s="490">
        <f>CI77*Flags!CI$30</f>
        <v>0</v>
      </c>
      <c r="CJ78" s="490">
        <f>CJ77*Flags!CJ$30</f>
        <v>0</v>
      </c>
      <c r="CK78" s="490">
        <f>CK77*Flags!CK$30</f>
        <v>0</v>
      </c>
      <c r="CL78" s="490">
        <f>CL77*Flags!CL$30</f>
        <v>0</v>
      </c>
      <c r="CM78" s="490">
        <f>CM77*Flags!CM$30</f>
        <v>0</v>
      </c>
      <c r="CN78" s="490">
        <f>CN77*Flags!CN$30</f>
        <v>0</v>
      </c>
      <c r="CO78" s="490">
        <f>CO77*Flags!CO$30</f>
        <v>0</v>
      </c>
      <c r="CP78" s="490">
        <f>CP77*Flags!CP$30</f>
        <v>0</v>
      </c>
      <c r="CQ78" s="490">
        <f>CQ77*Flags!CQ$30</f>
        <v>0</v>
      </c>
      <c r="CR78" s="490">
        <f>CR77*Flags!CR$30</f>
        <v>0</v>
      </c>
      <c r="CS78" s="490">
        <f>CS77*Flags!CS$30</f>
        <v>0</v>
      </c>
      <c r="CT78" s="490">
        <f>CT77*Flags!CT$30</f>
        <v>0</v>
      </c>
      <c r="CU78" s="490">
        <f>CU77*Flags!CU$30</f>
        <v>0</v>
      </c>
      <c r="CV78" s="490">
        <f>CV77*Flags!CV$30</f>
        <v>0</v>
      </c>
      <c r="CW78" s="490">
        <f>CW77*Flags!CW$30</f>
        <v>0</v>
      </c>
      <c r="CX78" s="490">
        <f>CX77*Flags!CX$30</f>
        <v>0</v>
      </c>
      <c r="CY78" s="490">
        <f>CY77*Flags!CY$30</f>
        <v>0</v>
      </c>
      <c r="CZ78" s="490">
        <f>CZ77*Flags!CZ$30</f>
        <v>0</v>
      </c>
      <c r="DA78" s="490">
        <f>DA77*Flags!DA$30</f>
        <v>0</v>
      </c>
      <c r="DB78" s="490">
        <f>DB77*Flags!DB$30</f>
        <v>0</v>
      </c>
      <c r="DC78" s="490">
        <f>DC77*Flags!DC$30</f>
        <v>0</v>
      </c>
      <c r="DD78" s="490">
        <f>DD77*Flags!DD$30</f>
        <v>0</v>
      </c>
      <c r="DE78" s="490">
        <f>DE77*Flags!DE$30</f>
        <v>0</v>
      </c>
      <c r="DF78" s="490">
        <f>DF77*Flags!DF$30</f>
        <v>0</v>
      </c>
      <c r="DG78" s="490">
        <f>DG77*Flags!DG$30</f>
        <v>0</v>
      </c>
      <c r="DH78" s="490">
        <f>DH77*Flags!DH$30</f>
        <v>0</v>
      </c>
      <c r="DI78" s="490">
        <f>DI77*Flags!DI$30</f>
        <v>0</v>
      </c>
      <c r="DJ78" s="490">
        <f>DJ77*Flags!DJ$30</f>
        <v>0</v>
      </c>
      <c r="DK78" s="490">
        <f>DK77*Flags!DK$30</f>
        <v>0</v>
      </c>
      <c r="DL78" s="490">
        <f>DL77*Flags!DL$30</f>
        <v>0</v>
      </c>
      <c r="DM78" s="490">
        <f>DM77*Flags!DM$30</f>
        <v>0</v>
      </c>
      <c r="DN78" s="490">
        <f>DN77*Flags!DN$30</f>
        <v>0</v>
      </c>
      <c r="DO78" s="490">
        <f>DO77*Flags!DO$30</f>
        <v>0</v>
      </c>
      <c r="DP78" s="490">
        <f>DP77*Flags!DP$30</f>
        <v>0</v>
      </c>
      <c r="DQ78" s="490">
        <f>DQ77*Flags!DQ$30</f>
        <v>0</v>
      </c>
      <c r="DR78" s="490">
        <f>DR77*Flags!DR$30</f>
        <v>0</v>
      </c>
      <c r="DS78" s="490">
        <f>DS77*Flags!DS$30</f>
        <v>0</v>
      </c>
      <c r="DT78" s="490">
        <f>DT77*Flags!DT$30</f>
        <v>0</v>
      </c>
      <c r="DU78" s="490">
        <f>DU77*Flags!DU$30</f>
        <v>0</v>
      </c>
      <c r="DV78" s="490">
        <f>DV77*Flags!DV$30</f>
        <v>0</v>
      </c>
      <c r="DW78" s="490">
        <f>DW77*Flags!DW$30</f>
        <v>0</v>
      </c>
      <c r="DX78" s="490">
        <f>DX77*Flags!DX$30</f>
        <v>0</v>
      </c>
      <c r="DY78" s="490">
        <f>DY77*Flags!DY$30</f>
        <v>0</v>
      </c>
    </row>
    <row r="79" spans="2:129" s="43" customFormat="1">
      <c r="C79" s="43" t="s">
        <v>640</v>
      </c>
      <c r="F79" s="126"/>
      <c r="G79" s="126"/>
      <c r="H79" s="126"/>
      <c r="J79" s="490">
        <f>IF(J78=0,IF($E76="USD",I79*(1+Flags!$D$31)^(1/12)-J83,I79-J83),J78-J83)</f>
        <v>0</v>
      </c>
      <c r="K79" s="490">
        <f>IF(K78=0,IF($E76="USD",J79*(1+Flags!$D$31)^(1/12)-K83,J79-K83),K78-K83)</f>
        <v>0</v>
      </c>
      <c r="L79" s="490">
        <f>IF(L78=0,IF($E76="USD",K79*(1+Flags!$D$31)^(1/12)-L83,K79-L83),L78-L83)</f>
        <v>0</v>
      </c>
      <c r="M79" s="490">
        <f>IF(M78=0,IF($E76="USD",L79*(1+Flags!$D$31)^(1/12)-M83,L79-M83),M78-M83)</f>
        <v>0</v>
      </c>
      <c r="N79" s="490">
        <f>IF(N78=0,IF($E76="USD",M79*(1+Flags!$D$31)^(1/12)-N83,M79-N83),N78-N83)</f>
        <v>0</v>
      </c>
      <c r="O79" s="490">
        <f>IF(O78=0,IF($E76="USD",N79*(1+Flags!$D$31)^(1/12)-O83,N79-O83),O78-O83)</f>
        <v>0</v>
      </c>
      <c r="P79" s="490">
        <f>IF(P78=0,IF($E76="USD",O79*(1+Flags!$D$31)^(1/12)-P83,O79-P83),P78-P83)</f>
        <v>0</v>
      </c>
      <c r="Q79" s="490">
        <f>IF(Q78=0,IF($E76="USD",P79*(1+Flags!$D$31)^(1/12)-Q83,P79-Q83),Q78-Q83)</f>
        <v>0</v>
      </c>
      <c r="R79" s="490">
        <f>IF(R78=0,IF($E76="USD",Q79*(1+Flags!$D$31)^(1/12)-R83,Q79-R83),R78-R83)</f>
        <v>0</v>
      </c>
      <c r="S79" s="490">
        <f>IF(S78=0,IF($E76="USD",R79*(1+Flags!$D$31)^(1/12)-S83,R79-S83),S78-S83)</f>
        <v>0</v>
      </c>
      <c r="T79" s="490">
        <f>IF(T78=0,IF($E76="USD",S79*(1+Flags!$D$31)^(1/12)-T83,S79-T83),T78-T83)</f>
        <v>0</v>
      </c>
      <c r="U79" s="490">
        <f>IF(U78=0,IF($E76="USD",T79*(1+Flags!$D$31)^(1/12)-U83,T79-U83),U78-U83)</f>
        <v>0</v>
      </c>
      <c r="V79" s="490">
        <f>IF(V78=0,IF($E76="USD",U79*(1+Flags!$D$31)^(1/12)-V83,U79-V83),V78-V83)</f>
        <v>0</v>
      </c>
      <c r="W79" s="490">
        <f>IF(W78=0,IF($E76="USD",V79*(1+Flags!$D$31)^(1/12)-W83,V79-W83),W78-W83)</f>
        <v>0</v>
      </c>
      <c r="X79" s="490">
        <f>IF(X78=0,IF($E76="USD",W79*(1+Flags!$D$31)^(1/12)-X83,W79-X83),X78-X83)</f>
        <v>0</v>
      </c>
      <c r="Y79" s="490">
        <f>IF(Y78=0,IF($E76="USD",X79*(1+Flags!$D$31)^(1/12)-Y83,X79-Y83),Y78-Y83)</f>
        <v>0</v>
      </c>
      <c r="Z79" s="490">
        <f>IF(Z78=0,IF($E76="USD",Y79*(1+Flags!$D$31)^(1/12)-Z83,Y79-Z83),Z78-Z83)</f>
        <v>0</v>
      </c>
      <c r="AA79" s="490">
        <f>IF(AA78=0,IF($E76="USD",Z79*(1+Flags!$D$31)^(1/12)-AA83,Z79-AA83),AA78-AA83)</f>
        <v>0</v>
      </c>
      <c r="AB79" s="490">
        <f>IF(AB78=0,IF($E76="USD",AA79*(1+Flags!$D$31)^(1/12)-AB83,AA79-AB83),AB78-AB83)</f>
        <v>0</v>
      </c>
      <c r="AC79" s="490">
        <f>IF(AC78=0,IF($E76="USD",AB79*(1+Flags!$D$31)^(1/12)-AC83,AB79-AC83),AC78-AC83)</f>
        <v>0</v>
      </c>
      <c r="AD79" s="490">
        <f>IF(AD78=0,IF($E76="USD",AC79*(1+Flags!$D$31)^(1/12)-AD83,AC79-AD83),AD78-AD83)</f>
        <v>0</v>
      </c>
      <c r="AE79" s="490">
        <f>IF(AE78=0,IF($E76="USD",AD79*(1+Flags!$D$31)^(1/12)-AE83,AD79-AE83),AE78-AE83)</f>
        <v>0</v>
      </c>
      <c r="AF79" s="490">
        <f>IF(AF78=0,IF($E76="USD",AE79*(1+Flags!$D$31)^(1/12)-AF83,AE79-AF83),AF78-AF83)</f>
        <v>0</v>
      </c>
      <c r="AG79" s="490">
        <f>IF(AG78=0,IF($E76="USD",AF79*(1+Flags!$D$31)^(1/12)-AG83,AF79-AG83),AG78-AG83)</f>
        <v>0</v>
      </c>
      <c r="AH79" s="490">
        <f>IF(AH78=0,IF($E76="USD",AG79*(1+Flags!$D$31)^(1/12)-AH83,AG79-AH83),AH78-AH83)</f>
        <v>0</v>
      </c>
      <c r="AI79" s="490">
        <f>IF(AI78=0,IF($E76="USD",AH79*(1+Flags!$D$31)^(1/12)-AI83,AH79-AI83),AI78-AI83)</f>
        <v>0</v>
      </c>
      <c r="AJ79" s="490">
        <f>IF(AJ78=0,IF($E76="USD",AI79*(1+Flags!$D$31)^(1/12)-AJ83,AI79-AJ83),AJ78-AJ83)</f>
        <v>0</v>
      </c>
      <c r="AK79" s="490">
        <f>IF(AK78=0,IF($E76="USD",AJ79*(1+Flags!$D$31)^(1/12)-AK83,AJ79-AK83),AK78-AK83)</f>
        <v>0</v>
      </c>
      <c r="AL79" s="490">
        <f>IF(AL78=0,IF($E76="USD",AK79*(1+Flags!$D$31)^(1/12)-AL83,AK79-AL83),AL78-AL83)</f>
        <v>0</v>
      </c>
      <c r="AM79" s="490">
        <f>IF(AM78=0,IF($E76="USD",AL79*(1+Flags!$D$31)^(1/12)-AM83,AL79-AM83),AM78-AM83)</f>
        <v>0</v>
      </c>
      <c r="AN79" s="490">
        <f>IF(AN78=0,IF($E76="USD",AM79*(1+Flags!$D$31)^(1/12)-AN83,AM79-AN83),AN78-AN83)</f>
        <v>0</v>
      </c>
      <c r="AO79" s="490">
        <f>IF(AO78=0,IF($E76="USD",AN79*(1+Flags!$D$31)^(1/12)-AO83,AN79-AO83),AO78-AO83)</f>
        <v>0</v>
      </c>
      <c r="AP79" s="490">
        <f>IF(AP78=0,IF($E76="USD",AO79*(1+Flags!$D$31)^(1/12)-AP83,AO79-AP83),AP78-AP83)</f>
        <v>0</v>
      </c>
      <c r="AQ79" s="490">
        <f>IF(AQ78=0,IF($E76="USD",AP79*(1+Flags!$D$31)^(1/12)-AQ83,AP79-AQ83),AQ78-AQ83)</f>
        <v>0</v>
      </c>
      <c r="AR79" s="490">
        <f>IF(AR78=0,IF($E76="USD",AQ79*(1+Flags!$D$31)^(1/12)-AR83,AQ79-AR83),AR78-AR83)</f>
        <v>0</v>
      </c>
      <c r="AS79" s="490">
        <f>IF(AS78=0,IF($E76="USD",AR79*(1+Flags!$D$31)^(1/12)-AS83,AR79-AS83),AS78-AS83)</f>
        <v>0</v>
      </c>
      <c r="AT79" s="490">
        <f>IF(AT78=0,IF($E76="USD",AS79*(1+Flags!$D$31)^(1/12)-AT83,AS79-AT83),AT78-AT83)</f>
        <v>0</v>
      </c>
      <c r="AU79" s="490">
        <f>IF(AU78=0,IF($E76="USD",AT79*(1+Flags!$D$31)^(1/12)-AU83,AT79-AU83),AU78-AU83)</f>
        <v>0</v>
      </c>
      <c r="AV79" s="490">
        <f>IF(AV78=0,IF($E76="USD",AU79*(1+Flags!$D$31)^(1/12)-AV83,AU79-AV83),AV78-AV83)</f>
        <v>0</v>
      </c>
      <c r="AW79" s="490">
        <f>IF(AW78=0,IF($E76="USD",AV79*(1+Flags!$D$31)^(1/12)-AW83,AV79-AW83),AW78-AW83)</f>
        <v>0</v>
      </c>
      <c r="AX79" s="490">
        <f>IF(AX78=0,IF($E76="USD",AW79*(1+Flags!$D$31)^(1/12)-AX83,AW79-AX83),AX78-AX83)</f>
        <v>0</v>
      </c>
      <c r="AY79" s="490">
        <f>IF(AY78=0,IF($E76="USD",AX79*(1+Flags!$D$31)^(1/12)-AY83,AX79-AY83),AY78-AY83)</f>
        <v>0</v>
      </c>
      <c r="AZ79" s="490">
        <f>IF(AZ78=0,IF($E76="USD",AY79*(1+Flags!$D$31)^(1/12)-AZ83,AY79-AZ83),AZ78-AZ83)</f>
        <v>0</v>
      </c>
      <c r="BA79" s="490">
        <f>IF(BA78=0,IF($E76="USD",AZ79*(1+Flags!$D$31)^(1/12)-BA83,AZ79-BA83),BA78-BA83)</f>
        <v>0</v>
      </c>
      <c r="BB79" s="490">
        <f>IF(BB78=0,IF($E76="USD",BA79*(1+Flags!$D$31)^(1/12)-BB83,BA79-BB83),BB78-BB83)</f>
        <v>0</v>
      </c>
      <c r="BC79" s="490">
        <f>IF(BC78=0,IF($E76="USD",BB79*(1+Flags!$D$31)^(1/12)-BC83,BB79-BC83),BC78-BC83)</f>
        <v>0</v>
      </c>
      <c r="BD79" s="490">
        <f>IF(BD78=0,IF($E76="USD",BC79*(1+Flags!$D$31)^(1/12)-BD83,BC79-BD83),BD78-BD83)</f>
        <v>0</v>
      </c>
      <c r="BE79" s="490">
        <f>IF(BE78=0,IF($E76="USD",BD79*(1+Flags!$D$31)^(1/12)-BE83,BD79-BE83),BE78-BE83)</f>
        <v>0</v>
      </c>
      <c r="BF79" s="490">
        <f>IF(BF78=0,IF($E76="USD",BE79*(1+Flags!$D$31)^(1/12)-BF83,BE79-BF83),BF78-BF83)</f>
        <v>0</v>
      </c>
      <c r="BG79" s="490">
        <f>IF(BG78=0,IF($E76="USD",BF79*(1+Flags!$D$31)^(1/12)-BG83,BF79-BG83),BG78-BG83)</f>
        <v>0</v>
      </c>
      <c r="BH79" s="490">
        <f>IF(BH78=0,IF($E76="USD",BG79*(1+Flags!$D$31)^(1/12)-BH83,BG79-BH83),BH78-BH83)</f>
        <v>0</v>
      </c>
      <c r="BI79" s="490">
        <f>IF(BI78=0,IF($E76="USD",BH79*(1+Flags!$D$31)^(1/12)-BI83,BH79-BI83),BI78-BI83)</f>
        <v>0</v>
      </c>
      <c r="BJ79" s="490">
        <f>IF(BJ78=0,IF($E76="USD",BI79*(1+Flags!$D$31)^(1/12)-BJ83,BI79-BJ83),BJ78-BJ83)</f>
        <v>0</v>
      </c>
      <c r="BK79" s="490">
        <f>IF(BK78=0,IF($E76="USD",BJ79*(1+Flags!$D$31)^(1/12)-BK83,BJ79-BK83),BK78-BK83)</f>
        <v>0</v>
      </c>
      <c r="BL79" s="490">
        <f>IF(BL78=0,IF($E76="USD",BK79*(1+Flags!$D$31)^(1/12)-BL83,BK79-BL83),BL78-BL83)</f>
        <v>0</v>
      </c>
      <c r="BM79" s="490">
        <f>IF(BM78=0,IF($E76="USD",BL79*(1+Flags!$D$31)^(1/12)-BM83,BL79-BM83),BM78-BM83)</f>
        <v>0</v>
      </c>
      <c r="BN79" s="490">
        <f>IF(BN78=0,IF($E76="USD",BM79*(1+Flags!$D$31)^(1/12)-BN83,BM79-BN83),BN78-BN83)</f>
        <v>0</v>
      </c>
      <c r="BO79" s="490">
        <f>IF(BO78=0,IF($E76="USD",BN79*(1+Flags!$D$31)^(1/12)-BO83,BN79-BO83),BO78-BO83)</f>
        <v>0</v>
      </c>
      <c r="BP79" s="490">
        <f>IF(BP78=0,IF($E76="USD",BO79*(1+Flags!$D$31)^(1/12)-BP83,BO79-BP83),BP78-BP83)</f>
        <v>0</v>
      </c>
      <c r="BQ79" s="490">
        <f>IF(BQ78=0,IF($E76="USD",BP79*(1+Flags!$D$31)^(1/12)-BQ83,BP79-BQ83),BQ78-BQ83)</f>
        <v>0</v>
      </c>
      <c r="BR79" s="490">
        <f>IF(BR78=0,IF($E76="USD",BQ79*(1+Flags!$D$31)^(1/12)-BR83,BQ79-BR83),BR78-BR83)</f>
        <v>10000000</v>
      </c>
      <c r="BS79" s="490">
        <f>IF(BS78=0,IF($E76="USD",BR79*(1+Flags!$D$31)^(1/12)-BS83,BR79-BS83),BS78-BS83)</f>
        <v>10000000</v>
      </c>
      <c r="BT79" s="490">
        <f>IF(BT78=0,IF($E76="USD",BS79*(1+Flags!$D$31)^(1/12)-BT83,BS79-BT83),BT78-BT83)</f>
        <v>10000000</v>
      </c>
      <c r="BU79" s="490">
        <f>IF(BU78=0,IF($E76="USD",BT79*(1+Flags!$D$31)^(1/12)-BU83,BT79-BU83),BU78-BU83)</f>
        <v>10000000</v>
      </c>
      <c r="BV79" s="490">
        <f>IF(BV78=0,IF($E76="USD",BU79*(1+Flags!$D$31)^(1/12)-BV83,BU79-BV83),BV78-BV83)</f>
        <v>10000000</v>
      </c>
      <c r="BW79" s="490">
        <f>IF(BW78=0,IF($E76="USD",BV79*(1+Flags!$D$31)^(1/12)-BW83,BV79-BW83),BW78-BW83)</f>
        <v>10000000</v>
      </c>
      <c r="BX79" s="490">
        <f>IF(BX78=0,IF($E76="USD",BW79*(1+Flags!$D$31)^(1/12)-BX83,BW79-BX83),BX78-BX83)</f>
        <v>9814814.8148148153</v>
      </c>
      <c r="BY79" s="490">
        <f>IF(BY78=0,IF($E76="USD",BX79*(1+Flags!$D$31)^(1/12)-BY83,BX79-BY83),BY78-BY83)</f>
        <v>9629629.6296296306</v>
      </c>
      <c r="BZ79" s="490">
        <f>IF(BZ78=0,IF($E76="USD",BY79*(1+Flags!$D$31)^(1/12)-BZ83,BY79-BZ83),BZ78-BZ83)</f>
        <v>9444444.4444444459</v>
      </c>
      <c r="CA79" s="490">
        <f>IF(CA78=0,IF($E76="USD",BZ79*(1+Flags!$D$31)^(1/12)-CA83,BZ79-CA83),CA78-CA83)</f>
        <v>9259259.2592592612</v>
      </c>
      <c r="CB79" s="490">
        <f>IF(CB78=0,IF($E76="USD",CA79*(1+Flags!$D$31)^(1/12)-CB83,CA79-CB83),CB78-CB83)</f>
        <v>9074074.0740740765</v>
      </c>
      <c r="CC79" s="490">
        <f>IF(CC78=0,IF($E76="USD",CB79*(1+Flags!$D$31)^(1/12)-CC83,CB79-CC83),CC78-CC83)</f>
        <v>8888888.8888888918</v>
      </c>
      <c r="CD79" s="490">
        <f>IF(CD78=0,IF($E76="USD",CC79*(1+Flags!$D$31)^(1/12)-CD83,CC79-CD83),CD78-CD83)</f>
        <v>8703703.7037037071</v>
      </c>
      <c r="CE79" s="490">
        <f>IF(CE78=0,IF($E76="USD",CD79*(1+Flags!$D$31)^(1/12)-CE83,CD79-CE83),CE78-CE83)</f>
        <v>8518518.5185185224</v>
      </c>
      <c r="CF79" s="490">
        <f>IF(CF78=0,IF($E76="USD",CE79*(1+Flags!$D$31)^(1/12)-CF83,CE79-CF83),CF78-CF83)</f>
        <v>8333333.3333333377</v>
      </c>
      <c r="CG79" s="490">
        <f>IF(CG78=0,IF($E76="USD",CF79*(1+Flags!$D$31)^(1/12)-CG83,CF79-CG83),CG78-CG83)</f>
        <v>8148148.148148153</v>
      </c>
      <c r="CH79" s="490">
        <f>IF(CH78=0,IF($E76="USD",CG79*(1+Flags!$D$31)^(1/12)-CH83,CG79-CH83),CH78-CH83)</f>
        <v>7962962.9629629683</v>
      </c>
      <c r="CI79" s="490">
        <f>IF(CI78=0,IF($E76="USD",CH79*(1+Flags!$D$31)^(1/12)-CI83,CH79-CI83),CI78-CI83)</f>
        <v>7777777.7777777836</v>
      </c>
      <c r="CJ79" s="490">
        <f>IF(CJ78=0,IF($E76="USD",CI79*(1+Flags!$D$31)^(1/12)-CJ83,CI79-CJ83),CJ78-CJ83)</f>
        <v>7592592.5925925989</v>
      </c>
      <c r="CK79" s="490">
        <f>IF(CK78=0,IF($E76="USD",CJ79*(1+Flags!$D$31)^(1/12)-CK83,CJ79-CK83),CK78-CK83)</f>
        <v>7407407.4074074142</v>
      </c>
      <c r="CL79" s="490">
        <f>IF(CL78=0,IF($E76="USD",CK79*(1+Flags!$D$31)^(1/12)-CL83,CK79-CL83),CL78-CL83)</f>
        <v>7222222.2222222295</v>
      </c>
      <c r="CM79" s="490">
        <f>IF(CM78=0,IF($E76="USD",CL79*(1+Flags!$D$31)^(1/12)-CM83,CL79-CM83),CM78-CM83)</f>
        <v>7037037.0370370448</v>
      </c>
      <c r="CN79" s="490">
        <f>IF(CN78=0,IF($E76="USD",CM79*(1+Flags!$D$31)^(1/12)-CN83,CM79-CN83),CN78-CN83)</f>
        <v>6851851.8518518601</v>
      </c>
      <c r="CO79" s="490">
        <f>IF(CO78=0,IF($E76="USD",CN79*(1+Flags!$D$31)^(1/12)-CO83,CN79-CO83),CO78-CO83)</f>
        <v>6666666.6666666754</v>
      </c>
      <c r="CP79" s="490">
        <f>IF(CP78=0,IF($E76="USD",CO79*(1+Flags!$D$31)^(1/12)-CP83,CO79-CP83),CP78-CP83)</f>
        <v>6481481.4814814907</v>
      </c>
      <c r="CQ79" s="490">
        <f>IF(CQ78=0,IF($E76="USD",CP79*(1+Flags!$D$31)^(1/12)-CQ83,CP79-CQ83),CQ78-CQ83)</f>
        <v>6296296.296296306</v>
      </c>
      <c r="CR79" s="490">
        <f>IF(CR78=0,IF($E76="USD",CQ79*(1+Flags!$D$31)^(1/12)-CR83,CQ79-CR83),CR78-CR83)</f>
        <v>6111111.1111111213</v>
      </c>
      <c r="CS79" s="490">
        <f>IF(CS78=0,IF($E76="USD",CR79*(1+Flags!$D$31)^(1/12)-CS83,CR79-CS83),CS78-CS83)</f>
        <v>5925925.9259259365</v>
      </c>
      <c r="CT79" s="490">
        <f>IF(CT78=0,IF($E76="USD",CS79*(1+Flags!$D$31)^(1/12)-CT83,CS79-CT83),CT78-CT83)</f>
        <v>5740740.7407407518</v>
      </c>
      <c r="CU79" s="490">
        <f>IF(CU78=0,IF($E76="USD",CT79*(1+Flags!$D$31)^(1/12)-CU83,CT79-CU83),CU78-CU83)</f>
        <v>5555555.5555555671</v>
      </c>
      <c r="CV79" s="490">
        <f>IF(CV78=0,IF($E76="USD",CU79*(1+Flags!$D$31)^(1/12)-CV83,CU79-CV83),CV78-CV83)</f>
        <v>5370370.3703703824</v>
      </c>
      <c r="CW79" s="490">
        <f>IF(CW78=0,IF($E76="USD",CV79*(1+Flags!$D$31)^(1/12)-CW83,CV79-CW83),CW78-CW83)</f>
        <v>5185185.1851851977</v>
      </c>
      <c r="CX79" s="490">
        <f>IF(CX78=0,IF($E76="USD",CW79*(1+Flags!$D$31)^(1/12)-CX83,CW79-CX83),CX78-CX83)</f>
        <v>5000000.000000013</v>
      </c>
      <c r="CY79" s="490">
        <f>IF(CY78=0,IF($E76="USD",CX79*(1+Flags!$D$31)^(1/12)-CY83,CX79-CY83),CY78-CY83)</f>
        <v>4814814.8148148283</v>
      </c>
      <c r="CZ79" s="490">
        <f>IF(CZ78=0,IF($E76="USD",CY79*(1+Flags!$D$31)^(1/12)-CZ83,CY79-CZ83),CZ78-CZ83)</f>
        <v>4629629.6296296436</v>
      </c>
      <c r="DA79" s="490">
        <f>IF(DA78=0,IF($E76="USD",CZ79*(1+Flags!$D$31)^(1/12)-DA83,CZ79-DA83),DA78-DA83)</f>
        <v>4444444.4444444589</v>
      </c>
      <c r="DB79" s="490">
        <f>IF(DB78=0,IF($E76="USD",DA79*(1+Flags!$D$31)^(1/12)-DB83,DA79-DB83),DB78-DB83)</f>
        <v>4259259.2592592742</v>
      </c>
      <c r="DC79" s="490">
        <f>IF(DC78=0,IF($E76="USD",DB79*(1+Flags!$D$31)^(1/12)-DC83,DB79-DC83),DC78-DC83)</f>
        <v>4074074.0740740891</v>
      </c>
      <c r="DD79" s="490">
        <f>IF(DD78=0,IF($E76="USD",DC79*(1+Flags!$D$31)^(1/12)-DD83,DC79-DD83),DD78-DD83)</f>
        <v>3888888.8888889039</v>
      </c>
      <c r="DE79" s="490">
        <f>IF(DE78=0,IF($E76="USD",DD79*(1+Flags!$D$31)^(1/12)-DE83,DD79-DE83),DE78-DE83)</f>
        <v>3703703.7037037187</v>
      </c>
      <c r="DF79" s="490">
        <f>IF(DF78=0,IF($E76="USD",DE79*(1+Flags!$D$31)^(1/12)-DF83,DE79-DF83),DF78-DF83)</f>
        <v>3518518.5185185336</v>
      </c>
      <c r="DG79" s="490">
        <f>IF(DG78=0,IF($E76="USD",DF79*(1+Flags!$D$31)^(1/12)-DG83,DF79-DG83),DG78-DG83)</f>
        <v>3333333.3333333484</v>
      </c>
      <c r="DH79" s="490">
        <f>IF(DH78=0,IF($E76="USD",DG79*(1+Flags!$D$31)^(1/12)-DH83,DG79-DH83),DH78-DH83)</f>
        <v>3148148.1481481632</v>
      </c>
      <c r="DI79" s="490">
        <f>IF(DI78=0,IF($E76="USD",DH79*(1+Flags!$D$31)^(1/12)-DI83,DH79-DI83),DI78-DI83)</f>
        <v>2962962.9629629781</v>
      </c>
      <c r="DJ79" s="490">
        <f>IF(DJ78=0,IF($E76="USD",DI79*(1+Flags!$D$31)^(1/12)-DJ83,DI79-DJ83),DJ78-DJ83)</f>
        <v>2777777.7777777929</v>
      </c>
      <c r="DK79" s="490">
        <f>IF(DK78=0,IF($E76="USD",DJ79*(1+Flags!$D$31)^(1/12)-DK83,DJ79-DK83),DK78-DK83)</f>
        <v>2592592.5925926077</v>
      </c>
      <c r="DL79" s="490">
        <f>IF(DL78=0,IF($E76="USD",DK79*(1+Flags!$D$31)^(1/12)-DL83,DK79-DL83),DL78-DL83)</f>
        <v>2407407.4074074226</v>
      </c>
      <c r="DM79" s="490">
        <f>IF(DM78=0,IF($E76="USD",DL79*(1+Flags!$D$31)^(1/12)-DM83,DL79-DM83),DM78-DM83)</f>
        <v>2222222.2222222374</v>
      </c>
      <c r="DN79" s="490">
        <f>IF(DN78=0,IF($E76="USD",DM79*(1+Flags!$D$31)^(1/12)-DN83,DM79-DN83),DN78-DN83)</f>
        <v>2037037.0370370522</v>
      </c>
      <c r="DO79" s="490">
        <f>IF(DO78=0,IF($E76="USD",DN79*(1+Flags!$D$31)^(1/12)-DO83,DN79-DO83),DO78-DO83)</f>
        <v>1851851.851851867</v>
      </c>
      <c r="DP79" s="490">
        <f>IF(DP78=0,IF($E76="USD",DO79*(1+Flags!$D$31)^(1/12)-DP83,DO79-DP83),DP78-DP83)</f>
        <v>1666666.6666666819</v>
      </c>
      <c r="DQ79" s="490">
        <f>IF(DQ78=0,IF($E76="USD",DP79*(1+Flags!$D$31)^(1/12)-DQ83,DP79-DQ83),DQ78-DQ83)</f>
        <v>1481481.4814814967</v>
      </c>
      <c r="DR79" s="490">
        <f>IF(DR78=0,IF($E76="USD",DQ79*(1+Flags!$D$31)^(1/12)-DR83,DQ79-DR83),DR78-DR83)</f>
        <v>1296296.2962963115</v>
      </c>
      <c r="DS79" s="490">
        <f>IF(DS78=0,IF($E76="USD",DR79*(1+Flags!$D$31)^(1/12)-DS83,DR79-DS83),DS78-DS83)</f>
        <v>1111111.1111111264</v>
      </c>
      <c r="DT79" s="490">
        <f>IF(DT78=0,IF($E76="USD",DS79*(1+Flags!$D$31)^(1/12)-DT83,DS79-DT83),DT78-DT83)</f>
        <v>925925.92592594121</v>
      </c>
      <c r="DU79" s="490">
        <f>IF(DU78=0,IF($E76="USD",DT79*(1+Flags!$D$31)^(1/12)-DU83,DT79-DU83),DU78-DU83)</f>
        <v>740740.74074075604</v>
      </c>
      <c r="DV79" s="490">
        <f>IF(DV78=0,IF($E76="USD",DU79*(1+Flags!$D$31)^(1/12)-DV83,DU79-DV83),DV78-DV83)</f>
        <v>555555.55555557087</v>
      </c>
      <c r="DW79" s="490">
        <f>IF(DW78=0,IF($E76="USD",DV79*(1+Flags!$D$31)^(1/12)-DW83,DV79-DW83),DW78-DW83)</f>
        <v>370370.3703703857</v>
      </c>
      <c r="DX79" s="490">
        <f>IF(DX78=0,IF($E76="USD",DW79*(1+Flags!$D$31)^(1/12)-DX83,DW79-DX83),DX78-DX83)</f>
        <v>185185.18518520053</v>
      </c>
      <c r="DY79" s="490">
        <f>IF(DY78=0,IF($E76="USD",DX79*(1+Flags!$D$31)^(1/12)-DY83,DX79-DY83),DY78-DY83)</f>
        <v>1.5366822481155396E-8</v>
      </c>
    </row>
    <row r="80" spans="2:129" s="43" customFormat="1">
      <c r="C80" s="43" t="s">
        <v>388</v>
      </c>
      <c r="E80" s="482">
        <f>+'Model Assumptions'!I138</f>
        <v>18518.518518518518</v>
      </c>
      <c r="F80" s="126"/>
      <c r="G80" s="126"/>
      <c r="H80" s="12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row>
    <row r="81" spans="2:129" s="43" customFormat="1">
      <c r="C81" s="43" t="s">
        <v>87</v>
      </c>
      <c r="E81" s="483">
        <f>+'Model Assumptions'!I139</f>
        <v>0.5</v>
      </c>
      <c r="F81" s="129"/>
      <c r="G81" s="129"/>
      <c r="H81" s="129"/>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row>
    <row r="82" spans="2:129" s="43" customFormat="1">
      <c r="C82" s="43" t="s">
        <v>395</v>
      </c>
      <c r="E82" s="484">
        <f>+'Model Assumptions'!I140</f>
        <v>5</v>
      </c>
      <c r="F82" s="130"/>
      <c r="G82" s="130"/>
      <c r="H82" s="130"/>
      <c r="J82" s="46">
        <f>+IF(AND(J$1&gt;=DATE(YEAR($E75), MONTH($E75) + $E81*12, DAY($E75)),J$1&lt;DATE(YEAR($E75), MONTH($E75) + $E82*12, DAY($E75))),$E80,0)</f>
        <v>0</v>
      </c>
      <c r="K82" s="46">
        <f t="shared" ref="K82:BV82" si="68">+IF(AND(K$1&gt;=DATE(YEAR($E75), MONTH($E75) + $E81*12, DAY($E75)),K$1&lt;DATE(YEAR($E75), MONTH($E75) + $E82*12, DAY($E75))),$E80,0)</f>
        <v>0</v>
      </c>
      <c r="L82" s="46">
        <f t="shared" si="68"/>
        <v>0</v>
      </c>
      <c r="M82" s="46">
        <f t="shared" si="68"/>
        <v>0</v>
      </c>
      <c r="N82" s="46">
        <f t="shared" si="68"/>
        <v>0</v>
      </c>
      <c r="O82" s="46">
        <f t="shared" si="68"/>
        <v>0</v>
      </c>
      <c r="P82" s="46">
        <f t="shared" si="68"/>
        <v>0</v>
      </c>
      <c r="Q82" s="46">
        <f t="shared" si="68"/>
        <v>0</v>
      </c>
      <c r="R82" s="46">
        <f t="shared" si="68"/>
        <v>0</v>
      </c>
      <c r="S82" s="46">
        <f t="shared" si="68"/>
        <v>0</v>
      </c>
      <c r="T82" s="46">
        <f t="shared" si="68"/>
        <v>0</v>
      </c>
      <c r="U82" s="46">
        <f t="shared" si="68"/>
        <v>0</v>
      </c>
      <c r="V82" s="46">
        <f t="shared" si="68"/>
        <v>0</v>
      </c>
      <c r="W82" s="46">
        <f t="shared" si="68"/>
        <v>0</v>
      </c>
      <c r="X82" s="46">
        <f t="shared" si="68"/>
        <v>0</v>
      </c>
      <c r="Y82" s="46">
        <f t="shared" si="68"/>
        <v>0</v>
      </c>
      <c r="Z82" s="46">
        <f t="shared" si="68"/>
        <v>0</v>
      </c>
      <c r="AA82" s="46">
        <f t="shared" si="68"/>
        <v>0</v>
      </c>
      <c r="AB82" s="46">
        <f t="shared" si="68"/>
        <v>0</v>
      </c>
      <c r="AC82" s="46">
        <f t="shared" si="68"/>
        <v>0</v>
      </c>
      <c r="AD82" s="46">
        <f t="shared" si="68"/>
        <v>0</v>
      </c>
      <c r="AE82" s="46">
        <f t="shared" si="68"/>
        <v>0</v>
      </c>
      <c r="AF82" s="46">
        <f t="shared" si="68"/>
        <v>0</v>
      </c>
      <c r="AG82" s="46">
        <f t="shared" si="68"/>
        <v>0</v>
      </c>
      <c r="AH82" s="46">
        <f t="shared" si="68"/>
        <v>0</v>
      </c>
      <c r="AI82" s="46">
        <f t="shared" si="68"/>
        <v>0</v>
      </c>
      <c r="AJ82" s="46">
        <f t="shared" si="68"/>
        <v>0</v>
      </c>
      <c r="AK82" s="46">
        <f t="shared" si="68"/>
        <v>0</v>
      </c>
      <c r="AL82" s="46">
        <f t="shared" si="68"/>
        <v>0</v>
      </c>
      <c r="AM82" s="46">
        <f t="shared" si="68"/>
        <v>0</v>
      </c>
      <c r="AN82" s="46">
        <f t="shared" si="68"/>
        <v>0</v>
      </c>
      <c r="AO82" s="46">
        <f t="shared" si="68"/>
        <v>0</v>
      </c>
      <c r="AP82" s="46">
        <f t="shared" si="68"/>
        <v>0</v>
      </c>
      <c r="AQ82" s="46">
        <f t="shared" si="68"/>
        <v>0</v>
      </c>
      <c r="AR82" s="46">
        <f t="shared" si="68"/>
        <v>0</v>
      </c>
      <c r="AS82" s="46">
        <f t="shared" si="68"/>
        <v>0</v>
      </c>
      <c r="AT82" s="46">
        <f t="shared" si="68"/>
        <v>0</v>
      </c>
      <c r="AU82" s="46">
        <f t="shared" si="68"/>
        <v>0</v>
      </c>
      <c r="AV82" s="46">
        <f t="shared" si="68"/>
        <v>0</v>
      </c>
      <c r="AW82" s="46">
        <f t="shared" si="68"/>
        <v>0</v>
      </c>
      <c r="AX82" s="46">
        <f t="shared" si="68"/>
        <v>0</v>
      </c>
      <c r="AY82" s="46">
        <f t="shared" si="68"/>
        <v>0</v>
      </c>
      <c r="AZ82" s="46">
        <f t="shared" si="68"/>
        <v>0</v>
      </c>
      <c r="BA82" s="46">
        <f t="shared" si="68"/>
        <v>0</v>
      </c>
      <c r="BB82" s="46">
        <f t="shared" si="68"/>
        <v>0</v>
      </c>
      <c r="BC82" s="46">
        <f t="shared" si="68"/>
        <v>0</v>
      </c>
      <c r="BD82" s="46">
        <f t="shared" si="68"/>
        <v>0</v>
      </c>
      <c r="BE82" s="46">
        <f t="shared" si="68"/>
        <v>0</v>
      </c>
      <c r="BF82" s="46">
        <f t="shared" si="68"/>
        <v>0</v>
      </c>
      <c r="BG82" s="46">
        <f t="shared" si="68"/>
        <v>0</v>
      </c>
      <c r="BH82" s="46">
        <f t="shared" si="68"/>
        <v>0</v>
      </c>
      <c r="BI82" s="46">
        <f t="shared" si="68"/>
        <v>0</v>
      </c>
      <c r="BJ82" s="46">
        <f t="shared" si="68"/>
        <v>0</v>
      </c>
      <c r="BK82" s="46">
        <f t="shared" si="68"/>
        <v>0</v>
      </c>
      <c r="BL82" s="46">
        <f t="shared" si="68"/>
        <v>0</v>
      </c>
      <c r="BM82" s="46">
        <f t="shared" si="68"/>
        <v>0</v>
      </c>
      <c r="BN82" s="46">
        <f t="shared" si="68"/>
        <v>0</v>
      </c>
      <c r="BO82" s="46">
        <f t="shared" si="68"/>
        <v>0</v>
      </c>
      <c r="BP82" s="46">
        <f t="shared" si="68"/>
        <v>0</v>
      </c>
      <c r="BQ82" s="46">
        <f t="shared" si="68"/>
        <v>0</v>
      </c>
      <c r="BR82" s="46">
        <f t="shared" si="68"/>
        <v>0</v>
      </c>
      <c r="BS82" s="46">
        <f t="shared" si="68"/>
        <v>0</v>
      </c>
      <c r="BT82" s="46">
        <f t="shared" si="68"/>
        <v>0</v>
      </c>
      <c r="BU82" s="46">
        <f t="shared" si="68"/>
        <v>0</v>
      </c>
      <c r="BV82" s="46">
        <f t="shared" si="68"/>
        <v>0</v>
      </c>
      <c r="BW82" s="46">
        <f t="shared" ref="BW82:CC82" si="69">+IF(AND(BW$1&gt;=DATE(YEAR($E75), MONTH($E75) + $E81*12, DAY($E75)),BW$1&lt;DATE(YEAR($E75), MONTH($E75) + $E82*12, DAY($E75))),$E80,0)</f>
        <v>0</v>
      </c>
      <c r="BX82" s="46">
        <f t="shared" si="69"/>
        <v>18518.518518518518</v>
      </c>
      <c r="BY82" s="46">
        <f t="shared" si="69"/>
        <v>18518.518518518518</v>
      </c>
      <c r="BZ82" s="46">
        <f t="shared" si="69"/>
        <v>18518.518518518518</v>
      </c>
      <c r="CA82" s="46">
        <f t="shared" si="69"/>
        <v>18518.518518518518</v>
      </c>
      <c r="CB82" s="46">
        <f t="shared" si="69"/>
        <v>18518.518518518518</v>
      </c>
      <c r="CC82" s="46">
        <f t="shared" si="69"/>
        <v>18518.518518518518</v>
      </c>
      <c r="CD82" s="46">
        <f t="shared" ref="CD82:DY82" si="70">+IF(AND(CD$1&gt;=DATE(YEAR($E75), MONTH($E75) + $E81*12, DAY($E75)),CD$1&lt;DATE(YEAR($E75), MONTH($E75) + $E82*12, DAY($E75))),$E80,0)</f>
        <v>18518.518518518518</v>
      </c>
      <c r="CE82" s="46">
        <f t="shared" si="70"/>
        <v>18518.518518518518</v>
      </c>
      <c r="CF82" s="46">
        <f t="shared" si="70"/>
        <v>18518.518518518518</v>
      </c>
      <c r="CG82" s="46">
        <f t="shared" si="70"/>
        <v>18518.518518518518</v>
      </c>
      <c r="CH82" s="46">
        <f t="shared" si="70"/>
        <v>18518.518518518518</v>
      </c>
      <c r="CI82" s="46">
        <f t="shared" si="70"/>
        <v>18518.518518518518</v>
      </c>
      <c r="CJ82" s="46">
        <f t="shared" si="70"/>
        <v>18518.518518518518</v>
      </c>
      <c r="CK82" s="46">
        <f t="shared" si="70"/>
        <v>18518.518518518518</v>
      </c>
      <c r="CL82" s="46">
        <f t="shared" si="70"/>
        <v>18518.518518518518</v>
      </c>
      <c r="CM82" s="46">
        <f t="shared" si="70"/>
        <v>18518.518518518518</v>
      </c>
      <c r="CN82" s="46">
        <f t="shared" si="70"/>
        <v>18518.518518518518</v>
      </c>
      <c r="CO82" s="46">
        <f t="shared" si="70"/>
        <v>18518.518518518518</v>
      </c>
      <c r="CP82" s="46">
        <f t="shared" si="70"/>
        <v>18518.518518518518</v>
      </c>
      <c r="CQ82" s="46">
        <f t="shared" si="70"/>
        <v>18518.518518518518</v>
      </c>
      <c r="CR82" s="46">
        <f t="shared" si="70"/>
        <v>18518.518518518518</v>
      </c>
      <c r="CS82" s="46">
        <f t="shared" si="70"/>
        <v>18518.518518518518</v>
      </c>
      <c r="CT82" s="46">
        <f t="shared" si="70"/>
        <v>18518.518518518518</v>
      </c>
      <c r="CU82" s="46">
        <f t="shared" si="70"/>
        <v>18518.518518518518</v>
      </c>
      <c r="CV82" s="46">
        <f t="shared" si="70"/>
        <v>18518.518518518518</v>
      </c>
      <c r="CW82" s="46">
        <f t="shared" si="70"/>
        <v>18518.518518518518</v>
      </c>
      <c r="CX82" s="46">
        <f t="shared" si="70"/>
        <v>18518.518518518518</v>
      </c>
      <c r="CY82" s="46">
        <f t="shared" si="70"/>
        <v>18518.518518518518</v>
      </c>
      <c r="CZ82" s="46">
        <f t="shared" si="70"/>
        <v>18518.518518518518</v>
      </c>
      <c r="DA82" s="46">
        <f t="shared" si="70"/>
        <v>18518.518518518518</v>
      </c>
      <c r="DB82" s="46">
        <f t="shared" si="70"/>
        <v>18518.518518518518</v>
      </c>
      <c r="DC82" s="46">
        <f t="shared" si="70"/>
        <v>18518.518518518518</v>
      </c>
      <c r="DD82" s="46">
        <f t="shared" si="70"/>
        <v>18518.518518518518</v>
      </c>
      <c r="DE82" s="46">
        <f t="shared" si="70"/>
        <v>18518.518518518518</v>
      </c>
      <c r="DF82" s="46">
        <f t="shared" si="70"/>
        <v>18518.518518518518</v>
      </c>
      <c r="DG82" s="46">
        <f t="shared" si="70"/>
        <v>18518.518518518518</v>
      </c>
      <c r="DH82" s="46">
        <f t="shared" si="70"/>
        <v>18518.518518518518</v>
      </c>
      <c r="DI82" s="46">
        <f t="shared" si="70"/>
        <v>18518.518518518518</v>
      </c>
      <c r="DJ82" s="46">
        <f t="shared" si="70"/>
        <v>18518.518518518518</v>
      </c>
      <c r="DK82" s="46">
        <f t="shared" si="70"/>
        <v>18518.518518518518</v>
      </c>
      <c r="DL82" s="46">
        <f t="shared" si="70"/>
        <v>18518.518518518518</v>
      </c>
      <c r="DM82" s="46">
        <f t="shared" si="70"/>
        <v>18518.518518518518</v>
      </c>
      <c r="DN82" s="46">
        <f t="shared" si="70"/>
        <v>18518.518518518518</v>
      </c>
      <c r="DO82" s="46">
        <f t="shared" si="70"/>
        <v>18518.518518518518</v>
      </c>
      <c r="DP82" s="46">
        <f t="shared" si="70"/>
        <v>18518.518518518518</v>
      </c>
      <c r="DQ82" s="46">
        <f t="shared" si="70"/>
        <v>18518.518518518518</v>
      </c>
      <c r="DR82" s="46">
        <f t="shared" si="70"/>
        <v>18518.518518518518</v>
      </c>
      <c r="DS82" s="46">
        <f t="shared" si="70"/>
        <v>18518.518518518518</v>
      </c>
      <c r="DT82" s="46">
        <f t="shared" si="70"/>
        <v>18518.518518518518</v>
      </c>
      <c r="DU82" s="46">
        <f t="shared" si="70"/>
        <v>18518.518518518518</v>
      </c>
      <c r="DV82" s="46">
        <f t="shared" si="70"/>
        <v>18518.518518518518</v>
      </c>
      <c r="DW82" s="46">
        <f t="shared" si="70"/>
        <v>18518.518518518518</v>
      </c>
      <c r="DX82" s="46">
        <f t="shared" si="70"/>
        <v>18518.518518518518</v>
      </c>
      <c r="DY82" s="46">
        <f t="shared" si="70"/>
        <v>18518.518518518518</v>
      </c>
    </row>
    <row r="83" spans="2:129" s="43" customFormat="1">
      <c r="C83" s="43" t="s">
        <v>389</v>
      </c>
      <c r="E83" s="527"/>
      <c r="F83" s="130"/>
      <c r="G83" s="130"/>
      <c r="H83" s="130"/>
      <c r="J83" s="491">
        <f>IF($E76="LCY",J82*'Model Assumptions'!$I$135,Financing!J82*Flags!J$30)</f>
        <v>0</v>
      </c>
      <c r="K83" s="491">
        <f>IF($E76="LCY",K82*'Model Assumptions'!$I$135,Financing!K82*Flags!K$30)</f>
        <v>0</v>
      </c>
      <c r="L83" s="491">
        <f>IF($E76="LCY",L82*'Model Assumptions'!$I$135,Financing!L82*Flags!L$30)</f>
        <v>0</v>
      </c>
      <c r="M83" s="491">
        <f>IF($E76="LCY",M82*'Model Assumptions'!$I$135,Financing!M82*Flags!M$30)</f>
        <v>0</v>
      </c>
      <c r="N83" s="491">
        <f>IF($E76="LCY",N82*'Model Assumptions'!$I$135,Financing!N82*Flags!N$30)</f>
        <v>0</v>
      </c>
      <c r="O83" s="491">
        <f>IF($E76="LCY",O82*'Model Assumptions'!$I$135,Financing!O82*Flags!O$30)</f>
        <v>0</v>
      </c>
      <c r="P83" s="491">
        <f>IF($E76="LCY",P82*'Model Assumptions'!$I$135,Financing!P82*Flags!P$30)</f>
        <v>0</v>
      </c>
      <c r="Q83" s="491">
        <f>IF($E76="LCY",Q82*'Model Assumptions'!$I$135,Financing!Q82*Flags!Q$30)</f>
        <v>0</v>
      </c>
      <c r="R83" s="491">
        <f>IF($E76="LCY",R82*'Model Assumptions'!$I$135,Financing!R82*Flags!R$30)</f>
        <v>0</v>
      </c>
      <c r="S83" s="491">
        <f>IF($E76="LCY",S82*'Model Assumptions'!$I$135,Financing!S82*Flags!S$30)</f>
        <v>0</v>
      </c>
      <c r="T83" s="491">
        <f>IF($E76="LCY",T82*'Model Assumptions'!$I$135,Financing!T82*Flags!T$30)</f>
        <v>0</v>
      </c>
      <c r="U83" s="491">
        <f>IF($E76="LCY",U82*'Model Assumptions'!$I$135,Financing!U82*Flags!U$30)</f>
        <v>0</v>
      </c>
      <c r="V83" s="491">
        <f>IF($E76="LCY",V82*'Model Assumptions'!$I$135,Financing!V82*Flags!V$30)</f>
        <v>0</v>
      </c>
      <c r="W83" s="491">
        <f>IF($E76="LCY",W82*'Model Assumptions'!$I$135,Financing!W82*Flags!W$30)</f>
        <v>0</v>
      </c>
      <c r="X83" s="491">
        <f>IF($E76="LCY",X82*'Model Assumptions'!$I$135,Financing!X82*Flags!X$30)</f>
        <v>0</v>
      </c>
      <c r="Y83" s="491">
        <f>IF($E76="LCY",Y82*'Model Assumptions'!$I$135,Financing!Y82*Flags!Y$30)</f>
        <v>0</v>
      </c>
      <c r="Z83" s="491">
        <f>IF($E76="LCY",Z82*'Model Assumptions'!$I$135,Financing!Z82*Flags!Z$30)</f>
        <v>0</v>
      </c>
      <c r="AA83" s="491">
        <f>IF($E76="LCY",AA82*'Model Assumptions'!$I$135,Financing!AA82*Flags!AA$30)</f>
        <v>0</v>
      </c>
      <c r="AB83" s="491">
        <f>IF($E76="LCY",AB82*'Model Assumptions'!$I$135,Financing!AB82*Flags!AB$30)</f>
        <v>0</v>
      </c>
      <c r="AC83" s="491">
        <f>IF($E76="LCY",AC82*'Model Assumptions'!$I$135,Financing!AC82*Flags!AC$30)</f>
        <v>0</v>
      </c>
      <c r="AD83" s="491">
        <f>IF($E76="LCY",AD82*'Model Assumptions'!$I$135,Financing!AD82*Flags!AD$30)</f>
        <v>0</v>
      </c>
      <c r="AE83" s="491">
        <f>IF($E76="LCY",AE82*'Model Assumptions'!$I$135,Financing!AE82*Flags!AE$30)</f>
        <v>0</v>
      </c>
      <c r="AF83" s="491">
        <f>IF($E76="LCY",AF82*'Model Assumptions'!$I$135,Financing!AF82*Flags!AF$30)</f>
        <v>0</v>
      </c>
      <c r="AG83" s="491">
        <f>IF($E76="LCY",AG82*'Model Assumptions'!$I$135,Financing!AG82*Flags!AG$30)</f>
        <v>0</v>
      </c>
      <c r="AH83" s="491">
        <f>IF($E76="LCY",AH82*'Model Assumptions'!$I$135,Financing!AH82*Flags!AH$30)</f>
        <v>0</v>
      </c>
      <c r="AI83" s="491">
        <f>IF($E76="LCY",AI82*'Model Assumptions'!$I$135,Financing!AI82*Flags!AI$30)</f>
        <v>0</v>
      </c>
      <c r="AJ83" s="491">
        <f>IF($E76="LCY",AJ82*'Model Assumptions'!$I$135,Financing!AJ82*Flags!AJ$30)</f>
        <v>0</v>
      </c>
      <c r="AK83" s="491">
        <f>IF($E76="LCY",AK82*'Model Assumptions'!$I$135,Financing!AK82*Flags!AK$30)</f>
        <v>0</v>
      </c>
      <c r="AL83" s="491">
        <f>IF($E76="LCY",AL82*'Model Assumptions'!$I$135,Financing!AL82*Flags!AL$30)</f>
        <v>0</v>
      </c>
      <c r="AM83" s="491">
        <f>IF($E76="LCY",AM82*'Model Assumptions'!$I$135,Financing!AM82*Flags!AM$30)</f>
        <v>0</v>
      </c>
      <c r="AN83" s="491">
        <f>IF($E76="LCY",AN82*'Model Assumptions'!$I$135,Financing!AN82*Flags!AN$30)</f>
        <v>0</v>
      </c>
      <c r="AO83" s="491">
        <f>IF($E76="LCY",AO82*'Model Assumptions'!$I$135,Financing!AO82*Flags!AO$30)</f>
        <v>0</v>
      </c>
      <c r="AP83" s="491">
        <f>IF($E76="LCY",AP82*'Model Assumptions'!$I$135,Financing!AP82*Flags!AP$30)</f>
        <v>0</v>
      </c>
      <c r="AQ83" s="491">
        <f>IF($E76="LCY",AQ82*'Model Assumptions'!$I$135,Financing!AQ82*Flags!AQ$30)</f>
        <v>0</v>
      </c>
      <c r="AR83" s="491">
        <f>IF($E76="LCY",AR82*'Model Assumptions'!$I$135,Financing!AR82*Flags!AR$30)</f>
        <v>0</v>
      </c>
      <c r="AS83" s="491">
        <f>IF($E76="LCY",AS82*'Model Assumptions'!$I$135,Financing!AS82*Flags!AS$30)</f>
        <v>0</v>
      </c>
      <c r="AT83" s="491">
        <f>IF($E76="LCY",AT82*'Model Assumptions'!$I$135,Financing!AT82*Flags!AT$30)</f>
        <v>0</v>
      </c>
      <c r="AU83" s="491">
        <f>IF($E76="LCY",AU82*'Model Assumptions'!$I$135,Financing!AU82*Flags!AU$30)</f>
        <v>0</v>
      </c>
      <c r="AV83" s="491">
        <f>IF($E76="LCY",AV82*'Model Assumptions'!$I$135,Financing!AV82*Flags!AV$30)</f>
        <v>0</v>
      </c>
      <c r="AW83" s="491">
        <f>IF($E76="LCY",AW82*'Model Assumptions'!$I$135,Financing!AW82*Flags!AW$30)</f>
        <v>0</v>
      </c>
      <c r="AX83" s="491">
        <f>IF($E76="LCY",AX82*'Model Assumptions'!$I$135,Financing!AX82*Flags!AX$30)</f>
        <v>0</v>
      </c>
      <c r="AY83" s="491">
        <f>IF($E76="LCY",AY82*'Model Assumptions'!$I$135,Financing!AY82*Flags!AY$30)</f>
        <v>0</v>
      </c>
      <c r="AZ83" s="491">
        <f>IF($E76="LCY",AZ82*'Model Assumptions'!$I$135,Financing!AZ82*Flags!AZ$30)</f>
        <v>0</v>
      </c>
      <c r="BA83" s="491">
        <f>IF($E76="LCY",BA82*'Model Assumptions'!$I$135,Financing!BA82*Flags!BA$30)</f>
        <v>0</v>
      </c>
      <c r="BB83" s="491">
        <f>IF($E76="LCY",BB82*'Model Assumptions'!$I$135,Financing!BB82*Flags!BB$30)</f>
        <v>0</v>
      </c>
      <c r="BC83" s="491">
        <f>IF($E76="LCY",BC82*'Model Assumptions'!$I$135,Financing!BC82*Flags!BC$30)</f>
        <v>0</v>
      </c>
      <c r="BD83" s="491">
        <f>IF($E76="LCY",BD82*'Model Assumptions'!$I$135,Financing!BD82*Flags!BD$30)</f>
        <v>0</v>
      </c>
      <c r="BE83" s="491">
        <f>IF($E76="LCY",BE82*'Model Assumptions'!$I$135,Financing!BE82*Flags!BE$30)</f>
        <v>0</v>
      </c>
      <c r="BF83" s="491">
        <f>IF($E76="LCY",BF82*'Model Assumptions'!$I$135,Financing!BF82*Flags!BF$30)</f>
        <v>0</v>
      </c>
      <c r="BG83" s="491">
        <f>IF($E76="LCY",BG82*'Model Assumptions'!$I$135,Financing!BG82*Flags!BG$30)</f>
        <v>0</v>
      </c>
      <c r="BH83" s="491">
        <f>IF($E76="LCY",BH82*'Model Assumptions'!$I$135,Financing!BH82*Flags!BH$30)</f>
        <v>0</v>
      </c>
      <c r="BI83" s="491">
        <f>IF($E76="LCY",BI82*'Model Assumptions'!$I$135,Financing!BI82*Flags!BI$30)</f>
        <v>0</v>
      </c>
      <c r="BJ83" s="491">
        <f>IF($E76="LCY",BJ82*'Model Assumptions'!$I$135,Financing!BJ82*Flags!BJ$30)</f>
        <v>0</v>
      </c>
      <c r="BK83" s="491">
        <f>IF($E76="LCY",BK82*'Model Assumptions'!$I$135,Financing!BK82*Flags!BK$30)</f>
        <v>0</v>
      </c>
      <c r="BL83" s="491">
        <f>IF($E76="LCY",BL82*'Model Assumptions'!$I$135,Financing!BL82*Flags!BL$30)</f>
        <v>0</v>
      </c>
      <c r="BM83" s="491">
        <f>IF($E76="LCY",BM82*'Model Assumptions'!$I$135,Financing!BM82*Flags!BM$30)</f>
        <v>0</v>
      </c>
      <c r="BN83" s="491">
        <f>IF($E76="LCY",BN82*'Model Assumptions'!$I$135,Financing!BN82*Flags!BN$30)</f>
        <v>0</v>
      </c>
      <c r="BO83" s="491">
        <f>IF($E76="LCY",BO82*'Model Assumptions'!$I$135,Financing!BO82*Flags!BO$30)</f>
        <v>0</v>
      </c>
      <c r="BP83" s="491">
        <f>IF($E76="LCY",BP82*'Model Assumptions'!$I$135,Financing!BP82*Flags!BP$30)</f>
        <v>0</v>
      </c>
      <c r="BQ83" s="491">
        <f>IF($E76="LCY",BQ82*'Model Assumptions'!$I$135,Financing!BQ82*Flags!BQ$30)</f>
        <v>0</v>
      </c>
      <c r="BR83" s="491">
        <f>IF($E76="LCY",BR82*'Model Assumptions'!$I$135,Financing!BR82*Flags!BR$30)</f>
        <v>0</v>
      </c>
      <c r="BS83" s="491">
        <f>IF($E76="LCY",BS82*'Model Assumptions'!$I$135,Financing!BS82*Flags!BS$30)</f>
        <v>0</v>
      </c>
      <c r="BT83" s="491">
        <f>IF($E76="LCY",BT82*'Model Assumptions'!$I$135,Financing!BT82*Flags!BT$30)</f>
        <v>0</v>
      </c>
      <c r="BU83" s="491">
        <f>IF($E76="LCY",BU82*'Model Assumptions'!$I$135,Financing!BU82*Flags!BU$30)</f>
        <v>0</v>
      </c>
      <c r="BV83" s="491">
        <f>IF($E76="LCY",BV82*'Model Assumptions'!$I$135,Financing!BV82*Flags!BV$30)</f>
        <v>0</v>
      </c>
      <c r="BW83" s="491">
        <f>IF($E76="LCY",BW82*'Model Assumptions'!$I$135,Financing!BW82*Flags!BW$30)</f>
        <v>0</v>
      </c>
      <c r="BX83" s="491">
        <f>IF($E76="LCY",BX82*'Model Assumptions'!$I$135,Financing!BX82*Flags!BX$30)</f>
        <v>185185.18518518517</v>
      </c>
      <c r="BY83" s="491">
        <f>IF($E76="LCY",BY82*'Model Assumptions'!$I$135,Financing!BY82*Flags!BY$30)</f>
        <v>185185.18518518517</v>
      </c>
      <c r="BZ83" s="491">
        <f>IF($E76="LCY",BZ82*'Model Assumptions'!$I$135,Financing!BZ82*Flags!BZ$30)</f>
        <v>185185.18518518517</v>
      </c>
      <c r="CA83" s="491">
        <f>IF($E76="LCY",CA82*'Model Assumptions'!$I$135,Financing!CA82*Flags!CA$30)</f>
        <v>185185.18518518517</v>
      </c>
      <c r="CB83" s="491">
        <f>IF($E76="LCY",CB82*'Model Assumptions'!$I$135,Financing!CB82*Flags!CB$30)</f>
        <v>185185.18518518517</v>
      </c>
      <c r="CC83" s="491">
        <f>IF($E76="LCY",CC82*'Model Assumptions'!$I$135,Financing!CC82*Flags!CC$30)</f>
        <v>185185.18518518517</v>
      </c>
      <c r="CD83" s="491">
        <f>IF($E76="LCY",CD82*'Model Assumptions'!$I$135,Financing!CD82*Flags!CD$30)</f>
        <v>185185.18518518517</v>
      </c>
      <c r="CE83" s="491">
        <f>IF($E76="LCY",CE82*'Model Assumptions'!$I$135,Financing!CE82*Flags!CE$30)</f>
        <v>185185.18518518517</v>
      </c>
      <c r="CF83" s="491">
        <f>IF($E76="LCY",CF82*'Model Assumptions'!$I$135,Financing!CF82*Flags!CF$30)</f>
        <v>185185.18518518517</v>
      </c>
      <c r="CG83" s="491">
        <f>IF($E76="LCY",CG82*'Model Assumptions'!$I$135,Financing!CG82*Flags!CG$30)</f>
        <v>185185.18518518517</v>
      </c>
      <c r="CH83" s="491">
        <f>IF($E76="LCY",CH82*'Model Assumptions'!$I$135,Financing!CH82*Flags!CH$30)</f>
        <v>185185.18518518517</v>
      </c>
      <c r="CI83" s="491">
        <f>IF($E76="LCY",CI82*'Model Assumptions'!$I$135,Financing!CI82*Flags!CI$30)</f>
        <v>185185.18518518517</v>
      </c>
      <c r="CJ83" s="491">
        <f>IF($E76="LCY",CJ82*'Model Assumptions'!$I$135,Financing!CJ82*Flags!CJ$30)</f>
        <v>185185.18518518517</v>
      </c>
      <c r="CK83" s="491">
        <f>IF($E76="LCY",CK82*'Model Assumptions'!$I$135,Financing!CK82*Flags!CK$30)</f>
        <v>185185.18518518517</v>
      </c>
      <c r="CL83" s="491">
        <f>IF($E76="LCY",CL82*'Model Assumptions'!$I$135,Financing!CL82*Flags!CL$30)</f>
        <v>185185.18518518517</v>
      </c>
      <c r="CM83" s="491">
        <f>IF($E76="LCY",CM82*'Model Assumptions'!$I$135,Financing!CM82*Flags!CM$30)</f>
        <v>185185.18518518517</v>
      </c>
      <c r="CN83" s="491">
        <f>IF($E76="LCY",CN82*'Model Assumptions'!$I$135,Financing!CN82*Flags!CN$30)</f>
        <v>185185.18518518517</v>
      </c>
      <c r="CO83" s="491">
        <f>IF($E76="LCY",CO82*'Model Assumptions'!$I$135,Financing!CO82*Flags!CO$30)</f>
        <v>185185.18518518517</v>
      </c>
      <c r="CP83" s="491">
        <f>IF($E76="LCY",CP82*'Model Assumptions'!$I$135,Financing!CP82*Flags!CP$30)</f>
        <v>185185.18518518517</v>
      </c>
      <c r="CQ83" s="491">
        <f>IF($E76="LCY",CQ82*'Model Assumptions'!$I$135,Financing!CQ82*Flags!CQ$30)</f>
        <v>185185.18518518517</v>
      </c>
      <c r="CR83" s="491">
        <f>IF($E76="LCY",CR82*'Model Assumptions'!$I$135,Financing!CR82*Flags!CR$30)</f>
        <v>185185.18518518517</v>
      </c>
      <c r="CS83" s="491">
        <f>IF($E76="LCY",CS82*'Model Assumptions'!$I$135,Financing!CS82*Flags!CS$30)</f>
        <v>185185.18518518517</v>
      </c>
      <c r="CT83" s="491">
        <f>IF($E76="LCY",CT82*'Model Assumptions'!$I$135,Financing!CT82*Flags!CT$30)</f>
        <v>185185.18518518517</v>
      </c>
      <c r="CU83" s="491">
        <f>IF($E76="LCY",CU82*'Model Assumptions'!$I$135,Financing!CU82*Flags!CU$30)</f>
        <v>185185.18518518517</v>
      </c>
      <c r="CV83" s="491">
        <f>IF($E76="LCY",CV82*'Model Assumptions'!$I$135,Financing!CV82*Flags!CV$30)</f>
        <v>185185.18518518517</v>
      </c>
      <c r="CW83" s="491">
        <f>IF($E76="LCY",CW82*'Model Assumptions'!$I$135,Financing!CW82*Flags!CW$30)</f>
        <v>185185.18518518517</v>
      </c>
      <c r="CX83" s="491">
        <f>IF($E76="LCY",CX82*'Model Assumptions'!$I$135,Financing!CX82*Flags!CX$30)</f>
        <v>185185.18518518517</v>
      </c>
      <c r="CY83" s="491">
        <f>IF($E76="LCY",CY82*'Model Assumptions'!$I$135,Financing!CY82*Flags!CY$30)</f>
        <v>185185.18518518517</v>
      </c>
      <c r="CZ83" s="491">
        <f>IF($E76="LCY",CZ82*'Model Assumptions'!$I$135,Financing!CZ82*Flags!CZ$30)</f>
        <v>185185.18518518517</v>
      </c>
      <c r="DA83" s="491">
        <f>IF($E76="LCY",DA82*'Model Assumptions'!$I$135,Financing!DA82*Flags!DA$30)</f>
        <v>185185.18518518517</v>
      </c>
      <c r="DB83" s="491">
        <f>IF($E76="LCY",DB82*'Model Assumptions'!$I$135,Financing!DB82*Flags!DB$30)</f>
        <v>185185.18518518517</v>
      </c>
      <c r="DC83" s="491">
        <f>IF($E76="LCY",DC82*'Model Assumptions'!$I$135,Financing!DC82*Flags!DC$30)</f>
        <v>185185.18518518517</v>
      </c>
      <c r="DD83" s="491">
        <f>IF($E76="LCY",DD82*'Model Assumptions'!$I$135,Financing!DD82*Flags!DD$30)</f>
        <v>185185.18518518517</v>
      </c>
      <c r="DE83" s="491">
        <f>IF($E76="LCY",DE82*'Model Assumptions'!$I$135,Financing!DE82*Flags!DE$30)</f>
        <v>185185.18518518517</v>
      </c>
      <c r="DF83" s="491">
        <f>IF($E76="LCY",DF82*'Model Assumptions'!$I$135,Financing!DF82*Flags!DF$30)</f>
        <v>185185.18518518517</v>
      </c>
      <c r="DG83" s="491">
        <f>IF($E76="LCY",DG82*'Model Assumptions'!$I$135,Financing!DG82*Flags!DG$30)</f>
        <v>185185.18518518517</v>
      </c>
      <c r="DH83" s="491">
        <f>IF($E76="LCY",DH82*'Model Assumptions'!$I$135,Financing!DH82*Flags!DH$30)</f>
        <v>185185.18518518517</v>
      </c>
      <c r="DI83" s="491">
        <f>IF($E76="LCY",DI82*'Model Assumptions'!$I$135,Financing!DI82*Flags!DI$30)</f>
        <v>185185.18518518517</v>
      </c>
      <c r="DJ83" s="491">
        <f>IF($E76="LCY",DJ82*'Model Assumptions'!$I$135,Financing!DJ82*Flags!DJ$30)</f>
        <v>185185.18518518517</v>
      </c>
      <c r="DK83" s="491">
        <f>IF($E76="LCY",DK82*'Model Assumptions'!$I$135,Financing!DK82*Flags!DK$30)</f>
        <v>185185.18518518517</v>
      </c>
      <c r="DL83" s="491">
        <f>IF($E76="LCY",DL82*'Model Assumptions'!$I$135,Financing!DL82*Flags!DL$30)</f>
        <v>185185.18518518517</v>
      </c>
      <c r="DM83" s="491">
        <f>IF($E76="LCY",DM82*'Model Assumptions'!$I$135,Financing!DM82*Flags!DM$30)</f>
        <v>185185.18518518517</v>
      </c>
      <c r="DN83" s="491">
        <f>IF($E76="LCY",DN82*'Model Assumptions'!$I$135,Financing!DN82*Flags!DN$30)</f>
        <v>185185.18518518517</v>
      </c>
      <c r="DO83" s="491">
        <f>IF($E76="LCY",DO82*'Model Assumptions'!$I$135,Financing!DO82*Flags!DO$30)</f>
        <v>185185.18518518517</v>
      </c>
      <c r="DP83" s="491">
        <f>IF($E76="LCY",DP82*'Model Assumptions'!$I$135,Financing!DP82*Flags!DP$30)</f>
        <v>185185.18518518517</v>
      </c>
      <c r="DQ83" s="491">
        <f>IF($E76="LCY",DQ82*'Model Assumptions'!$I$135,Financing!DQ82*Flags!DQ$30)</f>
        <v>185185.18518518517</v>
      </c>
      <c r="DR83" s="491">
        <f>IF($E76="LCY",DR82*'Model Assumptions'!$I$135,Financing!DR82*Flags!DR$30)</f>
        <v>185185.18518518517</v>
      </c>
      <c r="DS83" s="491">
        <f>IF($E76="LCY",DS82*'Model Assumptions'!$I$135,Financing!DS82*Flags!DS$30)</f>
        <v>185185.18518518517</v>
      </c>
      <c r="DT83" s="491">
        <f>IF($E76="LCY",DT82*'Model Assumptions'!$I$135,Financing!DT82*Flags!DT$30)</f>
        <v>185185.18518518517</v>
      </c>
      <c r="DU83" s="491">
        <f>IF($E76="LCY",DU82*'Model Assumptions'!$I$135,Financing!DU82*Flags!DU$30)</f>
        <v>185185.18518518517</v>
      </c>
      <c r="DV83" s="491">
        <f>IF($E76="LCY",DV82*'Model Assumptions'!$I$135,Financing!DV82*Flags!DV$30)</f>
        <v>185185.18518518517</v>
      </c>
      <c r="DW83" s="491">
        <f>IF($E76="LCY",DW82*'Model Assumptions'!$I$135,Financing!DW82*Flags!DW$30)</f>
        <v>185185.18518518517</v>
      </c>
      <c r="DX83" s="491">
        <f>IF($E76="LCY",DX82*'Model Assumptions'!$I$135,Financing!DX82*Flags!DX$30)</f>
        <v>185185.18518518517</v>
      </c>
      <c r="DY83" s="491">
        <f>IF($E76="LCY",DY82*'Model Assumptions'!$I$135,Financing!DY82*Flags!DY$30)</f>
        <v>185185.18518518517</v>
      </c>
    </row>
    <row r="84" spans="2:129" s="43" customFormat="1">
      <c r="C84" s="43" t="s">
        <v>396</v>
      </c>
      <c r="E84" s="485">
        <f>+'Model Assumptions'!I141</f>
        <v>0.1</v>
      </c>
      <c r="F84" s="131"/>
      <c r="G84" s="131"/>
      <c r="H84" s="131"/>
      <c r="J84" s="251">
        <f>(SUM(J77:$J77)-SUM(J82:$J82))*$E84/12</f>
        <v>0</v>
      </c>
      <c r="K84" s="251">
        <f>(SUM($J77:K77)-SUM($J82:K82))*$E84/12</f>
        <v>0</v>
      </c>
      <c r="L84" s="251">
        <f>(SUM($J77:L77)-SUM($J82:L82))*$E84/12</f>
        <v>0</v>
      </c>
      <c r="M84" s="251">
        <f>(SUM($J77:M77)-SUM($J82:M82))*$E84/12</f>
        <v>0</v>
      </c>
      <c r="N84" s="251">
        <f>(SUM($J77:N77)-SUM($J82:N82))*$E84/12</f>
        <v>0</v>
      </c>
      <c r="O84" s="251">
        <f>(SUM($J77:O77)-SUM($J82:O82))*$E84/12</f>
        <v>0</v>
      </c>
      <c r="P84" s="251">
        <f>(SUM($J77:P77)-SUM($J82:P82))*$E84/12</f>
        <v>0</v>
      </c>
      <c r="Q84" s="251">
        <f>(SUM($J77:Q77)-SUM($J82:Q82))*$E84/12</f>
        <v>0</v>
      </c>
      <c r="R84" s="251">
        <f>(SUM($J77:R77)-SUM($J82:R82))*$E84/12</f>
        <v>0</v>
      </c>
      <c r="S84" s="251">
        <f>(SUM($J77:S77)-SUM($J82:S82))*$E84/12</f>
        <v>0</v>
      </c>
      <c r="T84" s="251">
        <f>(SUM($J77:T77)-SUM($J82:T82))*$E84/12</f>
        <v>0</v>
      </c>
      <c r="U84" s="251">
        <f>(SUM($J77:U77)-SUM($J82:U82))*$E84/12</f>
        <v>0</v>
      </c>
      <c r="V84" s="251">
        <f>(SUM($J77:V77)-SUM($J82:V82))*$E84/12</f>
        <v>0</v>
      </c>
      <c r="W84" s="251">
        <f>(SUM($J77:W77)-SUM($J82:W82))*$E84/12</f>
        <v>0</v>
      </c>
      <c r="X84" s="251">
        <f>(SUM($J77:X77)-SUM($J82:X82))*$E84/12</f>
        <v>0</v>
      </c>
      <c r="Y84" s="251">
        <f>(SUM($J77:Y77)-SUM($J82:Y82))*$E84/12</f>
        <v>0</v>
      </c>
      <c r="Z84" s="251">
        <f>(SUM($J77:Z77)-SUM($J82:Z82))*$E84/12</f>
        <v>0</v>
      </c>
      <c r="AA84" s="251">
        <f>(SUM($J77:AA77)-SUM($J82:AA82))*$E84/12</f>
        <v>0</v>
      </c>
      <c r="AB84" s="251">
        <f>(SUM($J77:AB77)-SUM($J82:AB82))*$E84/12</f>
        <v>0</v>
      </c>
      <c r="AC84" s="251">
        <f>(SUM($J77:AC77)-SUM($J82:AC82))*$E84/12</f>
        <v>0</v>
      </c>
      <c r="AD84" s="251">
        <f>(SUM($J77:AD77)-SUM($J82:AD82))*$E84/12</f>
        <v>0</v>
      </c>
      <c r="AE84" s="251">
        <f>(SUM($J77:AE77)-SUM($J82:AE82))*$E84/12</f>
        <v>0</v>
      </c>
      <c r="AF84" s="251">
        <f>(SUM($J77:AF77)-SUM($J82:AF82))*$E84/12</f>
        <v>0</v>
      </c>
      <c r="AG84" s="251">
        <f>(SUM($J77:AG77)-SUM($J82:AG82))*$E84/12</f>
        <v>0</v>
      </c>
      <c r="AH84" s="251">
        <f>(SUM($J77:AH77)-SUM($J82:AH82))*$E84/12</f>
        <v>0</v>
      </c>
      <c r="AI84" s="251">
        <f>(SUM($J77:AI77)-SUM($J82:AI82))*$E84/12</f>
        <v>0</v>
      </c>
      <c r="AJ84" s="251">
        <f>(SUM($J77:AJ77)-SUM($J82:AJ82))*$E84/12</f>
        <v>0</v>
      </c>
      <c r="AK84" s="251">
        <f>(SUM($J77:AK77)-SUM($J82:AK82))*$E84/12</f>
        <v>0</v>
      </c>
      <c r="AL84" s="251">
        <f>(SUM($J77:AL77)-SUM($J82:AL82))*$E84/12</f>
        <v>0</v>
      </c>
      <c r="AM84" s="251">
        <f>(SUM($J77:AM77)-SUM($J82:AM82))*$E84/12</f>
        <v>0</v>
      </c>
      <c r="AN84" s="251">
        <f>(SUM($J77:AN77)-SUM($J82:AN82))*$E84/12</f>
        <v>0</v>
      </c>
      <c r="AO84" s="251">
        <f>(SUM($J77:AO77)-SUM($J82:AO82))*$E84/12</f>
        <v>0</v>
      </c>
      <c r="AP84" s="251">
        <f>(SUM($J77:AP77)-SUM($J82:AP82))*$E84/12</f>
        <v>0</v>
      </c>
      <c r="AQ84" s="251">
        <f>(SUM($J77:AQ77)-SUM($J82:AQ82))*$E84/12</f>
        <v>0</v>
      </c>
      <c r="AR84" s="251">
        <f>(SUM($J77:AR77)-SUM($J82:AR82))*$E84/12</f>
        <v>0</v>
      </c>
      <c r="AS84" s="251">
        <f>(SUM($J77:AS77)-SUM($J82:AS82))*$E84/12</f>
        <v>0</v>
      </c>
      <c r="AT84" s="251">
        <f>(SUM($J77:AT77)-SUM($J82:AT82))*$E84/12</f>
        <v>0</v>
      </c>
      <c r="AU84" s="251">
        <f>(SUM($J77:AU77)-SUM($J82:AU82))*$E84/12</f>
        <v>0</v>
      </c>
      <c r="AV84" s="251">
        <f>(SUM($J77:AV77)-SUM($J82:AV82))*$E84/12</f>
        <v>0</v>
      </c>
      <c r="AW84" s="251">
        <f>(SUM($J77:AW77)-SUM($J82:AW82))*$E84/12</f>
        <v>0</v>
      </c>
      <c r="AX84" s="251">
        <f>(SUM($J77:AX77)-SUM($J82:AX82))*$E84/12</f>
        <v>0</v>
      </c>
      <c r="AY84" s="251">
        <f>(SUM($J77:AY77)-SUM($J82:AY82))*$E84/12</f>
        <v>0</v>
      </c>
      <c r="AZ84" s="251">
        <f>(SUM($J77:AZ77)-SUM($J82:AZ82))*$E84/12</f>
        <v>0</v>
      </c>
      <c r="BA84" s="251">
        <f>(SUM($J77:BA77)-SUM($J82:BA82))*$E84/12</f>
        <v>0</v>
      </c>
      <c r="BB84" s="251">
        <f>(SUM($J77:BB77)-SUM($J82:BB82))*$E84/12</f>
        <v>0</v>
      </c>
      <c r="BC84" s="251">
        <f>(SUM($J77:BC77)-SUM($J82:BC82))*$E84/12</f>
        <v>0</v>
      </c>
      <c r="BD84" s="251">
        <f>(SUM($J77:BD77)-SUM($J82:BD82))*$E84/12</f>
        <v>0</v>
      </c>
      <c r="BE84" s="251">
        <f>(SUM($J77:BE77)-SUM($J82:BE82))*$E84/12</f>
        <v>0</v>
      </c>
      <c r="BF84" s="251">
        <f>(SUM($J77:BF77)-SUM($J82:BF82))*$E84/12</f>
        <v>0</v>
      </c>
      <c r="BG84" s="251">
        <f>(SUM($J77:BG77)-SUM($J82:BG82))*$E84/12</f>
        <v>0</v>
      </c>
      <c r="BH84" s="251">
        <f>(SUM($J77:BH77)-SUM($J82:BH82))*$E84/12</f>
        <v>0</v>
      </c>
      <c r="BI84" s="251">
        <f>(SUM($J77:BI77)-SUM($J82:BI82))*$E84/12</f>
        <v>0</v>
      </c>
      <c r="BJ84" s="251">
        <f>(SUM($J77:BJ77)-SUM($J82:BJ82))*$E84/12</f>
        <v>0</v>
      </c>
      <c r="BK84" s="251">
        <f>(SUM($J77:BK77)-SUM($J82:BK82))*$E84/12</f>
        <v>0</v>
      </c>
      <c r="BL84" s="251">
        <f>(SUM($J77:BL77)-SUM($J82:BL82))*$E84/12</f>
        <v>0</v>
      </c>
      <c r="BM84" s="251">
        <f>(SUM($J77:BM77)-SUM($J82:BM82))*$E84/12</f>
        <v>0</v>
      </c>
      <c r="BN84" s="251">
        <f>(SUM($J77:BN77)-SUM($J82:BN82))*$E84/12</f>
        <v>0</v>
      </c>
      <c r="BO84" s="251">
        <f>(SUM($J77:BO77)-SUM($J82:BO82))*$E84/12</f>
        <v>0</v>
      </c>
      <c r="BP84" s="251">
        <f>(SUM($J77:BP77)-SUM($J82:BP82))*$E84/12</f>
        <v>0</v>
      </c>
      <c r="BQ84" s="251">
        <f>(SUM($J77:BQ77)-SUM($J82:BQ82))*$E84/12</f>
        <v>0</v>
      </c>
      <c r="BR84" s="251">
        <f>(SUM($J77:BR77)-SUM($J82:BR82))*$E84/12</f>
        <v>8333.3333333333339</v>
      </c>
      <c r="BS84" s="251">
        <f>(SUM($J77:BS77)-SUM($J82:BS82))*$E84/12</f>
        <v>8333.3333333333339</v>
      </c>
      <c r="BT84" s="251">
        <f>(SUM($J77:BT77)-SUM($J82:BT82))*$E84/12</f>
        <v>8333.3333333333339</v>
      </c>
      <c r="BU84" s="251">
        <f>(SUM($J77:BU77)-SUM($J82:BU82))*$E84/12</f>
        <v>8333.3333333333339</v>
      </c>
      <c r="BV84" s="251">
        <f>(SUM($J77:BV77)-SUM($J82:BV82))*$E84/12</f>
        <v>8333.3333333333339</v>
      </c>
      <c r="BW84" s="251">
        <f>(SUM($J77:BW77)-SUM($J82:BW82))*$E84/12</f>
        <v>8333.3333333333339</v>
      </c>
      <c r="BX84" s="251">
        <f>(SUM($J77:BX77)-SUM($J82:BX82))*$E84/12</f>
        <v>8179.0123456790125</v>
      </c>
      <c r="BY84" s="251">
        <f>(SUM($J77:BY77)-SUM($J82:BY82))*$E84/12</f>
        <v>8024.691358024691</v>
      </c>
      <c r="BZ84" s="251">
        <f>(SUM($J77:BZ77)-SUM($J82:BZ82))*$E84/12</f>
        <v>7870.3703703703713</v>
      </c>
      <c r="CA84" s="251">
        <f>(SUM($J77:CA77)-SUM($J82:CA82))*$E84/12</f>
        <v>7716.0493827160499</v>
      </c>
      <c r="CB84" s="251">
        <f>(SUM($J77:CB77)-SUM($J82:CB82))*$E84/12</f>
        <v>7561.7283950617284</v>
      </c>
      <c r="CC84" s="251">
        <f>(SUM($J77:CC77)-SUM($J82:CC82))*$E84/12</f>
        <v>7407.4074074074078</v>
      </c>
      <c r="CD84" s="251">
        <f>(SUM($J77:CD77)-SUM($J82:CD82))*$E84/12</f>
        <v>7253.0864197530864</v>
      </c>
      <c r="CE84" s="251">
        <f>(SUM($J77:CE77)-SUM($J82:CE82))*$E84/12</f>
        <v>7098.7654320987667</v>
      </c>
      <c r="CF84" s="251">
        <f>(SUM($J77:CF77)-SUM($J82:CF82))*$E84/12</f>
        <v>6944.4444444444453</v>
      </c>
      <c r="CG84" s="251">
        <f>(SUM($J77:CG77)-SUM($J82:CG82))*$E84/12</f>
        <v>6790.1234567901238</v>
      </c>
      <c r="CH84" s="251">
        <f>(SUM($J77:CH77)-SUM($J82:CH82))*$E84/12</f>
        <v>6635.8024691358041</v>
      </c>
      <c r="CI84" s="251">
        <f>(SUM($J77:CI77)-SUM($J82:CI82))*$E84/12</f>
        <v>6481.4814814814827</v>
      </c>
      <c r="CJ84" s="251">
        <f>(SUM($J77:CJ77)-SUM($J82:CJ82))*$E84/12</f>
        <v>6327.1604938271621</v>
      </c>
      <c r="CK84" s="251">
        <f>(SUM($J77:CK77)-SUM($J82:CK82))*$E84/12</f>
        <v>6172.8395061728406</v>
      </c>
      <c r="CL84" s="251">
        <f>(SUM($J77:CL77)-SUM($J82:CL82))*$E84/12</f>
        <v>6018.5185185185192</v>
      </c>
      <c r="CM84" s="251">
        <f>(SUM($J77:CM77)-SUM($J82:CM82))*$E84/12</f>
        <v>5864.1975308641986</v>
      </c>
      <c r="CN84" s="251">
        <f>(SUM($J77:CN77)-SUM($J82:CN82))*$E84/12</f>
        <v>5709.8765432098771</v>
      </c>
      <c r="CO84" s="251">
        <f>(SUM($J77:CO77)-SUM($J82:CO82))*$E84/12</f>
        <v>5555.5555555555557</v>
      </c>
      <c r="CP84" s="251">
        <f>(SUM($J77:CP77)-SUM($J82:CP82))*$E84/12</f>
        <v>5401.2345679012342</v>
      </c>
      <c r="CQ84" s="251">
        <f>(SUM($J77:CQ77)-SUM($J82:CQ82))*$E84/12</f>
        <v>5246.9135802469145</v>
      </c>
      <c r="CR84" s="251">
        <f>(SUM($J77:CR77)-SUM($J82:CR82))*$E84/12</f>
        <v>5092.5925925925922</v>
      </c>
      <c r="CS84" s="251">
        <f>(SUM($J77:CS77)-SUM($J82:CS82))*$E84/12</f>
        <v>4938.2716049382716</v>
      </c>
      <c r="CT84" s="251">
        <f>(SUM($J77:CT77)-SUM($J82:CT82))*$E84/12</f>
        <v>4783.9506172839492</v>
      </c>
      <c r="CU84" s="251">
        <f>(SUM($J77:CU77)-SUM($J82:CU82))*$E84/12</f>
        <v>4629.6296296296296</v>
      </c>
      <c r="CV84" s="251">
        <f>(SUM($J77:CV77)-SUM($J82:CV82))*$E84/12</f>
        <v>4475.3086419753072</v>
      </c>
      <c r="CW84" s="251">
        <f>(SUM($J77:CW77)-SUM($J82:CW82))*$E84/12</f>
        <v>4320.9876543209866</v>
      </c>
      <c r="CX84" s="251">
        <f>(SUM($J77:CX77)-SUM($J82:CX82))*$E84/12</f>
        <v>4166.6666666666652</v>
      </c>
      <c r="CY84" s="251">
        <f>(SUM($J77:CY77)-SUM($J82:CY82))*$E84/12</f>
        <v>4012.3456790123441</v>
      </c>
      <c r="CZ84" s="251">
        <f>(SUM($J77:CZ77)-SUM($J82:CZ82))*$E84/12</f>
        <v>3858.0246913580236</v>
      </c>
      <c r="DA84" s="251">
        <f>(SUM($J77:DA77)-SUM($J82:DA82))*$E84/12</f>
        <v>3703.7037037037026</v>
      </c>
      <c r="DB84" s="251">
        <f>(SUM($J77:DB77)-SUM($J82:DB82))*$E84/12</f>
        <v>3549.3827160493815</v>
      </c>
      <c r="DC84" s="251">
        <f>(SUM($J77:DC77)-SUM($J82:DC82))*$E84/12</f>
        <v>3395.0617283950601</v>
      </c>
      <c r="DD84" s="251">
        <f>(SUM($J77:DD77)-SUM($J82:DD82))*$E84/12</f>
        <v>3240.7407407407391</v>
      </c>
      <c r="DE84" s="251">
        <f>(SUM($J77:DE77)-SUM($J82:DE82))*$E84/12</f>
        <v>3086.419753086418</v>
      </c>
      <c r="DF84" s="251">
        <f>(SUM($J77:DF77)-SUM($J82:DF82))*$E84/12</f>
        <v>2932.0987654320966</v>
      </c>
      <c r="DG84" s="251">
        <f>(SUM($J77:DG77)-SUM($J82:DG82))*$E84/12</f>
        <v>2777.7777777777756</v>
      </c>
      <c r="DH84" s="251">
        <f>(SUM($J77:DH77)-SUM($J82:DH82))*$E84/12</f>
        <v>2623.4567901234541</v>
      </c>
      <c r="DI84" s="251">
        <f>(SUM($J77:DI77)-SUM($J82:DI82))*$E84/12</f>
        <v>2469.1358024691331</v>
      </c>
      <c r="DJ84" s="251">
        <f>(SUM($J77:DJ77)-SUM($J82:DJ82))*$E84/12</f>
        <v>2314.8148148148116</v>
      </c>
      <c r="DK84" s="251">
        <f>(SUM($J77:DK77)-SUM($J82:DK82))*$E84/12</f>
        <v>2160.4938271604906</v>
      </c>
      <c r="DL84" s="251">
        <f>(SUM($J77:DL77)-SUM($J82:DL82))*$E84/12</f>
        <v>2006.1728395061693</v>
      </c>
      <c r="DM84" s="251">
        <f>(SUM($J77:DM77)-SUM($J82:DM82))*$E84/12</f>
        <v>1851.8518518518483</v>
      </c>
      <c r="DN84" s="251">
        <f>(SUM($J77:DN77)-SUM($J82:DN82))*$E84/12</f>
        <v>1697.5308641975271</v>
      </c>
      <c r="DO84" s="251">
        <f>(SUM($J77:DO77)-SUM($J82:DO82))*$E84/12</f>
        <v>1543.2098765432058</v>
      </c>
      <c r="DP84" s="251">
        <f>(SUM($J77:DP77)-SUM($J82:DP82))*$E84/12</f>
        <v>1388.8888888888848</v>
      </c>
      <c r="DQ84" s="251">
        <f>(SUM($J77:DQ77)-SUM($J82:DQ82))*$E84/12</f>
        <v>1234.5679012345636</v>
      </c>
      <c r="DR84" s="251">
        <f>(SUM($J77:DR77)-SUM($J82:DR82))*$E84/12</f>
        <v>1080.2469135802423</v>
      </c>
      <c r="DS84" s="251">
        <f>(SUM($J77:DS77)-SUM($J82:DS82))*$E84/12</f>
        <v>925.92592592592121</v>
      </c>
      <c r="DT84" s="251">
        <f>(SUM($J77:DT77)-SUM($J82:DT82))*$E84/12</f>
        <v>771.60493827160008</v>
      </c>
      <c r="DU84" s="251">
        <f>(SUM($J77:DU77)-SUM($J82:DU82))*$E84/12</f>
        <v>617.28395061727895</v>
      </c>
      <c r="DV84" s="251">
        <f>(SUM($J77:DV77)-SUM($J82:DV82))*$E84/12</f>
        <v>462.96296296295776</v>
      </c>
      <c r="DW84" s="251">
        <f>(SUM($J77:DW77)-SUM($J82:DW82))*$E84/12</f>
        <v>308.64197530863652</v>
      </c>
      <c r="DX84" s="251">
        <f>(SUM($J77:DX77)-SUM($J82:DX82))*$E84/12</f>
        <v>154.32098765431536</v>
      </c>
      <c r="DY84" s="251">
        <f>(SUM($J77:DY77)-SUM($J82:DY82))*$E84/12</f>
        <v>-5.8207660913467419E-12</v>
      </c>
    </row>
    <row r="85" spans="2:129" s="43" customFormat="1">
      <c r="C85" s="43" t="s">
        <v>390</v>
      </c>
      <c r="E85" s="526"/>
      <c r="F85" s="131"/>
      <c r="G85" s="131"/>
      <c r="H85" s="131"/>
      <c r="J85" s="491">
        <f>J79*$E84/12</f>
        <v>0</v>
      </c>
      <c r="K85" s="491">
        <f t="shared" ref="K85:BV85" si="71">K79*$E84/12</f>
        <v>0</v>
      </c>
      <c r="L85" s="491">
        <f t="shared" si="71"/>
        <v>0</v>
      </c>
      <c r="M85" s="491">
        <f t="shared" si="71"/>
        <v>0</v>
      </c>
      <c r="N85" s="491">
        <f t="shared" si="71"/>
        <v>0</v>
      </c>
      <c r="O85" s="491">
        <f t="shared" si="71"/>
        <v>0</v>
      </c>
      <c r="P85" s="491">
        <f t="shared" si="71"/>
        <v>0</v>
      </c>
      <c r="Q85" s="491">
        <f t="shared" si="71"/>
        <v>0</v>
      </c>
      <c r="R85" s="491">
        <f t="shared" si="71"/>
        <v>0</v>
      </c>
      <c r="S85" s="491">
        <f t="shared" si="71"/>
        <v>0</v>
      </c>
      <c r="T85" s="491">
        <f t="shared" si="71"/>
        <v>0</v>
      </c>
      <c r="U85" s="491">
        <f t="shared" si="71"/>
        <v>0</v>
      </c>
      <c r="V85" s="491">
        <f t="shared" si="71"/>
        <v>0</v>
      </c>
      <c r="W85" s="491">
        <f t="shared" si="71"/>
        <v>0</v>
      </c>
      <c r="X85" s="491">
        <f t="shared" si="71"/>
        <v>0</v>
      </c>
      <c r="Y85" s="491">
        <f t="shared" si="71"/>
        <v>0</v>
      </c>
      <c r="Z85" s="491">
        <f t="shared" si="71"/>
        <v>0</v>
      </c>
      <c r="AA85" s="491">
        <f t="shared" si="71"/>
        <v>0</v>
      </c>
      <c r="AB85" s="491">
        <f t="shared" si="71"/>
        <v>0</v>
      </c>
      <c r="AC85" s="491">
        <f t="shared" si="71"/>
        <v>0</v>
      </c>
      <c r="AD85" s="491">
        <f t="shared" si="71"/>
        <v>0</v>
      </c>
      <c r="AE85" s="491">
        <f t="shared" si="71"/>
        <v>0</v>
      </c>
      <c r="AF85" s="491">
        <f t="shared" si="71"/>
        <v>0</v>
      </c>
      <c r="AG85" s="491">
        <f t="shared" si="71"/>
        <v>0</v>
      </c>
      <c r="AH85" s="491">
        <f t="shared" si="71"/>
        <v>0</v>
      </c>
      <c r="AI85" s="491">
        <f t="shared" si="71"/>
        <v>0</v>
      </c>
      <c r="AJ85" s="491">
        <f t="shared" si="71"/>
        <v>0</v>
      </c>
      <c r="AK85" s="491">
        <f t="shared" si="71"/>
        <v>0</v>
      </c>
      <c r="AL85" s="491">
        <f t="shared" si="71"/>
        <v>0</v>
      </c>
      <c r="AM85" s="491">
        <f t="shared" si="71"/>
        <v>0</v>
      </c>
      <c r="AN85" s="491">
        <f t="shared" si="71"/>
        <v>0</v>
      </c>
      <c r="AO85" s="491">
        <f t="shared" si="71"/>
        <v>0</v>
      </c>
      <c r="AP85" s="491">
        <f t="shared" si="71"/>
        <v>0</v>
      </c>
      <c r="AQ85" s="491">
        <f t="shared" si="71"/>
        <v>0</v>
      </c>
      <c r="AR85" s="491">
        <f t="shared" si="71"/>
        <v>0</v>
      </c>
      <c r="AS85" s="491">
        <f t="shared" si="71"/>
        <v>0</v>
      </c>
      <c r="AT85" s="491">
        <f t="shared" si="71"/>
        <v>0</v>
      </c>
      <c r="AU85" s="491">
        <f t="shared" si="71"/>
        <v>0</v>
      </c>
      <c r="AV85" s="491">
        <f t="shared" si="71"/>
        <v>0</v>
      </c>
      <c r="AW85" s="491">
        <f t="shared" si="71"/>
        <v>0</v>
      </c>
      <c r="AX85" s="491">
        <f t="shared" si="71"/>
        <v>0</v>
      </c>
      <c r="AY85" s="491">
        <f t="shared" si="71"/>
        <v>0</v>
      </c>
      <c r="AZ85" s="491">
        <f t="shared" si="71"/>
        <v>0</v>
      </c>
      <c r="BA85" s="491">
        <f t="shared" si="71"/>
        <v>0</v>
      </c>
      <c r="BB85" s="491">
        <f t="shared" si="71"/>
        <v>0</v>
      </c>
      <c r="BC85" s="491">
        <f t="shared" si="71"/>
        <v>0</v>
      </c>
      <c r="BD85" s="491">
        <f t="shared" si="71"/>
        <v>0</v>
      </c>
      <c r="BE85" s="491">
        <f t="shared" si="71"/>
        <v>0</v>
      </c>
      <c r="BF85" s="491">
        <f t="shared" si="71"/>
        <v>0</v>
      </c>
      <c r="BG85" s="491">
        <f t="shared" si="71"/>
        <v>0</v>
      </c>
      <c r="BH85" s="491">
        <f t="shared" si="71"/>
        <v>0</v>
      </c>
      <c r="BI85" s="491">
        <f t="shared" si="71"/>
        <v>0</v>
      </c>
      <c r="BJ85" s="491">
        <f t="shared" si="71"/>
        <v>0</v>
      </c>
      <c r="BK85" s="491">
        <f t="shared" si="71"/>
        <v>0</v>
      </c>
      <c r="BL85" s="491">
        <f t="shared" si="71"/>
        <v>0</v>
      </c>
      <c r="BM85" s="491">
        <f t="shared" si="71"/>
        <v>0</v>
      </c>
      <c r="BN85" s="491">
        <f t="shared" si="71"/>
        <v>0</v>
      </c>
      <c r="BO85" s="491">
        <f t="shared" si="71"/>
        <v>0</v>
      </c>
      <c r="BP85" s="491">
        <f t="shared" si="71"/>
        <v>0</v>
      </c>
      <c r="BQ85" s="491">
        <f t="shared" si="71"/>
        <v>0</v>
      </c>
      <c r="BR85" s="491">
        <f t="shared" si="71"/>
        <v>83333.333333333328</v>
      </c>
      <c r="BS85" s="491">
        <f t="shared" si="71"/>
        <v>83333.333333333328</v>
      </c>
      <c r="BT85" s="491">
        <f t="shared" si="71"/>
        <v>83333.333333333328</v>
      </c>
      <c r="BU85" s="491">
        <f t="shared" si="71"/>
        <v>83333.333333333328</v>
      </c>
      <c r="BV85" s="491">
        <f t="shared" si="71"/>
        <v>83333.333333333328</v>
      </c>
      <c r="BW85" s="491">
        <f t="shared" ref="BW85:CC85" si="72">BW79*$E84/12</f>
        <v>83333.333333333328</v>
      </c>
      <c r="BX85" s="491">
        <f t="shared" si="72"/>
        <v>81790.123456790127</v>
      </c>
      <c r="BY85" s="491">
        <f t="shared" si="72"/>
        <v>80246.913580246925</v>
      </c>
      <c r="BZ85" s="491">
        <f t="shared" si="72"/>
        <v>78703.703703703723</v>
      </c>
      <c r="CA85" s="491">
        <f t="shared" si="72"/>
        <v>77160.493827160521</v>
      </c>
      <c r="CB85" s="491">
        <f t="shared" si="72"/>
        <v>75617.283950617304</v>
      </c>
      <c r="CC85" s="491">
        <f t="shared" si="72"/>
        <v>74074.074074074102</v>
      </c>
      <c r="CD85" s="491">
        <f t="shared" ref="CD85:DY85" si="73">CD79*$E84/12</f>
        <v>72530.8641975309</v>
      </c>
      <c r="CE85" s="491">
        <f t="shared" si="73"/>
        <v>70987.654320987684</v>
      </c>
      <c r="CF85" s="491">
        <f t="shared" si="73"/>
        <v>69444.444444444482</v>
      </c>
      <c r="CG85" s="491">
        <f t="shared" si="73"/>
        <v>67901.23456790128</v>
      </c>
      <c r="CH85" s="491">
        <f t="shared" si="73"/>
        <v>66358.024691358078</v>
      </c>
      <c r="CI85" s="491">
        <f t="shared" si="73"/>
        <v>64814.814814814868</v>
      </c>
      <c r="CJ85" s="491">
        <f t="shared" si="73"/>
        <v>63271.604938271659</v>
      </c>
      <c r="CK85" s="491">
        <f t="shared" si="73"/>
        <v>61728.395061728457</v>
      </c>
      <c r="CL85" s="491">
        <f t="shared" si="73"/>
        <v>60185.185185185248</v>
      </c>
      <c r="CM85" s="491">
        <f t="shared" si="73"/>
        <v>58641.975308642046</v>
      </c>
      <c r="CN85" s="491">
        <f t="shared" si="73"/>
        <v>57098.765432098844</v>
      </c>
      <c r="CO85" s="491">
        <f t="shared" si="73"/>
        <v>55555.555555555628</v>
      </c>
      <c r="CP85" s="491">
        <f t="shared" si="73"/>
        <v>54012.345679012426</v>
      </c>
      <c r="CQ85" s="491">
        <f t="shared" si="73"/>
        <v>52469.135802469216</v>
      </c>
      <c r="CR85" s="491">
        <f t="shared" si="73"/>
        <v>50925.925925926014</v>
      </c>
      <c r="CS85" s="491">
        <f t="shared" si="73"/>
        <v>49382.716049382805</v>
      </c>
      <c r="CT85" s="491">
        <f t="shared" si="73"/>
        <v>47839.506172839603</v>
      </c>
      <c r="CU85" s="491">
        <f t="shared" si="73"/>
        <v>46296.296296296401</v>
      </c>
      <c r="CV85" s="491">
        <f t="shared" si="73"/>
        <v>44753.086419753185</v>
      </c>
      <c r="CW85" s="491">
        <f t="shared" si="73"/>
        <v>43209.876543209983</v>
      </c>
      <c r="CX85" s="491">
        <f t="shared" si="73"/>
        <v>41666.666666666781</v>
      </c>
      <c r="CY85" s="491">
        <f t="shared" si="73"/>
        <v>40123.456790123571</v>
      </c>
      <c r="CZ85" s="491">
        <f t="shared" si="73"/>
        <v>38580.246913580362</v>
      </c>
      <c r="DA85" s="491">
        <f t="shared" si="73"/>
        <v>37037.03703703716</v>
      </c>
      <c r="DB85" s="491">
        <f t="shared" si="73"/>
        <v>35493.827160493958</v>
      </c>
      <c r="DC85" s="491">
        <f t="shared" si="73"/>
        <v>33950.617283950742</v>
      </c>
      <c r="DD85" s="491">
        <f t="shared" si="73"/>
        <v>32407.407407407532</v>
      </c>
      <c r="DE85" s="491">
        <f t="shared" si="73"/>
        <v>30864.197530864327</v>
      </c>
      <c r="DF85" s="491">
        <f t="shared" si="73"/>
        <v>29320.987654321114</v>
      </c>
      <c r="DG85" s="491">
        <f t="shared" si="73"/>
        <v>27777.777777777908</v>
      </c>
      <c r="DH85" s="491">
        <f t="shared" si="73"/>
        <v>26234.567901234695</v>
      </c>
      <c r="DI85" s="491">
        <f t="shared" si="73"/>
        <v>24691.358024691483</v>
      </c>
      <c r="DJ85" s="491">
        <f t="shared" si="73"/>
        <v>23148.148148148277</v>
      </c>
      <c r="DK85" s="491">
        <f t="shared" si="73"/>
        <v>21604.938271605064</v>
      </c>
      <c r="DL85" s="491">
        <f t="shared" si="73"/>
        <v>20061.728395061855</v>
      </c>
      <c r="DM85" s="491">
        <f t="shared" si="73"/>
        <v>18518.518518518646</v>
      </c>
      <c r="DN85" s="491">
        <f t="shared" si="73"/>
        <v>16975.308641975436</v>
      </c>
      <c r="DO85" s="491">
        <f t="shared" si="73"/>
        <v>15432.098765432225</v>
      </c>
      <c r="DP85" s="491">
        <f t="shared" si="73"/>
        <v>13888.888888889016</v>
      </c>
      <c r="DQ85" s="491">
        <f t="shared" si="73"/>
        <v>12345.679012345807</v>
      </c>
      <c r="DR85" s="491">
        <f t="shared" si="73"/>
        <v>10802.469135802598</v>
      </c>
      <c r="DS85" s="491">
        <f t="shared" si="73"/>
        <v>9259.2592592593865</v>
      </c>
      <c r="DT85" s="491">
        <f t="shared" si="73"/>
        <v>7716.0493827161772</v>
      </c>
      <c r="DU85" s="491">
        <f t="shared" si="73"/>
        <v>6172.839506172967</v>
      </c>
      <c r="DV85" s="491">
        <f t="shared" si="73"/>
        <v>4629.6296296297578</v>
      </c>
      <c r="DW85" s="491">
        <f t="shared" si="73"/>
        <v>3086.4197530865476</v>
      </c>
      <c r="DX85" s="491">
        <f t="shared" si="73"/>
        <v>1543.2098765433377</v>
      </c>
      <c r="DY85" s="491">
        <f t="shared" si="73"/>
        <v>1.2805685400962831E-10</v>
      </c>
    </row>
    <row r="86" spans="2:129" s="43" customFormat="1">
      <c r="C86" s="43" t="s">
        <v>392</v>
      </c>
      <c r="E86" s="486"/>
      <c r="F86" s="127"/>
      <c r="G86" s="127"/>
      <c r="H86" s="127"/>
      <c r="J86" s="491">
        <f>IF($E76="USD",J79*(1-Flags!$K$29),0)</f>
        <v>0</v>
      </c>
      <c r="K86" s="491">
        <f>IF($E76="USD",K79*(1-Flags!$K$29),0)</f>
        <v>0</v>
      </c>
      <c r="L86" s="491">
        <f>IF($E76="USD",L79*(1-Flags!$K$29),0)</f>
        <v>0</v>
      </c>
      <c r="M86" s="491">
        <f>IF($E76="USD",M79*(1-Flags!$K$29),0)</f>
        <v>0</v>
      </c>
      <c r="N86" s="491">
        <f>IF($E76="USD",N79*(1-Flags!$K$29),0)</f>
        <v>0</v>
      </c>
      <c r="O86" s="491">
        <f>IF($E76="USD",O79*(1-Flags!$K$29),0)</f>
        <v>0</v>
      </c>
      <c r="P86" s="491">
        <f>IF($E76="USD",P79*(1-Flags!$K$29),0)</f>
        <v>0</v>
      </c>
      <c r="Q86" s="491">
        <f>IF($E76="USD",Q79*(1-Flags!$K$29),0)</f>
        <v>0</v>
      </c>
      <c r="R86" s="491">
        <f>IF($E76="USD",R79*(1-Flags!$K$29),0)</f>
        <v>0</v>
      </c>
      <c r="S86" s="491">
        <f>IF($E76="USD",S79*(1-Flags!$K$29),0)</f>
        <v>0</v>
      </c>
      <c r="T86" s="491">
        <f>IF($E76="USD",T79*(1-Flags!$K$29),0)</f>
        <v>0</v>
      </c>
      <c r="U86" s="491">
        <f>IF($E76="USD",U79*(1-Flags!$K$29),0)</f>
        <v>0</v>
      </c>
      <c r="V86" s="491">
        <f>IF($E76="USD",V79*(1-Flags!$K$29),0)</f>
        <v>0</v>
      </c>
      <c r="W86" s="491">
        <f>IF($E76="USD",W79*(1-Flags!$K$29),0)</f>
        <v>0</v>
      </c>
      <c r="X86" s="491">
        <f>IF($E76="USD",X79*(1-Flags!$K$29),0)</f>
        <v>0</v>
      </c>
      <c r="Y86" s="491">
        <f>IF($E76="USD",Y79*(1-Flags!$K$29),0)</f>
        <v>0</v>
      </c>
      <c r="Z86" s="491">
        <f>IF($E76="USD",Z79*(1-Flags!$K$29),0)</f>
        <v>0</v>
      </c>
      <c r="AA86" s="491">
        <f>IF($E76="USD",AA79*(1-Flags!$K$29),0)</f>
        <v>0</v>
      </c>
      <c r="AB86" s="491">
        <f>IF($E76="USD",AB79*(1-Flags!$K$29),0)</f>
        <v>0</v>
      </c>
      <c r="AC86" s="491">
        <f>IF($E76="USD",AC79*(1-Flags!$K$29),0)</f>
        <v>0</v>
      </c>
      <c r="AD86" s="491">
        <f>IF($E76="USD",AD79*(1-Flags!$K$29),0)</f>
        <v>0</v>
      </c>
      <c r="AE86" s="491">
        <f>IF($E76="USD",AE79*(1-Flags!$K$29),0)</f>
        <v>0</v>
      </c>
      <c r="AF86" s="491">
        <f>IF($E76="USD",AF79*(1-Flags!$K$29),0)</f>
        <v>0</v>
      </c>
      <c r="AG86" s="491">
        <f>IF($E76="USD",AG79*(1-Flags!$K$29),0)</f>
        <v>0</v>
      </c>
      <c r="AH86" s="491">
        <f>IF($E76="USD",AH79*(1-Flags!$K$29),0)</f>
        <v>0</v>
      </c>
      <c r="AI86" s="491">
        <f>IF($E76="USD",AI79*(1-Flags!$K$29),0)</f>
        <v>0</v>
      </c>
      <c r="AJ86" s="491">
        <f>IF($E76="USD",AJ79*(1-Flags!$K$29),0)</f>
        <v>0</v>
      </c>
      <c r="AK86" s="491">
        <f>IF($E76="USD",AK79*(1-Flags!$K$29),0)</f>
        <v>0</v>
      </c>
      <c r="AL86" s="491">
        <f>IF($E76="USD",AL79*(1-Flags!$K$29),0)</f>
        <v>0</v>
      </c>
      <c r="AM86" s="491">
        <f>IF($E76="USD",AM79*(1-Flags!$K$29),0)</f>
        <v>0</v>
      </c>
      <c r="AN86" s="491">
        <f>IF($E76="USD",AN79*(1-Flags!$K$29),0)</f>
        <v>0</v>
      </c>
      <c r="AO86" s="491">
        <f>IF($E76="USD",AO79*(1-Flags!$K$29),0)</f>
        <v>0</v>
      </c>
      <c r="AP86" s="491">
        <f>IF($E76="USD",AP79*(1-Flags!$K$29),0)</f>
        <v>0</v>
      </c>
      <c r="AQ86" s="491">
        <f>IF($E76="USD",AQ79*(1-Flags!$K$29),0)</f>
        <v>0</v>
      </c>
      <c r="AR86" s="491">
        <f>IF($E76="USD",AR79*(1-Flags!$K$29),0)</f>
        <v>0</v>
      </c>
      <c r="AS86" s="491">
        <f>IF($E76="USD",AS79*(1-Flags!$K$29),0)</f>
        <v>0</v>
      </c>
      <c r="AT86" s="491">
        <f>IF($E76="USD",AT79*(1-Flags!$K$29),0)</f>
        <v>0</v>
      </c>
      <c r="AU86" s="491">
        <f>IF($E76="USD",AU79*(1-Flags!$K$29),0)</f>
        <v>0</v>
      </c>
      <c r="AV86" s="491">
        <f>IF($E76="USD",AV79*(1-Flags!$K$29),0)</f>
        <v>0</v>
      </c>
      <c r="AW86" s="491">
        <f>IF($E76="USD",AW79*(1-Flags!$K$29),0)</f>
        <v>0</v>
      </c>
      <c r="AX86" s="491">
        <f>IF($E76="USD",AX79*(1-Flags!$K$29),0)</f>
        <v>0</v>
      </c>
      <c r="AY86" s="491">
        <f>IF($E76="USD",AY79*(1-Flags!$K$29),0)</f>
        <v>0</v>
      </c>
      <c r="AZ86" s="491">
        <f>IF($E76="USD",AZ79*(1-Flags!$K$29),0)</f>
        <v>0</v>
      </c>
      <c r="BA86" s="491">
        <f>IF($E76="USD",BA79*(1-Flags!$K$29),0)</f>
        <v>0</v>
      </c>
      <c r="BB86" s="491">
        <f>IF($E76="USD",BB79*(1-Flags!$K$29),0)</f>
        <v>0</v>
      </c>
      <c r="BC86" s="491">
        <f>IF($E76="USD",BC79*(1-Flags!$K$29),0)</f>
        <v>0</v>
      </c>
      <c r="BD86" s="491">
        <f>IF($E76="USD",BD79*(1-Flags!$K$29),0)</f>
        <v>0</v>
      </c>
      <c r="BE86" s="491">
        <f>IF($E76="USD",BE79*(1-Flags!$K$29),0)</f>
        <v>0</v>
      </c>
      <c r="BF86" s="491">
        <f>IF($E76="USD",BF79*(1-Flags!$K$29),0)</f>
        <v>0</v>
      </c>
      <c r="BG86" s="491">
        <f>IF($E76="USD",BG79*(1-Flags!$K$29),0)</f>
        <v>0</v>
      </c>
      <c r="BH86" s="491">
        <f>IF($E76="USD",BH79*(1-Flags!$K$29),0)</f>
        <v>0</v>
      </c>
      <c r="BI86" s="491">
        <f>IF($E76="USD",BI79*(1-Flags!$K$29),0)</f>
        <v>0</v>
      </c>
      <c r="BJ86" s="491">
        <f>IF($E76="USD",BJ79*(1-Flags!$K$29),0)</f>
        <v>0</v>
      </c>
      <c r="BK86" s="491">
        <f>IF($E76="USD",BK79*(1-Flags!$K$29),0)</f>
        <v>0</v>
      </c>
      <c r="BL86" s="491">
        <f>IF($E76="USD",BL79*(1-Flags!$K$29),0)</f>
        <v>0</v>
      </c>
      <c r="BM86" s="491">
        <f>IF($E76="USD",BM79*(1-Flags!$K$29),0)</f>
        <v>0</v>
      </c>
      <c r="BN86" s="491">
        <f>IF($E76="USD",BN79*(1-Flags!$K$29),0)</f>
        <v>0</v>
      </c>
      <c r="BO86" s="491">
        <f>IF($E76="USD",BO79*(1-Flags!$K$29),0)</f>
        <v>0</v>
      </c>
      <c r="BP86" s="491">
        <f>IF($E76="USD",BP79*(1-Flags!$K$29),0)</f>
        <v>0</v>
      </c>
      <c r="BQ86" s="491">
        <f>IF($E76="USD",BQ79*(1-Flags!$K$29),0)</f>
        <v>0</v>
      </c>
      <c r="BR86" s="491">
        <f>IF($E76="USD",BR79*(1-Flags!$K$29),0)</f>
        <v>0</v>
      </c>
      <c r="BS86" s="491">
        <f>IF($E76="USD",BS79*(1-Flags!$K$29),0)</f>
        <v>0</v>
      </c>
      <c r="BT86" s="491">
        <f>IF($E76="USD",BT79*(1-Flags!$K$29),0)</f>
        <v>0</v>
      </c>
      <c r="BU86" s="491">
        <f>IF($E76="USD",BU79*(1-Flags!$K$29),0)</f>
        <v>0</v>
      </c>
      <c r="BV86" s="491">
        <f>IF($E76="USD",BV79*(1-Flags!$K$29),0)</f>
        <v>0</v>
      </c>
      <c r="BW86" s="491">
        <f>IF($E76="USD",BW79*(1-Flags!$K$29),0)</f>
        <v>0</v>
      </c>
      <c r="BX86" s="491">
        <f>IF($E76="USD",BX79*(1-Flags!$K$29),0)</f>
        <v>0</v>
      </c>
      <c r="BY86" s="491">
        <f>IF($E76="USD",BY79*(1-Flags!$K$29),0)</f>
        <v>0</v>
      </c>
      <c r="BZ86" s="491">
        <f>IF($E76="USD",BZ79*(1-Flags!$K$29),0)</f>
        <v>0</v>
      </c>
      <c r="CA86" s="491">
        <f>IF($E76="USD",CA79*(1-Flags!$K$29),0)</f>
        <v>0</v>
      </c>
      <c r="CB86" s="491">
        <f>IF($E76="USD",CB79*(1-Flags!$K$29),0)</f>
        <v>0</v>
      </c>
      <c r="CC86" s="491">
        <f>IF($E76="USD",CC79*(1-Flags!$K$29),0)</f>
        <v>0</v>
      </c>
      <c r="CD86" s="491">
        <f>IF($E76="USD",CD79*(1-Flags!$K$29),0)</f>
        <v>0</v>
      </c>
      <c r="CE86" s="491">
        <f>IF($E76="USD",CE79*(1-Flags!$K$29),0)</f>
        <v>0</v>
      </c>
      <c r="CF86" s="491">
        <f>IF($E76="USD",CF79*(1-Flags!$K$29),0)</f>
        <v>0</v>
      </c>
      <c r="CG86" s="491">
        <f>IF($E76="USD",CG79*(1-Flags!$K$29),0)</f>
        <v>0</v>
      </c>
      <c r="CH86" s="491">
        <f>IF($E76="USD",CH79*(1-Flags!$K$29),0)</f>
        <v>0</v>
      </c>
      <c r="CI86" s="491">
        <f>IF($E76="USD",CI79*(1-Flags!$K$29),0)</f>
        <v>0</v>
      </c>
      <c r="CJ86" s="491">
        <f>IF($E76="USD",CJ79*(1-Flags!$K$29),0)</f>
        <v>0</v>
      </c>
      <c r="CK86" s="491">
        <f>IF($E76="USD",CK79*(1-Flags!$K$29),0)</f>
        <v>0</v>
      </c>
      <c r="CL86" s="491">
        <f>IF($E76="USD",CL79*(1-Flags!$K$29),0)</f>
        <v>0</v>
      </c>
      <c r="CM86" s="491">
        <f>IF($E76="USD",CM79*(1-Flags!$K$29),0)</f>
        <v>0</v>
      </c>
      <c r="CN86" s="491">
        <f>IF($E76="USD",CN79*(1-Flags!$K$29),0)</f>
        <v>0</v>
      </c>
      <c r="CO86" s="491">
        <f>IF($E76="USD",CO79*(1-Flags!$K$29),0)</f>
        <v>0</v>
      </c>
      <c r="CP86" s="491">
        <f>IF($E76="USD",CP79*(1-Flags!$K$29),0)</f>
        <v>0</v>
      </c>
      <c r="CQ86" s="491">
        <f>IF($E76="USD",CQ79*(1-Flags!$K$29),0)</f>
        <v>0</v>
      </c>
      <c r="CR86" s="491">
        <f>IF($E76="USD",CR79*(1-Flags!$K$29),0)</f>
        <v>0</v>
      </c>
      <c r="CS86" s="491">
        <f>IF($E76="USD",CS79*(1-Flags!$K$29),0)</f>
        <v>0</v>
      </c>
      <c r="CT86" s="491">
        <f>IF($E76="USD",CT79*(1-Flags!$K$29),0)</f>
        <v>0</v>
      </c>
      <c r="CU86" s="491">
        <f>IF($E76="USD",CU79*(1-Flags!$K$29),0)</f>
        <v>0</v>
      </c>
      <c r="CV86" s="491">
        <f>IF($E76="USD",CV79*(1-Flags!$K$29),0)</f>
        <v>0</v>
      </c>
      <c r="CW86" s="491">
        <f>IF($E76="USD",CW79*(1-Flags!$K$29),0)</f>
        <v>0</v>
      </c>
      <c r="CX86" s="491">
        <f>IF($E76="USD",CX79*(1-Flags!$K$29),0)</f>
        <v>0</v>
      </c>
      <c r="CY86" s="491">
        <f>IF($E76="USD",CY79*(1-Flags!$K$29),0)</f>
        <v>0</v>
      </c>
      <c r="CZ86" s="491">
        <f>IF($E76="USD",CZ79*(1-Flags!$K$29),0)</f>
        <v>0</v>
      </c>
      <c r="DA86" s="491">
        <f>IF($E76="USD",DA79*(1-Flags!$K$29),0)</f>
        <v>0</v>
      </c>
      <c r="DB86" s="491">
        <f>IF($E76="USD",DB79*(1-Flags!$K$29),0)</f>
        <v>0</v>
      </c>
      <c r="DC86" s="491">
        <f>IF($E76="USD",DC79*(1-Flags!$K$29),0)</f>
        <v>0</v>
      </c>
      <c r="DD86" s="491">
        <f>IF($E76="USD",DD79*(1-Flags!$K$29),0)</f>
        <v>0</v>
      </c>
      <c r="DE86" s="491">
        <f>IF($E76="USD",DE79*(1-Flags!$K$29),0)</f>
        <v>0</v>
      </c>
      <c r="DF86" s="491">
        <f>IF($E76="USD",DF79*(1-Flags!$K$29),0)</f>
        <v>0</v>
      </c>
      <c r="DG86" s="491">
        <f>IF($E76="USD",DG79*(1-Flags!$K$29),0)</f>
        <v>0</v>
      </c>
      <c r="DH86" s="491">
        <f>IF($E76="USD",DH79*(1-Flags!$K$29),0)</f>
        <v>0</v>
      </c>
      <c r="DI86" s="491">
        <f>IF($E76="USD",DI79*(1-Flags!$K$29),0)</f>
        <v>0</v>
      </c>
      <c r="DJ86" s="491">
        <f>IF($E76="USD",DJ79*(1-Flags!$K$29),0)</f>
        <v>0</v>
      </c>
      <c r="DK86" s="491">
        <f>IF($E76="USD",DK79*(1-Flags!$K$29),0)</f>
        <v>0</v>
      </c>
      <c r="DL86" s="491">
        <f>IF($E76="USD",DL79*(1-Flags!$K$29),0)</f>
        <v>0</v>
      </c>
      <c r="DM86" s="491">
        <f>IF($E76="USD",DM79*(1-Flags!$K$29),0)</f>
        <v>0</v>
      </c>
      <c r="DN86" s="491">
        <f>IF($E76="USD",DN79*(1-Flags!$K$29),0)</f>
        <v>0</v>
      </c>
      <c r="DO86" s="491">
        <f>IF($E76="USD",DO79*(1-Flags!$K$29),0)</f>
        <v>0</v>
      </c>
      <c r="DP86" s="491">
        <f>IF($E76="USD",DP79*(1-Flags!$K$29),0)</f>
        <v>0</v>
      </c>
      <c r="DQ86" s="491">
        <f>IF($E76="USD",DQ79*(1-Flags!$K$29),0)</f>
        <v>0</v>
      </c>
      <c r="DR86" s="491">
        <f>IF($E76="USD",DR79*(1-Flags!$K$29),0)</f>
        <v>0</v>
      </c>
      <c r="DS86" s="491">
        <f>IF($E76="USD",DS79*(1-Flags!$K$29),0)</f>
        <v>0</v>
      </c>
      <c r="DT86" s="491">
        <f>IF($E76="USD",DT79*(1-Flags!$K$29),0)</f>
        <v>0</v>
      </c>
      <c r="DU86" s="491">
        <f>IF($E76="USD",DU79*(1-Flags!$K$29),0)</f>
        <v>0</v>
      </c>
      <c r="DV86" s="491">
        <f>IF($E76="USD",DV79*(1-Flags!$K$29),0)</f>
        <v>0</v>
      </c>
      <c r="DW86" s="491">
        <f>IF($E76="USD",DW79*(1-Flags!$K$29),0)</f>
        <v>0</v>
      </c>
      <c r="DX86" s="491">
        <f>IF($E76="USD",DX79*(1-Flags!$K$29),0)</f>
        <v>0</v>
      </c>
      <c r="DY86" s="491">
        <f>IF($E76="USD",DY79*(1-Flags!$K$29),0)</f>
        <v>0</v>
      </c>
    </row>
    <row r="87" spans="2:129">
      <c r="C87" s="43" t="s">
        <v>637</v>
      </c>
      <c r="E87" s="578">
        <f>'Model Assumptions'!I142</f>
        <v>0.02</v>
      </c>
      <c r="J87" s="159">
        <f>J77*$E$87</f>
        <v>0</v>
      </c>
      <c r="K87" s="159">
        <f t="shared" ref="K87:BV87" si="74">K77*$E$87</f>
        <v>0</v>
      </c>
      <c r="L87" s="159">
        <f t="shared" si="74"/>
        <v>0</v>
      </c>
      <c r="M87" s="159">
        <f t="shared" si="74"/>
        <v>0</v>
      </c>
      <c r="N87" s="159">
        <f t="shared" si="74"/>
        <v>0</v>
      </c>
      <c r="O87" s="159">
        <f t="shared" si="74"/>
        <v>0</v>
      </c>
      <c r="P87" s="159">
        <f t="shared" si="74"/>
        <v>0</v>
      </c>
      <c r="Q87" s="159">
        <f t="shared" si="74"/>
        <v>0</v>
      </c>
      <c r="R87" s="159">
        <f t="shared" si="74"/>
        <v>0</v>
      </c>
      <c r="S87" s="159">
        <f t="shared" si="74"/>
        <v>0</v>
      </c>
      <c r="T87" s="159">
        <f t="shared" si="74"/>
        <v>0</v>
      </c>
      <c r="U87" s="159">
        <f t="shared" si="74"/>
        <v>0</v>
      </c>
      <c r="V87" s="159">
        <f t="shared" si="74"/>
        <v>0</v>
      </c>
      <c r="W87" s="159">
        <f t="shared" si="74"/>
        <v>0</v>
      </c>
      <c r="X87" s="159">
        <f t="shared" si="74"/>
        <v>0</v>
      </c>
      <c r="Y87" s="159">
        <f t="shared" si="74"/>
        <v>0</v>
      </c>
      <c r="Z87" s="159">
        <f t="shared" si="74"/>
        <v>0</v>
      </c>
      <c r="AA87" s="159">
        <f t="shared" si="74"/>
        <v>0</v>
      </c>
      <c r="AB87" s="159">
        <f t="shared" si="74"/>
        <v>0</v>
      </c>
      <c r="AC87" s="159">
        <f t="shared" si="74"/>
        <v>0</v>
      </c>
      <c r="AD87" s="159">
        <f t="shared" si="74"/>
        <v>0</v>
      </c>
      <c r="AE87" s="159">
        <f t="shared" si="74"/>
        <v>0</v>
      </c>
      <c r="AF87" s="159">
        <f t="shared" si="74"/>
        <v>0</v>
      </c>
      <c r="AG87" s="159">
        <f t="shared" si="74"/>
        <v>0</v>
      </c>
      <c r="AH87" s="159">
        <f t="shared" si="74"/>
        <v>0</v>
      </c>
      <c r="AI87" s="159">
        <f t="shared" si="74"/>
        <v>0</v>
      </c>
      <c r="AJ87" s="159">
        <f t="shared" si="74"/>
        <v>0</v>
      </c>
      <c r="AK87" s="159">
        <f t="shared" si="74"/>
        <v>0</v>
      </c>
      <c r="AL87" s="159">
        <f t="shared" si="74"/>
        <v>0</v>
      </c>
      <c r="AM87" s="159">
        <f t="shared" si="74"/>
        <v>0</v>
      </c>
      <c r="AN87" s="159">
        <f t="shared" si="74"/>
        <v>0</v>
      </c>
      <c r="AO87" s="159">
        <f t="shared" si="74"/>
        <v>0</v>
      </c>
      <c r="AP87" s="159">
        <f t="shared" si="74"/>
        <v>0</v>
      </c>
      <c r="AQ87" s="159">
        <f t="shared" si="74"/>
        <v>0</v>
      </c>
      <c r="AR87" s="159">
        <f t="shared" si="74"/>
        <v>0</v>
      </c>
      <c r="AS87" s="159">
        <f t="shared" si="74"/>
        <v>0</v>
      </c>
      <c r="AT87" s="159">
        <f t="shared" si="74"/>
        <v>0</v>
      </c>
      <c r="AU87" s="159">
        <f t="shared" si="74"/>
        <v>0</v>
      </c>
      <c r="AV87" s="159">
        <f t="shared" si="74"/>
        <v>0</v>
      </c>
      <c r="AW87" s="159">
        <f t="shared" si="74"/>
        <v>0</v>
      </c>
      <c r="AX87" s="159">
        <f t="shared" si="74"/>
        <v>0</v>
      </c>
      <c r="AY87" s="159">
        <f t="shared" si="74"/>
        <v>0</v>
      </c>
      <c r="AZ87" s="159">
        <f t="shared" si="74"/>
        <v>0</v>
      </c>
      <c r="BA87" s="159">
        <f t="shared" si="74"/>
        <v>0</v>
      </c>
      <c r="BB87" s="159">
        <f t="shared" si="74"/>
        <v>0</v>
      </c>
      <c r="BC87" s="159">
        <f t="shared" si="74"/>
        <v>0</v>
      </c>
      <c r="BD87" s="159">
        <f t="shared" si="74"/>
        <v>0</v>
      </c>
      <c r="BE87" s="159">
        <f t="shared" si="74"/>
        <v>0</v>
      </c>
      <c r="BF87" s="159">
        <f t="shared" si="74"/>
        <v>0</v>
      </c>
      <c r="BG87" s="159">
        <f t="shared" si="74"/>
        <v>0</v>
      </c>
      <c r="BH87" s="159">
        <f t="shared" si="74"/>
        <v>0</v>
      </c>
      <c r="BI87" s="159">
        <f t="shared" si="74"/>
        <v>0</v>
      </c>
      <c r="BJ87" s="159">
        <f t="shared" si="74"/>
        <v>0</v>
      </c>
      <c r="BK87" s="159">
        <f t="shared" si="74"/>
        <v>0</v>
      </c>
      <c r="BL87" s="159">
        <f t="shared" si="74"/>
        <v>0</v>
      </c>
      <c r="BM87" s="159">
        <f t="shared" si="74"/>
        <v>0</v>
      </c>
      <c r="BN87" s="159">
        <f t="shared" si="74"/>
        <v>0</v>
      </c>
      <c r="BO87" s="159">
        <f t="shared" si="74"/>
        <v>0</v>
      </c>
      <c r="BP87" s="159">
        <f t="shared" si="74"/>
        <v>0</v>
      </c>
      <c r="BQ87" s="159">
        <f t="shared" si="74"/>
        <v>0</v>
      </c>
      <c r="BR87" s="159">
        <f t="shared" si="74"/>
        <v>20000</v>
      </c>
      <c r="BS87" s="159">
        <f t="shared" si="74"/>
        <v>0</v>
      </c>
      <c r="BT87" s="159">
        <f t="shared" si="74"/>
        <v>0</v>
      </c>
      <c r="BU87" s="159">
        <f t="shared" si="74"/>
        <v>0</v>
      </c>
      <c r="BV87" s="159">
        <f t="shared" si="74"/>
        <v>0</v>
      </c>
      <c r="BW87" s="159">
        <f t="shared" ref="BW87:DY87" si="75">BW77*$E$87</f>
        <v>0</v>
      </c>
      <c r="BX87" s="159">
        <f t="shared" si="75"/>
        <v>0</v>
      </c>
      <c r="BY87" s="159">
        <f t="shared" si="75"/>
        <v>0</v>
      </c>
      <c r="BZ87" s="159">
        <f t="shared" si="75"/>
        <v>0</v>
      </c>
      <c r="CA87" s="159">
        <f t="shared" si="75"/>
        <v>0</v>
      </c>
      <c r="CB87" s="159">
        <f t="shared" si="75"/>
        <v>0</v>
      </c>
      <c r="CC87" s="159">
        <f t="shared" si="75"/>
        <v>0</v>
      </c>
      <c r="CD87" s="159">
        <f t="shared" si="75"/>
        <v>0</v>
      </c>
      <c r="CE87" s="159">
        <f t="shared" si="75"/>
        <v>0</v>
      </c>
      <c r="CF87" s="159">
        <f t="shared" si="75"/>
        <v>0</v>
      </c>
      <c r="CG87" s="159">
        <f t="shared" si="75"/>
        <v>0</v>
      </c>
      <c r="CH87" s="159">
        <f t="shared" si="75"/>
        <v>0</v>
      </c>
      <c r="CI87" s="159">
        <f t="shared" si="75"/>
        <v>0</v>
      </c>
      <c r="CJ87" s="159">
        <f t="shared" si="75"/>
        <v>0</v>
      </c>
      <c r="CK87" s="159">
        <f t="shared" si="75"/>
        <v>0</v>
      </c>
      <c r="CL87" s="159">
        <f t="shared" si="75"/>
        <v>0</v>
      </c>
      <c r="CM87" s="159">
        <f t="shared" si="75"/>
        <v>0</v>
      </c>
      <c r="CN87" s="159">
        <f t="shared" si="75"/>
        <v>0</v>
      </c>
      <c r="CO87" s="159">
        <f t="shared" si="75"/>
        <v>0</v>
      </c>
      <c r="CP87" s="159">
        <f t="shared" si="75"/>
        <v>0</v>
      </c>
      <c r="CQ87" s="159">
        <f t="shared" si="75"/>
        <v>0</v>
      </c>
      <c r="CR87" s="159">
        <f t="shared" si="75"/>
        <v>0</v>
      </c>
      <c r="CS87" s="159">
        <f t="shared" si="75"/>
        <v>0</v>
      </c>
      <c r="CT87" s="159">
        <f t="shared" si="75"/>
        <v>0</v>
      </c>
      <c r="CU87" s="159">
        <f t="shared" si="75"/>
        <v>0</v>
      </c>
      <c r="CV87" s="159">
        <f t="shared" si="75"/>
        <v>0</v>
      </c>
      <c r="CW87" s="159">
        <f t="shared" si="75"/>
        <v>0</v>
      </c>
      <c r="CX87" s="159">
        <f t="shared" si="75"/>
        <v>0</v>
      </c>
      <c r="CY87" s="159">
        <f t="shared" si="75"/>
        <v>0</v>
      </c>
      <c r="CZ87" s="159">
        <f t="shared" si="75"/>
        <v>0</v>
      </c>
      <c r="DA87" s="159">
        <f t="shared" si="75"/>
        <v>0</v>
      </c>
      <c r="DB87" s="159">
        <f t="shared" si="75"/>
        <v>0</v>
      </c>
      <c r="DC87" s="159">
        <f t="shared" si="75"/>
        <v>0</v>
      </c>
      <c r="DD87" s="159">
        <f t="shared" si="75"/>
        <v>0</v>
      </c>
      <c r="DE87" s="159">
        <f t="shared" si="75"/>
        <v>0</v>
      </c>
      <c r="DF87" s="159">
        <f t="shared" si="75"/>
        <v>0</v>
      </c>
      <c r="DG87" s="159">
        <f t="shared" si="75"/>
        <v>0</v>
      </c>
      <c r="DH87" s="159">
        <f t="shared" si="75"/>
        <v>0</v>
      </c>
      <c r="DI87" s="159">
        <f t="shared" si="75"/>
        <v>0</v>
      </c>
      <c r="DJ87" s="159">
        <f t="shared" si="75"/>
        <v>0</v>
      </c>
      <c r="DK87" s="159">
        <f t="shared" si="75"/>
        <v>0</v>
      </c>
      <c r="DL87" s="159">
        <f t="shared" si="75"/>
        <v>0</v>
      </c>
      <c r="DM87" s="159">
        <f t="shared" si="75"/>
        <v>0</v>
      </c>
      <c r="DN87" s="159">
        <f t="shared" si="75"/>
        <v>0</v>
      </c>
      <c r="DO87" s="159">
        <f t="shared" si="75"/>
        <v>0</v>
      </c>
      <c r="DP87" s="159">
        <f t="shared" si="75"/>
        <v>0</v>
      </c>
      <c r="DQ87" s="159">
        <f t="shared" si="75"/>
        <v>0</v>
      </c>
      <c r="DR87" s="159">
        <f t="shared" si="75"/>
        <v>0</v>
      </c>
      <c r="DS87" s="159">
        <f t="shared" si="75"/>
        <v>0</v>
      </c>
      <c r="DT87" s="159">
        <f t="shared" si="75"/>
        <v>0</v>
      </c>
      <c r="DU87" s="159">
        <f t="shared" si="75"/>
        <v>0</v>
      </c>
      <c r="DV87" s="159">
        <f t="shared" si="75"/>
        <v>0</v>
      </c>
      <c r="DW87" s="159">
        <f t="shared" si="75"/>
        <v>0</v>
      </c>
      <c r="DX87" s="159">
        <f t="shared" si="75"/>
        <v>0</v>
      </c>
      <c r="DY87" s="159">
        <f t="shared" si="75"/>
        <v>0</v>
      </c>
    </row>
    <row r="88" spans="2:129">
      <c r="C88" s="43" t="s">
        <v>638</v>
      </c>
      <c r="J88" s="579">
        <f>J78*$E$87</f>
        <v>0</v>
      </c>
      <c r="K88" s="579">
        <f t="shared" ref="K88:BV88" si="76">K78*$E$87</f>
        <v>0</v>
      </c>
      <c r="L88" s="579">
        <f t="shared" si="76"/>
        <v>0</v>
      </c>
      <c r="M88" s="579">
        <f t="shared" si="76"/>
        <v>0</v>
      </c>
      <c r="N88" s="579">
        <f t="shared" si="76"/>
        <v>0</v>
      </c>
      <c r="O88" s="579">
        <f t="shared" si="76"/>
        <v>0</v>
      </c>
      <c r="P88" s="579">
        <f t="shared" si="76"/>
        <v>0</v>
      </c>
      <c r="Q88" s="579">
        <f t="shared" si="76"/>
        <v>0</v>
      </c>
      <c r="R88" s="579">
        <f t="shared" si="76"/>
        <v>0</v>
      </c>
      <c r="S88" s="579">
        <f t="shared" si="76"/>
        <v>0</v>
      </c>
      <c r="T88" s="579">
        <f t="shared" si="76"/>
        <v>0</v>
      </c>
      <c r="U88" s="579">
        <f t="shared" si="76"/>
        <v>0</v>
      </c>
      <c r="V88" s="579">
        <f t="shared" si="76"/>
        <v>0</v>
      </c>
      <c r="W88" s="579">
        <f t="shared" si="76"/>
        <v>0</v>
      </c>
      <c r="X88" s="579">
        <f t="shared" si="76"/>
        <v>0</v>
      </c>
      <c r="Y88" s="579">
        <f t="shared" si="76"/>
        <v>0</v>
      </c>
      <c r="Z88" s="579">
        <f t="shared" si="76"/>
        <v>0</v>
      </c>
      <c r="AA88" s="579">
        <f t="shared" si="76"/>
        <v>0</v>
      </c>
      <c r="AB88" s="579">
        <f t="shared" si="76"/>
        <v>0</v>
      </c>
      <c r="AC88" s="579">
        <f t="shared" si="76"/>
        <v>0</v>
      </c>
      <c r="AD88" s="579">
        <f t="shared" si="76"/>
        <v>0</v>
      </c>
      <c r="AE88" s="579">
        <f t="shared" si="76"/>
        <v>0</v>
      </c>
      <c r="AF88" s="579">
        <f t="shared" si="76"/>
        <v>0</v>
      </c>
      <c r="AG88" s="579">
        <f t="shared" si="76"/>
        <v>0</v>
      </c>
      <c r="AH88" s="579">
        <f t="shared" si="76"/>
        <v>0</v>
      </c>
      <c r="AI88" s="579">
        <f t="shared" si="76"/>
        <v>0</v>
      </c>
      <c r="AJ88" s="579">
        <f t="shared" si="76"/>
        <v>0</v>
      </c>
      <c r="AK88" s="579">
        <f t="shared" si="76"/>
        <v>0</v>
      </c>
      <c r="AL88" s="579">
        <f t="shared" si="76"/>
        <v>0</v>
      </c>
      <c r="AM88" s="579">
        <f t="shared" si="76"/>
        <v>0</v>
      </c>
      <c r="AN88" s="579">
        <f t="shared" si="76"/>
        <v>0</v>
      </c>
      <c r="AO88" s="579">
        <f t="shared" si="76"/>
        <v>0</v>
      </c>
      <c r="AP88" s="579">
        <f t="shared" si="76"/>
        <v>0</v>
      </c>
      <c r="AQ88" s="579">
        <f t="shared" si="76"/>
        <v>0</v>
      </c>
      <c r="AR88" s="579">
        <f t="shared" si="76"/>
        <v>0</v>
      </c>
      <c r="AS88" s="579">
        <f t="shared" si="76"/>
        <v>0</v>
      </c>
      <c r="AT88" s="579">
        <f t="shared" si="76"/>
        <v>0</v>
      </c>
      <c r="AU88" s="579">
        <f t="shared" si="76"/>
        <v>0</v>
      </c>
      <c r="AV88" s="579">
        <f t="shared" si="76"/>
        <v>0</v>
      </c>
      <c r="AW88" s="579">
        <f t="shared" si="76"/>
        <v>0</v>
      </c>
      <c r="AX88" s="579">
        <f t="shared" si="76"/>
        <v>0</v>
      </c>
      <c r="AY88" s="579">
        <f t="shared" si="76"/>
        <v>0</v>
      </c>
      <c r="AZ88" s="579">
        <f t="shared" si="76"/>
        <v>0</v>
      </c>
      <c r="BA88" s="579">
        <f t="shared" si="76"/>
        <v>0</v>
      </c>
      <c r="BB88" s="579">
        <f t="shared" si="76"/>
        <v>0</v>
      </c>
      <c r="BC88" s="579">
        <f t="shared" si="76"/>
        <v>0</v>
      </c>
      <c r="BD88" s="579">
        <f t="shared" si="76"/>
        <v>0</v>
      </c>
      <c r="BE88" s="579">
        <f t="shared" si="76"/>
        <v>0</v>
      </c>
      <c r="BF88" s="579">
        <f t="shared" si="76"/>
        <v>0</v>
      </c>
      <c r="BG88" s="579">
        <f t="shared" si="76"/>
        <v>0</v>
      </c>
      <c r="BH88" s="579">
        <f t="shared" si="76"/>
        <v>0</v>
      </c>
      <c r="BI88" s="579">
        <f t="shared" si="76"/>
        <v>0</v>
      </c>
      <c r="BJ88" s="579">
        <f t="shared" si="76"/>
        <v>0</v>
      </c>
      <c r="BK88" s="579">
        <f t="shared" si="76"/>
        <v>0</v>
      </c>
      <c r="BL88" s="579">
        <f t="shared" si="76"/>
        <v>0</v>
      </c>
      <c r="BM88" s="579">
        <f t="shared" si="76"/>
        <v>0</v>
      </c>
      <c r="BN88" s="579">
        <f t="shared" si="76"/>
        <v>0</v>
      </c>
      <c r="BO88" s="579">
        <f t="shared" si="76"/>
        <v>0</v>
      </c>
      <c r="BP88" s="579">
        <f t="shared" si="76"/>
        <v>0</v>
      </c>
      <c r="BQ88" s="579">
        <f t="shared" si="76"/>
        <v>0</v>
      </c>
      <c r="BR88" s="579">
        <f t="shared" si="76"/>
        <v>200000</v>
      </c>
      <c r="BS88" s="579">
        <f t="shared" si="76"/>
        <v>0</v>
      </c>
      <c r="BT88" s="579">
        <f t="shared" si="76"/>
        <v>0</v>
      </c>
      <c r="BU88" s="579">
        <f t="shared" si="76"/>
        <v>0</v>
      </c>
      <c r="BV88" s="579">
        <f t="shared" si="76"/>
        <v>0</v>
      </c>
      <c r="BW88" s="579">
        <f t="shared" ref="BW88:DY88" si="77">BW78*$E$87</f>
        <v>0</v>
      </c>
      <c r="BX88" s="579">
        <f t="shared" si="77"/>
        <v>0</v>
      </c>
      <c r="BY88" s="579">
        <f t="shared" si="77"/>
        <v>0</v>
      </c>
      <c r="BZ88" s="579">
        <f t="shared" si="77"/>
        <v>0</v>
      </c>
      <c r="CA88" s="579">
        <f t="shared" si="77"/>
        <v>0</v>
      </c>
      <c r="CB88" s="579">
        <f t="shared" si="77"/>
        <v>0</v>
      </c>
      <c r="CC88" s="579">
        <f t="shared" si="77"/>
        <v>0</v>
      </c>
      <c r="CD88" s="579">
        <f t="shared" si="77"/>
        <v>0</v>
      </c>
      <c r="CE88" s="579">
        <f t="shared" si="77"/>
        <v>0</v>
      </c>
      <c r="CF88" s="579">
        <f t="shared" si="77"/>
        <v>0</v>
      </c>
      <c r="CG88" s="579">
        <f t="shared" si="77"/>
        <v>0</v>
      </c>
      <c r="CH88" s="579">
        <f t="shared" si="77"/>
        <v>0</v>
      </c>
      <c r="CI88" s="579">
        <f t="shared" si="77"/>
        <v>0</v>
      </c>
      <c r="CJ88" s="579">
        <f t="shared" si="77"/>
        <v>0</v>
      </c>
      <c r="CK88" s="579">
        <f t="shared" si="77"/>
        <v>0</v>
      </c>
      <c r="CL88" s="579">
        <f t="shared" si="77"/>
        <v>0</v>
      </c>
      <c r="CM88" s="579">
        <f t="shared" si="77"/>
        <v>0</v>
      </c>
      <c r="CN88" s="579">
        <f t="shared" si="77"/>
        <v>0</v>
      </c>
      <c r="CO88" s="579">
        <f t="shared" si="77"/>
        <v>0</v>
      </c>
      <c r="CP88" s="579">
        <f t="shared" si="77"/>
        <v>0</v>
      </c>
      <c r="CQ88" s="579">
        <f t="shared" si="77"/>
        <v>0</v>
      </c>
      <c r="CR88" s="579">
        <f t="shared" si="77"/>
        <v>0</v>
      </c>
      <c r="CS88" s="579">
        <f t="shared" si="77"/>
        <v>0</v>
      </c>
      <c r="CT88" s="579">
        <f t="shared" si="77"/>
        <v>0</v>
      </c>
      <c r="CU88" s="579">
        <f t="shared" si="77"/>
        <v>0</v>
      </c>
      <c r="CV88" s="579">
        <f t="shared" si="77"/>
        <v>0</v>
      </c>
      <c r="CW88" s="579">
        <f t="shared" si="77"/>
        <v>0</v>
      </c>
      <c r="CX88" s="579">
        <f t="shared" si="77"/>
        <v>0</v>
      </c>
      <c r="CY88" s="579">
        <f t="shared" si="77"/>
        <v>0</v>
      </c>
      <c r="CZ88" s="579">
        <f t="shared" si="77"/>
        <v>0</v>
      </c>
      <c r="DA88" s="579">
        <f t="shared" si="77"/>
        <v>0</v>
      </c>
      <c r="DB88" s="579">
        <f t="shared" si="77"/>
        <v>0</v>
      </c>
      <c r="DC88" s="579">
        <f t="shared" si="77"/>
        <v>0</v>
      </c>
      <c r="DD88" s="579">
        <f t="shared" si="77"/>
        <v>0</v>
      </c>
      <c r="DE88" s="579">
        <f t="shared" si="77"/>
        <v>0</v>
      </c>
      <c r="DF88" s="579">
        <f t="shared" si="77"/>
        <v>0</v>
      </c>
      <c r="DG88" s="579">
        <f t="shared" si="77"/>
        <v>0</v>
      </c>
      <c r="DH88" s="579">
        <f t="shared" si="77"/>
        <v>0</v>
      </c>
      <c r="DI88" s="579">
        <f t="shared" si="77"/>
        <v>0</v>
      </c>
      <c r="DJ88" s="579">
        <f t="shared" si="77"/>
        <v>0</v>
      </c>
      <c r="DK88" s="579">
        <f t="shared" si="77"/>
        <v>0</v>
      </c>
      <c r="DL88" s="579">
        <f t="shared" si="77"/>
        <v>0</v>
      </c>
      <c r="DM88" s="579">
        <f t="shared" si="77"/>
        <v>0</v>
      </c>
      <c r="DN88" s="579">
        <f t="shared" si="77"/>
        <v>0</v>
      </c>
      <c r="DO88" s="579">
        <f t="shared" si="77"/>
        <v>0</v>
      </c>
      <c r="DP88" s="579">
        <f t="shared" si="77"/>
        <v>0</v>
      </c>
      <c r="DQ88" s="579">
        <f t="shared" si="77"/>
        <v>0</v>
      </c>
      <c r="DR88" s="579">
        <f t="shared" si="77"/>
        <v>0</v>
      </c>
      <c r="DS88" s="579">
        <f t="shared" si="77"/>
        <v>0</v>
      </c>
      <c r="DT88" s="579">
        <f t="shared" si="77"/>
        <v>0</v>
      </c>
      <c r="DU88" s="579">
        <f t="shared" si="77"/>
        <v>0</v>
      </c>
      <c r="DV88" s="579">
        <f t="shared" si="77"/>
        <v>0</v>
      </c>
      <c r="DW88" s="579">
        <f t="shared" si="77"/>
        <v>0</v>
      </c>
      <c r="DX88" s="579">
        <f t="shared" si="77"/>
        <v>0</v>
      </c>
      <c r="DY88" s="579">
        <f t="shared" si="77"/>
        <v>0</v>
      </c>
    </row>
    <row r="89" spans="2:129">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row>
    <row r="90" spans="2:129" s="43" customFormat="1">
      <c r="B90" s="44" t="s">
        <v>27</v>
      </c>
      <c r="C90" s="43" t="s">
        <v>44</v>
      </c>
      <c r="E90" s="481">
        <f>+'Model Assumptions'!J133</f>
        <v>47119</v>
      </c>
      <c r="F90" s="125"/>
      <c r="G90" s="125"/>
      <c r="H90" s="125"/>
    </row>
    <row r="91" spans="2:129" s="43" customFormat="1">
      <c r="B91" s="44"/>
      <c r="C91" s="43" t="s">
        <v>394</v>
      </c>
      <c r="E91" s="482" t="str">
        <f>+'Model Assumptions'!J137</f>
        <v>USD</v>
      </c>
      <c r="F91" s="125"/>
      <c r="G91" s="125"/>
      <c r="H91" s="125"/>
    </row>
    <row r="92" spans="2:129" s="43" customFormat="1">
      <c r="C92" s="43" t="s">
        <v>386</v>
      </c>
      <c r="E92" s="482">
        <f>+'Model Assumptions'!J134</f>
        <v>1000000</v>
      </c>
      <c r="F92" s="126"/>
      <c r="G92" s="126"/>
      <c r="H92" s="126"/>
      <c r="J92" s="46">
        <f t="shared" ref="J92:AO92" si="78">+IF(J$1=$E$90,$E$92,0)</f>
        <v>0</v>
      </c>
      <c r="K92" s="46">
        <f t="shared" si="78"/>
        <v>0</v>
      </c>
      <c r="L92" s="46">
        <f t="shared" si="78"/>
        <v>0</v>
      </c>
      <c r="M92" s="46">
        <f t="shared" si="78"/>
        <v>0</v>
      </c>
      <c r="N92" s="46">
        <f t="shared" si="78"/>
        <v>0</v>
      </c>
      <c r="O92" s="46">
        <f t="shared" si="78"/>
        <v>0</v>
      </c>
      <c r="P92" s="46">
        <f t="shared" si="78"/>
        <v>0</v>
      </c>
      <c r="Q92" s="46">
        <f t="shared" si="78"/>
        <v>0</v>
      </c>
      <c r="R92" s="46">
        <f t="shared" si="78"/>
        <v>0</v>
      </c>
      <c r="S92" s="46">
        <f t="shared" si="78"/>
        <v>0</v>
      </c>
      <c r="T92" s="46">
        <f t="shared" si="78"/>
        <v>0</v>
      </c>
      <c r="U92" s="46">
        <f t="shared" si="78"/>
        <v>0</v>
      </c>
      <c r="V92" s="46">
        <f t="shared" si="78"/>
        <v>0</v>
      </c>
      <c r="W92" s="46">
        <f t="shared" si="78"/>
        <v>0</v>
      </c>
      <c r="X92" s="46">
        <f t="shared" si="78"/>
        <v>0</v>
      </c>
      <c r="Y92" s="46">
        <f t="shared" si="78"/>
        <v>0</v>
      </c>
      <c r="Z92" s="46">
        <f t="shared" si="78"/>
        <v>0</v>
      </c>
      <c r="AA92" s="46">
        <f t="shared" si="78"/>
        <v>0</v>
      </c>
      <c r="AB92" s="46">
        <f t="shared" si="78"/>
        <v>0</v>
      </c>
      <c r="AC92" s="46">
        <f t="shared" si="78"/>
        <v>0</v>
      </c>
      <c r="AD92" s="46">
        <f t="shared" si="78"/>
        <v>0</v>
      </c>
      <c r="AE92" s="46">
        <f t="shared" si="78"/>
        <v>0</v>
      </c>
      <c r="AF92" s="46">
        <f t="shared" si="78"/>
        <v>0</v>
      </c>
      <c r="AG92" s="46">
        <f t="shared" si="78"/>
        <v>0</v>
      </c>
      <c r="AH92" s="46">
        <f t="shared" si="78"/>
        <v>0</v>
      </c>
      <c r="AI92" s="46">
        <f t="shared" si="78"/>
        <v>0</v>
      </c>
      <c r="AJ92" s="46">
        <f t="shared" si="78"/>
        <v>0</v>
      </c>
      <c r="AK92" s="46">
        <f t="shared" si="78"/>
        <v>0</v>
      </c>
      <c r="AL92" s="46">
        <f t="shared" si="78"/>
        <v>0</v>
      </c>
      <c r="AM92" s="46">
        <f t="shared" si="78"/>
        <v>0</v>
      </c>
      <c r="AN92" s="46">
        <f t="shared" si="78"/>
        <v>0</v>
      </c>
      <c r="AO92" s="46">
        <f t="shared" si="78"/>
        <v>0</v>
      </c>
      <c r="AP92" s="46">
        <f t="shared" ref="AP92:BU92" si="79">+IF(AP$1=$E$90,$E$92,0)</f>
        <v>0</v>
      </c>
      <c r="AQ92" s="46">
        <f t="shared" si="79"/>
        <v>0</v>
      </c>
      <c r="AR92" s="46">
        <f t="shared" si="79"/>
        <v>0</v>
      </c>
      <c r="AS92" s="46">
        <f t="shared" si="79"/>
        <v>0</v>
      </c>
      <c r="AT92" s="46">
        <f t="shared" si="79"/>
        <v>0</v>
      </c>
      <c r="AU92" s="46">
        <f t="shared" si="79"/>
        <v>0</v>
      </c>
      <c r="AV92" s="46">
        <f t="shared" si="79"/>
        <v>0</v>
      </c>
      <c r="AW92" s="46">
        <f t="shared" si="79"/>
        <v>0</v>
      </c>
      <c r="AX92" s="46">
        <f t="shared" si="79"/>
        <v>0</v>
      </c>
      <c r="AY92" s="46">
        <f t="shared" si="79"/>
        <v>0</v>
      </c>
      <c r="AZ92" s="46">
        <f t="shared" si="79"/>
        <v>0</v>
      </c>
      <c r="BA92" s="46">
        <f t="shared" si="79"/>
        <v>0</v>
      </c>
      <c r="BB92" s="46">
        <f t="shared" si="79"/>
        <v>0</v>
      </c>
      <c r="BC92" s="46">
        <f t="shared" si="79"/>
        <v>0</v>
      </c>
      <c r="BD92" s="46">
        <f t="shared" si="79"/>
        <v>0</v>
      </c>
      <c r="BE92" s="46">
        <f t="shared" si="79"/>
        <v>0</v>
      </c>
      <c r="BF92" s="46">
        <f t="shared" si="79"/>
        <v>0</v>
      </c>
      <c r="BG92" s="46">
        <f t="shared" si="79"/>
        <v>0</v>
      </c>
      <c r="BH92" s="46">
        <f t="shared" si="79"/>
        <v>0</v>
      </c>
      <c r="BI92" s="46">
        <f t="shared" si="79"/>
        <v>0</v>
      </c>
      <c r="BJ92" s="46">
        <f t="shared" si="79"/>
        <v>0</v>
      </c>
      <c r="BK92" s="46">
        <f t="shared" si="79"/>
        <v>0</v>
      </c>
      <c r="BL92" s="46">
        <f t="shared" si="79"/>
        <v>0</v>
      </c>
      <c r="BM92" s="46">
        <f t="shared" si="79"/>
        <v>0</v>
      </c>
      <c r="BN92" s="46">
        <f t="shared" si="79"/>
        <v>0</v>
      </c>
      <c r="BO92" s="46">
        <f t="shared" si="79"/>
        <v>0</v>
      </c>
      <c r="BP92" s="46">
        <f t="shared" si="79"/>
        <v>0</v>
      </c>
      <c r="BQ92" s="46">
        <f t="shared" si="79"/>
        <v>0</v>
      </c>
      <c r="BR92" s="46">
        <f t="shared" si="79"/>
        <v>0</v>
      </c>
      <c r="BS92" s="46">
        <f t="shared" si="79"/>
        <v>0</v>
      </c>
      <c r="BT92" s="46">
        <f t="shared" si="79"/>
        <v>0</v>
      </c>
      <c r="BU92" s="46">
        <f t="shared" si="79"/>
        <v>0</v>
      </c>
      <c r="BV92" s="46">
        <f t="shared" ref="BV92:DY92" si="80">+IF(BV$1=$E$90,$E$92,0)</f>
        <v>0</v>
      </c>
      <c r="BW92" s="46">
        <f t="shared" si="80"/>
        <v>0</v>
      </c>
      <c r="BX92" s="46">
        <f t="shared" si="80"/>
        <v>0</v>
      </c>
      <c r="BY92" s="46">
        <f t="shared" si="80"/>
        <v>0</v>
      </c>
      <c r="BZ92" s="46">
        <f t="shared" si="80"/>
        <v>0</v>
      </c>
      <c r="CA92" s="46">
        <f t="shared" si="80"/>
        <v>0</v>
      </c>
      <c r="CB92" s="46">
        <f t="shared" si="80"/>
        <v>0</v>
      </c>
      <c r="CC92" s="46">
        <f t="shared" si="80"/>
        <v>0</v>
      </c>
      <c r="CD92" s="46">
        <f t="shared" si="80"/>
        <v>1000000</v>
      </c>
      <c r="CE92" s="46">
        <f t="shared" si="80"/>
        <v>0</v>
      </c>
      <c r="CF92" s="46">
        <f t="shared" si="80"/>
        <v>0</v>
      </c>
      <c r="CG92" s="46">
        <f t="shared" si="80"/>
        <v>0</v>
      </c>
      <c r="CH92" s="46">
        <f t="shared" si="80"/>
        <v>0</v>
      </c>
      <c r="CI92" s="46">
        <f t="shared" si="80"/>
        <v>0</v>
      </c>
      <c r="CJ92" s="46">
        <f t="shared" si="80"/>
        <v>0</v>
      </c>
      <c r="CK92" s="46">
        <f t="shared" si="80"/>
        <v>0</v>
      </c>
      <c r="CL92" s="46">
        <f t="shared" si="80"/>
        <v>0</v>
      </c>
      <c r="CM92" s="46">
        <f t="shared" si="80"/>
        <v>0</v>
      </c>
      <c r="CN92" s="46">
        <f t="shared" si="80"/>
        <v>0</v>
      </c>
      <c r="CO92" s="46">
        <f t="shared" si="80"/>
        <v>0</v>
      </c>
      <c r="CP92" s="46">
        <f t="shared" si="80"/>
        <v>0</v>
      </c>
      <c r="CQ92" s="46">
        <f t="shared" si="80"/>
        <v>0</v>
      </c>
      <c r="CR92" s="46">
        <f t="shared" si="80"/>
        <v>0</v>
      </c>
      <c r="CS92" s="46">
        <f t="shared" si="80"/>
        <v>0</v>
      </c>
      <c r="CT92" s="46">
        <f t="shared" si="80"/>
        <v>0</v>
      </c>
      <c r="CU92" s="46">
        <f t="shared" si="80"/>
        <v>0</v>
      </c>
      <c r="CV92" s="46">
        <f t="shared" si="80"/>
        <v>0</v>
      </c>
      <c r="CW92" s="46">
        <f t="shared" si="80"/>
        <v>0</v>
      </c>
      <c r="CX92" s="46">
        <f t="shared" si="80"/>
        <v>0</v>
      </c>
      <c r="CY92" s="46">
        <f t="shared" si="80"/>
        <v>0</v>
      </c>
      <c r="CZ92" s="46">
        <f t="shared" si="80"/>
        <v>0</v>
      </c>
      <c r="DA92" s="46">
        <f t="shared" si="80"/>
        <v>0</v>
      </c>
      <c r="DB92" s="46">
        <f t="shared" si="80"/>
        <v>0</v>
      </c>
      <c r="DC92" s="46">
        <f t="shared" si="80"/>
        <v>0</v>
      </c>
      <c r="DD92" s="46">
        <f t="shared" si="80"/>
        <v>0</v>
      </c>
      <c r="DE92" s="46">
        <f t="shared" si="80"/>
        <v>0</v>
      </c>
      <c r="DF92" s="46">
        <f t="shared" si="80"/>
        <v>0</v>
      </c>
      <c r="DG92" s="46">
        <f t="shared" si="80"/>
        <v>0</v>
      </c>
      <c r="DH92" s="46">
        <f t="shared" si="80"/>
        <v>0</v>
      </c>
      <c r="DI92" s="46">
        <f t="shared" si="80"/>
        <v>0</v>
      </c>
      <c r="DJ92" s="46">
        <f t="shared" si="80"/>
        <v>0</v>
      </c>
      <c r="DK92" s="46">
        <f t="shared" si="80"/>
        <v>0</v>
      </c>
      <c r="DL92" s="46">
        <f t="shared" si="80"/>
        <v>0</v>
      </c>
      <c r="DM92" s="46">
        <f t="shared" si="80"/>
        <v>0</v>
      </c>
      <c r="DN92" s="46">
        <f t="shared" si="80"/>
        <v>0</v>
      </c>
      <c r="DO92" s="46">
        <f t="shared" si="80"/>
        <v>0</v>
      </c>
      <c r="DP92" s="46">
        <f t="shared" si="80"/>
        <v>0</v>
      </c>
      <c r="DQ92" s="46">
        <f t="shared" si="80"/>
        <v>0</v>
      </c>
      <c r="DR92" s="46">
        <f t="shared" si="80"/>
        <v>0</v>
      </c>
      <c r="DS92" s="46">
        <f t="shared" si="80"/>
        <v>0</v>
      </c>
      <c r="DT92" s="46">
        <f t="shared" si="80"/>
        <v>0</v>
      </c>
      <c r="DU92" s="46">
        <f t="shared" si="80"/>
        <v>0</v>
      </c>
      <c r="DV92" s="46">
        <f t="shared" si="80"/>
        <v>0</v>
      </c>
      <c r="DW92" s="46">
        <f t="shared" si="80"/>
        <v>0</v>
      </c>
      <c r="DX92" s="46">
        <f t="shared" si="80"/>
        <v>0</v>
      </c>
      <c r="DY92" s="46">
        <f t="shared" si="80"/>
        <v>0</v>
      </c>
    </row>
    <row r="93" spans="2:129" s="43" customFormat="1">
      <c r="C93" s="43" t="s">
        <v>387</v>
      </c>
      <c r="E93" s="482">
        <f>+'Model Assumptions'!J136</f>
        <v>10000000</v>
      </c>
      <c r="F93" s="126"/>
      <c r="G93" s="126"/>
      <c r="H93" s="126"/>
      <c r="J93" s="490">
        <f>J92*Flags!J$30</f>
        <v>0</v>
      </c>
      <c r="K93" s="490">
        <f>K92*Flags!K$30</f>
        <v>0</v>
      </c>
      <c r="L93" s="490">
        <f>L92*Flags!L$30</f>
        <v>0</v>
      </c>
      <c r="M93" s="490">
        <f>M92*Flags!M$30</f>
        <v>0</v>
      </c>
      <c r="N93" s="490">
        <f>N92*Flags!N$30</f>
        <v>0</v>
      </c>
      <c r="O93" s="490">
        <f>O92*Flags!O$30</f>
        <v>0</v>
      </c>
      <c r="P93" s="490">
        <f>P92*Flags!P$30</f>
        <v>0</v>
      </c>
      <c r="Q93" s="490">
        <f>Q92*Flags!Q$30</f>
        <v>0</v>
      </c>
      <c r="R93" s="490">
        <f>R92*Flags!R$30</f>
        <v>0</v>
      </c>
      <c r="S93" s="490">
        <f>S92*Flags!S$30</f>
        <v>0</v>
      </c>
      <c r="T93" s="490">
        <f>T92*Flags!T$30</f>
        <v>0</v>
      </c>
      <c r="U93" s="490">
        <f>U92*Flags!U$30</f>
        <v>0</v>
      </c>
      <c r="V93" s="490">
        <f>V92*Flags!V$30</f>
        <v>0</v>
      </c>
      <c r="W93" s="490">
        <f>W92*Flags!W$30</f>
        <v>0</v>
      </c>
      <c r="X93" s="490">
        <f>X92*Flags!X$30</f>
        <v>0</v>
      </c>
      <c r="Y93" s="490">
        <f>Y92*Flags!Y$30</f>
        <v>0</v>
      </c>
      <c r="Z93" s="490">
        <f>Z92*Flags!Z$30</f>
        <v>0</v>
      </c>
      <c r="AA93" s="490">
        <f>AA92*Flags!AA$30</f>
        <v>0</v>
      </c>
      <c r="AB93" s="490">
        <f>AB92*Flags!AB$30</f>
        <v>0</v>
      </c>
      <c r="AC93" s="490">
        <f>AC92*Flags!AC$30</f>
        <v>0</v>
      </c>
      <c r="AD93" s="490">
        <f>AD92*Flags!AD$30</f>
        <v>0</v>
      </c>
      <c r="AE93" s="490">
        <f>AE92*Flags!AE$30</f>
        <v>0</v>
      </c>
      <c r="AF93" s="490">
        <f>AF92*Flags!AF$30</f>
        <v>0</v>
      </c>
      <c r="AG93" s="490">
        <f>AG92*Flags!AG$30</f>
        <v>0</v>
      </c>
      <c r="AH93" s="490">
        <f>AH92*Flags!AH$30</f>
        <v>0</v>
      </c>
      <c r="AI93" s="490">
        <f>AI92*Flags!AI$30</f>
        <v>0</v>
      </c>
      <c r="AJ93" s="490">
        <f>AJ92*Flags!AJ$30</f>
        <v>0</v>
      </c>
      <c r="AK93" s="490">
        <f>AK92*Flags!AK$30</f>
        <v>0</v>
      </c>
      <c r="AL93" s="490">
        <f>AL92*Flags!AL$30</f>
        <v>0</v>
      </c>
      <c r="AM93" s="490">
        <f>AM92*Flags!AM$30</f>
        <v>0</v>
      </c>
      <c r="AN93" s="490">
        <f>AN92*Flags!AN$30</f>
        <v>0</v>
      </c>
      <c r="AO93" s="490">
        <f>AO92*Flags!AO$30</f>
        <v>0</v>
      </c>
      <c r="AP93" s="490">
        <f>AP92*Flags!AP$30</f>
        <v>0</v>
      </c>
      <c r="AQ93" s="490">
        <f>AQ92*Flags!AQ$30</f>
        <v>0</v>
      </c>
      <c r="AR93" s="490">
        <f>AR92*Flags!AR$30</f>
        <v>0</v>
      </c>
      <c r="AS93" s="490">
        <f>AS92*Flags!AS$30</f>
        <v>0</v>
      </c>
      <c r="AT93" s="490">
        <f>AT92*Flags!AT$30</f>
        <v>0</v>
      </c>
      <c r="AU93" s="490">
        <f>AU92*Flags!AU$30</f>
        <v>0</v>
      </c>
      <c r="AV93" s="490">
        <f>AV92*Flags!AV$30</f>
        <v>0</v>
      </c>
      <c r="AW93" s="490">
        <f>AW92*Flags!AW$30</f>
        <v>0</v>
      </c>
      <c r="AX93" s="490">
        <f>AX92*Flags!AX$30</f>
        <v>0</v>
      </c>
      <c r="AY93" s="490">
        <f>AY92*Flags!AY$30</f>
        <v>0</v>
      </c>
      <c r="AZ93" s="490">
        <f>AZ92*Flags!AZ$30</f>
        <v>0</v>
      </c>
      <c r="BA93" s="490">
        <f>BA92*Flags!BA$30</f>
        <v>0</v>
      </c>
      <c r="BB93" s="490">
        <f>BB92*Flags!BB$30</f>
        <v>0</v>
      </c>
      <c r="BC93" s="490">
        <f>BC92*Flags!BC$30</f>
        <v>0</v>
      </c>
      <c r="BD93" s="490">
        <f>BD92*Flags!BD$30</f>
        <v>0</v>
      </c>
      <c r="BE93" s="490">
        <f>BE92*Flags!BE$30</f>
        <v>0</v>
      </c>
      <c r="BF93" s="490">
        <f>BF92*Flags!BF$30</f>
        <v>0</v>
      </c>
      <c r="BG93" s="490">
        <f>BG92*Flags!BG$30</f>
        <v>0</v>
      </c>
      <c r="BH93" s="490">
        <f>BH92*Flags!BH$30</f>
        <v>0</v>
      </c>
      <c r="BI93" s="490">
        <f>BI92*Flags!BI$30</f>
        <v>0</v>
      </c>
      <c r="BJ93" s="490">
        <f>BJ92*Flags!BJ$30</f>
        <v>0</v>
      </c>
      <c r="BK93" s="490">
        <f>BK92*Flags!BK$30</f>
        <v>0</v>
      </c>
      <c r="BL93" s="490">
        <f>BL92*Flags!BL$30</f>
        <v>0</v>
      </c>
      <c r="BM93" s="490">
        <f>BM92*Flags!BM$30</f>
        <v>0</v>
      </c>
      <c r="BN93" s="490">
        <f>BN92*Flags!BN$30</f>
        <v>0</v>
      </c>
      <c r="BO93" s="490">
        <f>BO92*Flags!BO$30</f>
        <v>0</v>
      </c>
      <c r="BP93" s="490">
        <f>BP92*Flags!BP$30</f>
        <v>0</v>
      </c>
      <c r="BQ93" s="490">
        <f>BQ92*Flags!BQ$30</f>
        <v>0</v>
      </c>
      <c r="BR93" s="490">
        <f>BR92*Flags!BR$30</f>
        <v>0</v>
      </c>
      <c r="BS93" s="490">
        <f>BS92*Flags!BS$30</f>
        <v>0</v>
      </c>
      <c r="BT93" s="490">
        <f>BT92*Flags!BT$30</f>
        <v>0</v>
      </c>
      <c r="BU93" s="490">
        <f>BU92*Flags!BU$30</f>
        <v>0</v>
      </c>
      <c r="BV93" s="490">
        <f>BV92*Flags!BV$30</f>
        <v>0</v>
      </c>
      <c r="BW93" s="490">
        <f>BW92*Flags!BW$30</f>
        <v>0</v>
      </c>
      <c r="BX93" s="490">
        <f>BX92*Flags!BX$30</f>
        <v>0</v>
      </c>
      <c r="BY93" s="490">
        <f>BY92*Flags!BY$30</f>
        <v>0</v>
      </c>
      <c r="BZ93" s="490">
        <f>BZ92*Flags!BZ$30</f>
        <v>0</v>
      </c>
      <c r="CA93" s="490">
        <f>CA92*Flags!CA$30</f>
        <v>0</v>
      </c>
      <c r="CB93" s="490">
        <f>CB92*Flags!CB$30</f>
        <v>0</v>
      </c>
      <c r="CC93" s="490">
        <f>CC92*Flags!CC$30</f>
        <v>0</v>
      </c>
      <c r="CD93" s="490">
        <f>CD92*Flags!CD$30</f>
        <v>10000000</v>
      </c>
      <c r="CE93" s="490">
        <f>CE92*Flags!CE$30</f>
        <v>0</v>
      </c>
      <c r="CF93" s="490">
        <f>CF92*Flags!CF$30</f>
        <v>0</v>
      </c>
      <c r="CG93" s="490">
        <f>CG92*Flags!CG$30</f>
        <v>0</v>
      </c>
      <c r="CH93" s="490">
        <f>CH92*Flags!CH$30</f>
        <v>0</v>
      </c>
      <c r="CI93" s="490">
        <f>CI92*Flags!CI$30</f>
        <v>0</v>
      </c>
      <c r="CJ93" s="490">
        <f>CJ92*Flags!CJ$30</f>
        <v>0</v>
      </c>
      <c r="CK93" s="490">
        <f>CK92*Flags!CK$30</f>
        <v>0</v>
      </c>
      <c r="CL93" s="490">
        <f>CL92*Flags!CL$30</f>
        <v>0</v>
      </c>
      <c r="CM93" s="490">
        <f>CM92*Flags!CM$30</f>
        <v>0</v>
      </c>
      <c r="CN93" s="490">
        <f>CN92*Flags!CN$30</f>
        <v>0</v>
      </c>
      <c r="CO93" s="490">
        <f>CO92*Flags!CO$30</f>
        <v>0</v>
      </c>
      <c r="CP93" s="490">
        <f>CP92*Flags!CP$30</f>
        <v>0</v>
      </c>
      <c r="CQ93" s="490">
        <f>CQ92*Flags!CQ$30</f>
        <v>0</v>
      </c>
      <c r="CR93" s="490">
        <f>CR92*Flags!CR$30</f>
        <v>0</v>
      </c>
      <c r="CS93" s="490">
        <f>CS92*Flags!CS$30</f>
        <v>0</v>
      </c>
      <c r="CT93" s="490">
        <f>CT92*Flags!CT$30</f>
        <v>0</v>
      </c>
      <c r="CU93" s="490">
        <f>CU92*Flags!CU$30</f>
        <v>0</v>
      </c>
      <c r="CV93" s="490">
        <f>CV92*Flags!CV$30</f>
        <v>0</v>
      </c>
      <c r="CW93" s="490">
        <f>CW92*Flags!CW$30</f>
        <v>0</v>
      </c>
      <c r="CX93" s="490">
        <f>CX92*Flags!CX$30</f>
        <v>0</v>
      </c>
      <c r="CY93" s="490">
        <f>CY92*Flags!CY$30</f>
        <v>0</v>
      </c>
      <c r="CZ93" s="490">
        <f>CZ92*Flags!CZ$30</f>
        <v>0</v>
      </c>
      <c r="DA93" s="490">
        <f>DA92*Flags!DA$30</f>
        <v>0</v>
      </c>
      <c r="DB93" s="490">
        <f>DB92*Flags!DB$30</f>
        <v>0</v>
      </c>
      <c r="DC93" s="490">
        <f>DC92*Flags!DC$30</f>
        <v>0</v>
      </c>
      <c r="DD93" s="490">
        <f>DD92*Flags!DD$30</f>
        <v>0</v>
      </c>
      <c r="DE93" s="490">
        <f>DE92*Flags!DE$30</f>
        <v>0</v>
      </c>
      <c r="DF93" s="490">
        <f>DF92*Flags!DF$30</f>
        <v>0</v>
      </c>
      <c r="DG93" s="490">
        <f>DG92*Flags!DG$30</f>
        <v>0</v>
      </c>
      <c r="DH93" s="490">
        <f>DH92*Flags!DH$30</f>
        <v>0</v>
      </c>
      <c r="DI93" s="490">
        <f>DI92*Flags!DI$30</f>
        <v>0</v>
      </c>
      <c r="DJ93" s="490">
        <f>DJ92*Flags!DJ$30</f>
        <v>0</v>
      </c>
      <c r="DK93" s="490">
        <f>DK92*Flags!DK$30</f>
        <v>0</v>
      </c>
      <c r="DL93" s="490">
        <f>DL92*Flags!DL$30</f>
        <v>0</v>
      </c>
      <c r="DM93" s="490">
        <f>DM92*Flags!DM$30</f>
        <v>0</v>
      </c>
      <c r="DN93" s="490">
        <f>DN92*Flags!DN$30</f>
        <v>0</v>
      </c>
      <c r="DO93" s="490">
        <f>DO92*Flags!DO$30</f>
        <v>0</v>
      </c>
      <c r="DP93" s="490">
        <f>DP92*Flags!DP$30</f>
        <v>0</v>
      </c>
      <c r="DQ93" s="490">
        <f>DQ92*Flags!DQ$30</f>
        <v>0</v>
      </c>
      <c r="DR93" s="490">
        <f>DR92*Flags!DR$30</f>
        <v>0</v>
      </c>
      <c r="DS93" s="490">
        <f>DS92*Flags!DS$30</f>
        <v>0</v>
      </c>
      <c r="DT93" s="490">
        <f>DT92*Flags!DT$30</f>
        <v>0</v>
      </c>
      <c r="DU93" s="490">
        <f>DU92*Flags!DU$30</f>
        <v>0</v>
      </c>
      <c r="DV93" s="490">
        <f>DV92*Flags!DV$30</f>
        <v>0</v>
      </c>
      <c r="DW93" s="490">
        <f>DW92*Flags!DW$30</f>
        <v>0</v>
      </c>
      <c r="DX93" s="490">
        <f>DX92*Flags!DX$30</f>
        <v>0</v>
      </c>
      <c r="DY93" s="490">
        <f>DY92*Flags!DY$30</f>
        <v>0</v>
      </c>
    </row>
    <row r="94" spans="2:129" s="43" customFormat="1">
      <c r="C94" s="43" t="s">
        <v>640</v>
      </c>
      <c r="F94" s="126"/>
      <c r="G94" s="126"/>
      <c r="H94" s="126"/>
      <c r="J94" s="490">
        <f>IF(J93=0,IF($E91="USD",I94*(1+Flags!$D$31)^(1/12)-J98,I94-J98),J93-J98)</f>
        <v>0</v>
      </c>
      <c r="K94" s="490">
        <f>IF(K93=0,IF($E91="USD",J94*(1+Flags!$D$31)^(1/12)-K98,J94-K98),K93-K98)</f>
        <v>0</v>
      </c>
      <c r="L94" s="490">
        <f>IF(L93=0,IF($E91="USD",K94*(1+Flags!$D$31)^(1/12)-L98,K94-L98),L93-L98)</f>
        <v>0</v>
      </c>
      <c r="M94" s="490">
        <f>IF(M93=0,IF($E91="USD",L94*(1+Flags!$D$31)^(1/12)-M98,L94-M98),M93-M98)</f>
        <v>0</v>
      </c>
      <c r="N94" s="490">
        <f>IF(N93=0,IF($E91="USD",M94*(1+Flags!$D$31)^(1/12)-N98,M94-N98),N93-N98)</f>
        <v>0</v>
      </c>
      <c r="O94" s="490">
        <f>IF(O93=0,IF($E91="USD",N94*(1+Flags!$D$31)^(1/12)-O98,N94-O98),O93-O98)</f>
        <v>0</v>
      </c>
      <c r="P94" s="490">
        <f>IF(P93=0,IF($E91="USD",O94*(1+Flags!$D$31)^(1/12)-P98,O94-P98),P93-P98)</f>
        <v>0</v>
      </c>
      <c r="Q94" s="490">
        <f>IF(Q93=0,IF($E91="USD",P94*(1+Flags!$D$31)^(1/12)-Q98,P94-Q98),Q93-Q98)</f>
        <v>0</v>
      </c>
      <c r="R94" s="490">
        <f>IF(R93=0,IF($E91="USD",Q94*(1+Flags!$D$31)^(1/12)-R98,Q94-R98),R93-R98)</f>
        <v>0</v>
      </c>
      <c r="S94" s="490">
        <f>IF(S93=0,IF($E91="USD",R94*(1+Flags!$D$31)^(1/12)-S98,R94-S98),S93-S98)</f>
        <v>0</v>
      </c>
      <c r="T94" s="490">
        <f>IF(T93=0,IF($E91="USD",S94*(1+Flags!$D$31)^(1/12)-T98,S94-T98),T93-T98)</f>
        <v>0</v>
      </c>
      <c r="U94" s="490">
        <f>IF(U93=0,IF($E91="USD",T94*(1+Flags!$D$31)^(1/12)-U98,T94-U98),U93-U98)</f>
        <v>0</v>
      </c>
      <c r="V94" s="490">
        <f>IF(V93=0,IF($E91="USD",U94*(1+Flags!$D$31)^(1/12)-V98,U94-V98),V93-V98)</f>
        <v>0</v>
      </c>
      <c r="W94" s="490">
        <f>IF(W93=0,IF($E91="USD",V94*(1+Flags!$D$31)^(1/12)-W98,V94-W98),W93-W98)</f>
        <v>0</v>
      </c>
      <c r="X94" s="490">
        <f>IF(X93=0,IF($E91="USD",W94*(1+Flags!$D$31)^(1/12)-X98,W94-X98),X93-X98)</f>
        <v>0</v>
      </c>
      <c r="Y94" s="490">
        <f>IF(Y93=0,IF($E91="USD",X94*(1+Flags!$D$31)^(1/12)-Y98,X94-Y98),Y93-Y98)</f>
        <v>0</v>
      </c>
      <c r="Z94" s="490">
        <f>IF(Z93=0,IF($E91="USD",Y94*(1+Flags!$D$31)^(1/12)-Z98,Y94-Z98),Z93-Z98)</f>
        <v>0</v>
      </c>
      <c r="AA94" s="490">
        <f>IF(AA93=0,IF($E91="USD",Z94*(1+Flags!$D$31)^(1/12)-AA98,Z94-AA98),AA93-AA98)</f>
        <v>0</v>
      </c>
      <c r="AB94" s="490">
        <f>IF(AB93=0,IF($E91="USD",AA94*(1+Flags!$D$31)^(1/12)-AB98,AA94-AB98),AB93-AB98)</f>
        <v>0</v>
      </c>
      <c r="AC94" s="490">
        <f>IF(AC93=0,IF($E91="USD",AB94*(1+Flags!$D$31)^(1/12)-AC98,AB94-AC98),AC93-AC98)</f>
        <v>0</v>
      </c>
      <c r="AD94" s="490">
        <f>IF(AD93=0,IF($E91="USD",AC94*(1+Flags!$D$31)^(1/12)-AD98,AC94-AD98),AD93-AD98)</f>
        <v>0</v>
      </c>
      <c r="AE94" s="490">
        <f>IF(AE93=0,IF($E91="USD",AD94*(1+Flags!$D$31)^(1/12)-AE98,AD94-AE98),AE93-AE98)</f>
        <v>0</v>
      </c>
      <c r="AF94" s="490">
        <f>IF(AF93=0,IF($E91="USD",AE94*(1+Flags!$D$31)^(1/12)-AF98,AE94-AF98),AF93-AF98)</f>
        <v>0</v>
      </c>
      <c r="AG94" s="490">
        <f>IF(AG93=0,IF($E91="USD",AF94*(1+Flags!$D$31)^(1/12)-AG98,AF94-AG98),AG93-AG98)</f>
        <v>0</v>
      </c>
      <c r="AH94" s="490">
        <f>IF(AH93=0,IF($E91="USD",AG94*(1+Flags!$D$31)^(1/12)-AH98,AG94-AH98),AH93-AH98)</f>
        <v>0</v>
      </c>
      <c r="AI94" s="490">
        <f>IF(AI93=0,IF($E91="USD",AH94*(1+Flags!$D$31)^(1/12)-AI98,AH94-AI98),AI93-AI98)</f>
        <v>0</v>
      </c>
      <c r="AJ94" s="490">
        <f>IF(AJ93=0,IF($E91="USD",AI94*(1+Flags!$D$31)^(1/12)-AJ98,AI94-AJ98),AJ93-AJ98)</f>
        <v>0</v>
      </c>
      <c r="AK94" s="490">
        <f>IF(AK93=0,IF($E91="USD",AJ94*(1+Flags!$D$31)^(1/12)-AK98,AJ94-AK98),AK93-AK98)</f>
        <v>0</v>
      </c>
      <c r="AL94" s="490">
        <f>IF(AL93=0,IF($E91="USD",AK94*(1+Flags!$D$31)^(1/12)-AL98,AK94-AL98),AL93-AL98)</f>
        <v>0</v>
      </c>
      <c r="AM94" s="490">
        <f>IF(AM93=0,IF($E91="USD",AL94*(1+Flags!$D$31)^(1/12)-AM98,AL94-AM98),AM93-AM98)</f>
        <v>0</v>
      </c>
      <c r="AN94" s="490">
        <f>IF(AN93=0,IF($E91="USD",AM94*(1+Flags!$D$31)^(1/12)-AN98,AM94-AN98),AN93-AN98)</f>
        <v>0</v>
      </c>
      <c r="AO94" s="490">
        <f>IF(AO93=0,IF($E91="USD",AN94*(1+Flags!$D$31)^(1/12)-AO98,AN94-AO98),AO93-AO98)</f>
        <v>0</v>
      </c>
      <c r="AP94" s="490">
        <f>IF(AP93=0,IF($E91="USD",AO94*(1+Flags!$D$31)^(1/12)-AP98,AO94-AP98),AP93-AP98)</f>
        <v>0</v>
      </c>
      <c r="AQ94" s="490">
        <f>IF(AQ93=0,IF($E91="USD",AP94*(1+Flags!$D$31)^(1/12)-AQ98,AP94-AQ98),AQ93-AQ98)</f>
        <v>0</v>
      </c>
      <c r="AR94" s="490">
        <f>IF(AR93=0,IF($E91="USD",AQ94*(1+Flags!$D$31)^(1/12)-AR98,AQ94-AR98),AR93-AR98)</f>
        <v>0</v>
      </c>
      <c r="AS94" s="490">
        <f>IF(AS93=0,IF($E91="USD",AR94*(1+Flags!$D$31)^(1/12)-AS98,AR94-AS98),AS93-AS98)</f>
        <v>0</v>
      </c>
      <c r="AT94" s="490">
        <f>IF(AT93=0,IF($E91="USD",AS94*(1+Flags!$D$31)^(1/12)-AT98,AS94-AT98),AT93-AT98)</f>
        <v>0</v>
      </c>
      <c r="AU94" s="490">
        <f>IF(AU93=0,IF($E91="USD",AT94*(1+Flags!$D$31)^(1/12)-AU98,AT94-AU98),AU93-AU98)</f>
        <v>0</v>
      </c>
      <c r="AV94" s="490">
        <f>IF(AV93=0,IF($E91="USD",AU94*(1+Flags!$D$31)^(1/12)-AV98,AU94-AV98),AV93-AV98)</f>
        <v>0</v>
      </c>
      <c r="AW94" s="490">
        <f>IF(AW93=0,IF($E91="USD",AV94*(1+Flags!$D$31)^(1/12)-AW98,AV94-AW98),AW93-AW98)</f>
        <v>0</v>
      </c>
      <c r="AX94" s="490">
        <f>IF(AX93=0,IF($E91="USD",AW94*(1+Flags!$D$31)^(1/12)-AX98,AW94-AX98),AX93-AX98)</f>
        <v>0</v>
      </c>
      <c r="AY94" s="490">
        <f>IF(AY93=0,IF($E91="USD",AX94*(1+Flags!$D$31)^(1/12)-AY98,AX94-AY98),AY93-AY98)</f>
        <v>0</v>
      </c>
      <c r="AZ94" s="490">
        <f>IF(AZ93=0,IF($E91="USD",AY94*(1+Flags!$D$31)^(1/12)-AZ98,AY94-AZ98),AZ93-AZ98)</f>
        <v>0</v>
      </c>
      <c r="BA94" s="490">
        <f>IF(BA93=0,IF($E91="USD",AZ94*(1+Flags!$D$31)^(1/12)-BA98,AZ94-BA98),BA93-BA98)</f>
        <v>0</v>
      </c>
      <c r="BB94" s="490">
        <f>IF(BB93=0,IF($E91="USD",BA94*(1+Flags!$D$31)^(1/12)-BB98,BA94-BB98),BB93-BB98)</f>
        <v>0</v>
      </c>
      <c r="BC94" s="490">
        <f>IF(BC93=0,IF($E91="USD",BB94*(1+Flags!$D$31)^(1/12)-BC98,BB94-BC98),BC93-BC98)</f>
        <v>0</v>
      </c>
      <c r="BD94" s="490">
        <f>IF(BD93=0,IF($E91="USD",BC94*(1+Flags!$D$31)^(1/12)-BD98,BC94-BD98),BD93-BD98)</f>
        <v>0</v>
      </c>
      <c r="BE94" s="490">
        <f>IF(BE93=0,IF($E91="USD",BD94*(1+Flags!$D$31)^(1/12)-BE98,BD94-BE98),BE93-BE98)</f>
        <v>0</v>
      </c>
      <c r="BF94" s="490">
        <f>IF(BF93=0,IF($E91="USD",BE94*(1+Flags!$D$31)^(1/12)-BF98,BE94-BF98),BF93-BF98)</f>
        <v>0</v>
      </c>
      <c r="BG94" s="490">
        <f>IF(BG93=0,IF($E91="USD",BF94*(1+Flags!$D$31)^(1/12)-BG98,BF94-BG98),BG93-BG98)</f>
        <v>0</v>
      </c>
      <c r="BH94" s="490">
        <f>IF(BH93=0,IF($E91="USD",BG94*(1+Flags!$D$31)^(1/12)-BH98,BG94-BH98),BH93-BH98)</f>
        <v>0</v>
      </c>
      <c r="BI94" s="490">
        <f>IF(BI93=0,IF($E91="USD",BH94*(1+Flags!$D$31)^(1/12)-BI98,BH94-BI98),BI93-BI98)</f>
        <v>0</v>
      </c>
      <c r="BJ94" s="490">
        <f>IF(BJ93=0,IF($E91="USD",BI94*(1+Flags!$D$31)^(1/12)-BJ98,BI94-BJ98),BJ93-BJ98)</f>
        <v>0</v>
      </c>
      <c r="BK94" s="490">
        <f>IF(BK93=0,IF($E91="USD",BJ94*(1+Flags!$D$31)^(1/12)-BK98,BJ94-BK98),BK93-BK98)</f>
        <v>0</v>
      </c>
      <c r="BL94" s="490">
        <f>IF(BL93=0,IF($E91="USD",BK94*(1+Flags!$D$31)^(1/12)-BL98,BK94-BL98),BL93-BL98)</f>
        <v>0</v>
      </c>
      <c r="BM94" s="490">
        <f>IF(BM93=0,IF($E91="USD",BL94*(1+Flags!$D$31)^(1/12)-BM98,BL94-BM98),BM93-BM98)</f>
        <v>0</v>
      </c>
      <c r="BN94" s="490">
        <f>IF(BN93=0,IF($E91="USD",BM94*(1+Flags!$D$31)^(1/12)-BN98,BM94-BN98),BN93-BN98)</f>
        <v>0</v>
      </c>
      <c r="BO94" s="490">
        <f>IF(BO93=0,IF($E91="USD",BN94*(1+Flags!$D$31)^(1/12)-BO98,BN94-BO98),BO93-BO98)</f>
        <v>0</v>
      </c>
      <c r="BP94" s="490">
        <f>IF(BP93=0,IF($E91="USD",BO94*(1+Flags!$D$31)^(1/12)-BP98,BO94-BP98),BP93-BP98)</f>
        <v>0</v>
      </c>
      <c r="BQ94" s="490">
        <f>IF(BQ93=0,IF($E91="USD",BP94*(1+Flags!$D$31)^(1/12)-BQ98,BP94-BQ98),BQ93-BQ98)</f>
        <v>0</v>
      </c>
      <c r="BR94" s="490">
        <f>IF(BR93=0,IF($E91="USD",BQ94*(1+Flags!$D$31)^(1/12)-BR98,BQ94-BR98),BR93-BR98)</f>
        <v>0</v>
      </c>
      <c r="BS94" s="490">
        <f>IF(BS93=0,IF($E91="USD",BR94*(1+Flags!$D$31)^(1/12)-BS98,BR94-BS98),BS93-BS98)</f>
        <v>0</v>
      </c>
      <c r="BT94" s="490">
        <f>IF(BT93=0,IF($E91="USD",BS94*(1+Flags!$D$31)^(1/12)-BT98,BS94-BT98),BT93-BT98)</f>
        <v>0</v>
      </c>
      <c r="BU94" s="490">
        <f>IF(BU93=0,IF($E91="USD",BT94*(1+Flags!$D$31)^(1/12)-BU98,BT94-BU98),BU93-BU98)</f>
        <v>0</v>
      </c>
      <c r="BV94" s="490">
        <f>IF(BV93=0,IF($E91="USD",BU94*(1+Flags!$D$31)^(1/12)-BV98,BU94-BV98),BV93-BV98)</f>
        <v>0</v>
      </c>
      <c r="BW94" s="490">
        <f>IF(BW93=0,IF($E91="USD",BV94*(1+Flags!$D$31)^(1/12)-BW98,BV94-BW98),BW93-BW98)</f>
        <v>0</v>
      </c>
      <c r="BX94" s="490">
        <f>IF(BX93=0,IF($E91="USD",BW94*(1+Flags!$D$31)^(1/12)-BX98,BW94-BX98),BX93-BX98)</f>
        <v>0</v>
      </c>
      <c r="BY94" s="490">
        <f>IF(BY93=0,IF($E91="USD",BX94*(1+Flags!$D$31)^(1/12)-BY98,BX94-BY98),BY93-BY98)</f>
        <v>0</v>
      </c>
      <c r="BZ94" s="490">
        <f>IF(BZ93=0,IF($E91="USD",BY94*(1+Flags!$D$31)^(1/12)-BZ98,BY94-BZ98),BZ93-BZ98)</f>
        <v>0</v>
      </c>
      <c r="CA94" s="490">
        <f>IF(CA93=0,IF($E91="USD",BZ94*(1+Flags!$D$31)^(1/12)-CA98,BZ94-CA98),CA93-CA98)</f>
        <v>0</v>
      </c>
      <c r="CB94" s="490">
        <f>IF(CB93=0,IF($E91="USD",CA94*(1+Flags!$D$31)^(1/12)-CB98,CA94-CB98),CB93-CB98)</f>
        <v>0</v>
      </c>
      <c r="CC94" s="490">
        <f>IF(CC93=0,IF($E91="USD",CB94*(1+Flags!$D$31)^(1/12)-CC98,CB94-CC98),CC93-CC98)</f>
        <v>0</v>
      </c>
      <c r="CD94" s="490">
        <f>IF(CD93=0,IF($E91="USD",CC94*(1+Flags!$D$31)^(1/12)-CD98,CC94-CD98),CD93-CD98)</f>
        <v>10000000</v>
      </c>
      <c r="CE94" s="490">
        <f>IF(CE93=0,IF($E91="USD",CD94*(1+Flags!$D$31)^(1/12)-CE98,CD94-CE98),CE93-CE98)</f>
        <v>10000000</v>
      </c>
      <c r="CF94" s="490">
        <f>IF(CF93=0,IF($E91="USD",CE94*(1+Flags!$D$31)^(1/12)-CF98,CE94-CF98),CF93-CF98)</f>
        <v>10000000</v>
      </c>
      <c r="CG94" s="490">
        <f>IF(CG93=0,IF($E91="USD",CF94*(1+Flags!$D$31)^(1/12)-CG98,CF94-CG98),CG93-CG98)</f>
        <v>10000000</v>
      </c>
      <c r="CH94" s="490">
        <f>IF(CH93=0,IF($E91="USD",CG94*(1+Flags!$D$31)^(1/12)-CH98,CG94-CH98),CH93-CH98)</f>
        <v>10000000</v>
      </c>
      <c r="CI94" s="490">
        <f>IF(CI93=0,IF($E91="USD",CH94*(1+Flags!$D$31)^(1/12)-CI98,CH94-CI98),CI93-CI98)</f>
        <v>10000000</v>
      </c>
      <c r="CJ94" s="490">
        <f>IF(CJ93=0,IF($E91="USD",CI94*(1+Flags!$D$31)^(1/12)-CJ98,CI94-CJ98),CJ93-CJ98)</f>
        <v>9814814.8148148153</v>
      </c>
      <c r="CK94" s="490">
        <f>IF(CK93=0,IF($E91="USD",CJ94*(1+Flags!$D$31)^(1/12)-CK98,CJ94-CK98),CK93-CK98)</f>
        <v>9629629.6296296306</v>
      </c>
      <c r="CL94" s="490">
        <f>IF(CL93=0,IF($E91="USD",CK94*(1+Flags!$D$31)^(1/12)-CL98,CK94-CL98),CL93-CL98)</f>
        <v>9444444.4444444459</v>
      </c>
      <c r="CM94" s="490">
        <f>IF(CM93=0,IF($E91="USD",CL94*(1+Flags!$D$31)^(1/12)-CM98,CL94-CM98),CM93-CM98)</f>
        <v>9259259.2592592612</v>
      </c>
      <c r="CN94" s="490">
        <f>IF(CN93=0,IF($E91="USD",CM94*(1+Flags!$D$31)^(1/12)-CN98,CM94-CN98),CN93-CN98)</f>
        <v>9074074.0740740765</v>
      </c>
      <c r="CO94" s="490">
        <f>IF(CO93=0,IF($E91="USD",CN94*(1+Flags!$D$31)^(1/12)-CO98,CN94-CO98),CO93-CO98)</f>
        <v>8888888.8888888918</v>
      </c>
      <c r="CP94" s="490">
        <f>IF(CP93=0,IF($E91="USD",CO94*(1+Flags!$D$31)^(1/12)-CP98,CO94-CP98),CP93-CP98)</f>
        <v>8703703.7037037071</v>
      </c>
      <c r="CQ94" s="490">
        <f>IF(CQ93=0,IF($E91="USD",CP94*(1+Flags!$D$31)^(1/12)-CQ98,CP94-CQ98),CQ93-CQ98)</f>
        <v>8518518.5185185224</v>
      </c>
      <c r="CR94" s="490">
        <f>IF(CR93=0,IF($E91="USD",CQ94*(1+Flags!$D$31)^(1/12)-CR98,CQ94-CR98),CR93-CR98)</f>
        <v>8333333.3333333377</v>
      </c>
      <c r="CS94" s="490">
        <f>IF(CS93=0,IF($E91="USD",CR94*(1+Flags!$D$31)^(1/12)-CS98,CR94-CS98),CS93-CS98)</f>
        <v>8148148.148148153</v>
      </c>
      <c r="CT94" s="490">
        <f>IF(CT93=0,IF($E91="USD",CS94*(1+Flags!$D$31)^(1/12)-CT98,CS94-CT98),CT93-CT98)</f>
        <v>7962962.9629629683</v>
      </c>
      <c r="CU94" s="490">
        <f>IF(CU93=0,IF($E91="USD",CT94*(1+Flags!$D$31)^(1/12)-CU98,CT94-CU98),CU93-CU98)</f>
        <v>7777777.7777777836</v>
      </c>
      <c r="CV94" s="490">
        <f>IF(CV93=0,IF($E91="USD",CU94*(1+Flags!$D$31)^(1/12)-CV98,CU94-CV98),CV93-CV98)</f>
        <v>7592592.5925925989</v>
      </c>
      <c r="CW94" s="490">
        <f>IF(CW93=0,IF($E91="USD",CV94*(1+Flags!$D$31)^(1/12)-CW98,CV94-CW98),CW93-CW98)</f>
        <v>7407407.4074074142</v>
      </c>
      <c r="CX94" s="490">
        <f>IF(CX93=0,IF($E91="USD",CW94*(1+Flags!$D$31)^(1/12)-CX98,CW94-CX98),CX93-CX98)</f>
        <v>7222222.2222222295</v>
      </c>
      <c r="CY94" s="490">
        <f>IF(CY93=0,IF($E91="USD",CX94*(1+Flags!$D$31)^(1/12)-CY98,CX94-CY98),CY93-CY98)</f>
        <v>7037037.0370370448</v>
      </c>
      <c r="CZ94" s="490">
        <f>IF(CZ93=0,IF($E91="USD",CY94*(1+Flags!$D$31)^(1/12)-CZ98,CY94-CZ98),CZ93-CZ98)</f>
        <v>6851851.8518518601</v>
      </c>
      <c r="DA94" s="490">
        <f>IF(DA93=0,IF($E91="USD",CZ94*(1+Flags!$D$31)^(1/12)-DA98,CZ94-DA98),DA93-DA98)</f>
        <v>6666666.6666666754</v>
      </c>
      <c r="DB94" s="490">
        <f>IF(DB93=0,IF($E91="USD",DA94*(1+Flags!$D$31)^(1/12)-DB98,DA94-DB98),DB93-DB98)</f>
        <v>6481481.4814814907</v>
      </c>
      <c r="DC94" s="490">
        <f>IF(DC93=0,IF($E91="USD",DB94*(1+Flags!$D$31)^(1/12)-DC98,DB94-DC98),DC93-DC98)</f>
        <v>6296296.296296306</v>
      </c>
      <c r="DD94" s="490">
        <f>IF(DD93=0,IF($E91="USD",DC94*(1+Flags!$D$31)^(1/12)-DD98,DC94-DD98),DD93-DD98)</f>
        <v>6111111.1111111213</v>
      </c>
      <c r="DE94" s="490">
        <f>IF(DE93=0,IF($E91="USD",DD94*(1+Flags!$D$31)^(1/12)-DE98,DD94-DE98),DE93-DE98)</f>
        <v>5925925.9259259365</v>
      </c>
      <c r="DF94" s="490">
        <f>IF(DF93=0,IF($E91="USD",DE94*(1+Flags!$D$31)^(1/12)-DF98,DE94-DF98),DF93-DF98)</f>
        <v>5740740.7407407518</v>
      </c>
      <c r="DG94" s="490">
        <f>IF(DG93=0,IF($E91="USD",DF94*(1+Flags!$D$31)^(1/12)-DG98,DF94-DG98),DG93-DG98)</f>
        <v>5555555.5555555671</v>
      </c>
      <c r="DH94" s="490">
        <f>IF(DH93=0,IF($E91="USD",DG94*(1+Flags!$D$31)^(1/12)-DH98,DG94-DH98),DH93-DH98)</f>
        <v>5370370.3703703824</v>
      </c>
      <c r="DI94" s="490">
        <f>IF(DI93=0,IF($E91="USD",DH94*(1+Flags!$D$31)^(1/12)-DI98,DH94-DI98),DI93-DI98)</f>
        <v>5185185.1851851977</v>
      </c>
      <c r="DJ94" s="490">
        <f>IF(DJ93=0,IF($E91="USD",DI94*(1+Flags!$D$31)^(1/12)-DJ98,DI94-DJ98),DJ93-DJ98)</f>
        <v>5000000.000000013</v>
      </c>
      <c r="DK94" s="490">
        <f>IF(DK93=0,IF($E91="USD",DJ94*(1+Flags!$D$31)^(1/12)-DK98,DJ94-DK98),DK93-DK98)</f>
        <v>4814814.8148148283</v>
      </c>
      <c r="DL94" s="490">
        <f>IF(DL93=0,IF($E91="USD",DK94*(1+Flags!$D$31)^(1/12)-DL98,DK94-DL98),DL93-DL98)</f>
        <v>4629629.6296296436</v>
      </c>
      <c r="DM94" s="490">
        <f>IF(DM93=0,IF($E91="USD",DL94*(1+Flags!$D$31)^(1/12)-DM98,DL94-DM98),DM93-DM98)</f>
        <v>4444444.4444444589</v>
      </c>
      <c r="DN94" s="490">
        <f>IF(DN93=0,IF($E91="USD",DM94*(1+Flags!$D$31)^(1/12)-DN98,DM94-DN98),DN93-DN98)</f>
        <v>4259259.2592592742</v>
      </c>
      <c r="DO94" s="490">
        <f>IF(DO93=0,IF($E91="USD",DN94*(1+Flags!$D$31)^(1/12)-DO98,DN94-DO98),DO93-DO98)</f>
        <v>4074074.0740740891</v>
      </c>
      <c r="DP94" s="490">
        <f>IF(DP93=0,IF($E91="USD",DO94*(1+Flags!$D$31)^(1/12)-DP98,DO94-DP98),DP93-DP98)</f>
        <v>3888888.8888889039</v>
      </c>
      <c r="DQ94" s="490">
        <f>IF(DQ93=0,IF($E91="USD",DP94*(1+Flags!$D$31)^(1/12)-DQ98,DP94-DQ98),DQ93-DQ98)</f>
        <v>3703703.7037037187</v>
      </c>
      <c r="DR94" s="490">
        <f>IF(DR93=0,IF($E91="USD",DQ94*(1+Flags!$D$31)^(1/12)-DR98,DQ94-DR98),DR93-DR98)</f>
        <v>3518518.5185185336</v>
      </c>
      <c r="DS94" s="490">
        <f>IF(DS93=0,IF($E91="USD",DR94*(1+Flags!$D$31)^(1/12)-DS98,DR94-DS98),DS93-DS98)</f>
        <v>3333333.3333333484</v>
      </c>
      <c r="DT94" s="490">
        <f>IF(DT93=0,IF($E91="USD",DS94*(1+Flags!$D$31)^(1/12)-DT98,DS94-DT98),DT93-DT98)</f>
        <v>3148148.1481481632</v>
      </c>
      <c r="DU94" s="490">
        <f>IF(DU93=0,IF($E91="USD",DT94*(1+Flags!$D$31)^(1/12)-DU98,DT94-DU98),DU93-DU98)</f>
        <v>2962962.9629629781</v>
      </c>
      <c r="DV94" s="490">
        <f>IF(DV93=0,IF($E91="USD",DU94*(1+Flags!$D$31)^(1/12)-DV98,DU94-DV98),DV93-DV98)</f>
        <v>2777777.7777777929</v>
      </c>
      <c r="DW94" s="490">
        <f>IF(DW93=0,IF($E91="USD",DV94*(1+Flags!$D$31)^(1/12)-DW98,DV94-DW98),DW93-DW98)</f>
        <v>2592592.5925926077</v>
      </c>
      <c r="DX94" s="490">
        <f>IF(DX93=0,IF($E91="USD",DW94*(1+Flags!$D$31)^(1/12)-DX98,DW94-DX98),DX93-DX98)</f>
        <v>2407407.4074074226</v>
      </c>
      <c r="DY94" s="490">
        <f>IF(DY93=0,IF($E91="USD",DX94*(1+Flags!$D$31)^(1/12)-DY98,DX94-DY98),DY93-DY98)</f>
        <v>2222222.2222222374</v>
      </c>
    </row>
    <row r="95" spans="2:129" s="43" customFormat="1">
      <c r="C95" s="43" t="s">
        <v>388</v>
      </c>
      <c r="E95" s="482">
        <f>+'Model Assumptions'!J138</f>
        <v>18518.518518518518</v>
      </c>
      <c r="F95" s="126"/>
      <c r="G95" s="126"/>
      <c r="H95" s="12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row>
    <row r="96" spans="2:129" s="43" customFormat="1">
      <c r="C96" s="43" t="s">
        <v>87</v>
      </c>
      <c r="E96" s="483">
        <f>+'Model Assumptions'!J139</f>
        <v>0.5</v>
      </c>
      <c r="F96" s="129"/>
      <c r="G96" s="129"/>
      <c r="H96" s="129"/>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row>
    <row r="97" spans="2:129" s="43" customFormat="1">
      <c r="C97" s="43" t="s">
        <v>395</v>
      </c>
      <c r="E97" s="484">
        <f>+'Model Assumptions'!J140</f>
        <v>5</v>
      </c>
      <c r="F97" s="130"/>
      <c r="G97" s="130"/>
      <c r="H97" s="130"/>
      <c r="J97" s="46">
        <f>+IF(AND(J$1&gt;=DATE(YEAR($E90), MONTH($E90) + $E96*12, DAY($E90)),J$1&lt;DATE(YEAR($E90), MONTH($E90) + $E97*12, DAY($E90))),$E95,0)</f>
        <v>0</v>
      </c>
      <c r="K97" s="46">
        <f t="shared" ref="K97:BU97" si="81">+IF(AND(K$1&gt;=DATE(YEAR($E90), MONTH($E90) + $E96*12, DAY($E90)),K$1&lt;DATE(YEAR($E90), MONTH($E90) + $E97*12, DAY($E90))),$E95,0)</f>
        <v>0</v>
      </c>
      <c r="L97" s="46">
        <f t="shared" si="81"/>
        <v>0</v>
      </c>
      <c r="M97" s="46">
        <f t="shared" si="81"/>
        <v>0</v>
      </c>
      <c r="N97" s="46">
        <f t="shared" si="81"/>
        <v>0</v>
      </c>
      <c r="O97" s="46">
        <f t="shared" si="81"/>
        <v>0</v>
      </c>
      <c r="P97" s="46">
        <f t="shared" si="81"/>
        <v>0</v>
      </c>
      <c r="Q97" s="46">
        <f t="shared" si="81"/>
        <v>0</v>
      </c>
      <c r="R97" s="46">
        <f t="shared" si="81"/>
        <v>0</v>
      </c>
      <c r="S97" s="46">
        <f t="shared" si="81"/>
        <v>0</v>
      </c>
      <c r="T97" s="46">
        <f t="shared" si="81"/>
        <v>0</v>
      </c>
      <c r="U97" s="46">
        <f t="shared" si="81"/>
        <v>0</v>
      </c>
      <c r="V97" s="46">
        <f t="shared" si="81"/>
        <v>0</v>
      </c>
      <c r="W97" s="46">
        <f t="shared" si="81"/>
        <v>0</v>
      </c>
      <c r="X97" s="46">
        <f t="shared" si="81"/>
        <v>0</v>
      </c>
      <c r="Y97" s="46">
        <f t="shared" si="81"/>
        <v>0</v>
      </c>
      <c r="Z97" s="46">
        <f t="shared" si="81"/>
        <v>0</v>
      </c>
      <c r="AA97" s="46">
        <f t="shared" si="81"/>
        <v>0</v>
      </c>
      <c r="AB97" s="46">
        <f t="shared" si="81"/>
        <v>0</v>
      </c>
      <c r="AC97" s="46">
        <f t="shared" si="81"/>
        <v>0</v>
      </c>
      <c r="AD97" s="46">
        <f t="shared" si="81"/>
        <v>0</v>
      </c>
      <c r="AE97" s="46">
        <f t="shared" si="81"/>
        <v>0</v>
      </c>
      <c r="AF97" s="46">
        <f t="shared" si="81"/>
        <v>0</v>
      </c>
      <c r="AG97" s="46">
        <f t="shared" si="81"/>
        <v>0</v>
      </c>
      <c r="AH97" s="46">
        <f t="shared" si="81"/>
        <v>0</v>
      </c>
      <c r="AI97" s="46">
        <f t="shared" si="81"/>
        <v>0</v>
      </c>
      <c r="AJ97" s="46">
        <f t="shared" si="81"/>
        <v>0</v>
      </c>
      <c r="AK97" s="46">
        <f t="shared" si="81"/>
        <v>0</v>
      </c>
      <c r="AL97" s="46">
        <f t="shared" si="81"/>
        <v>0</v>
      </c>
      <c r="AM97" s="46">
        <f t="shared" si="81"/>
        <v>0</v>
      </c>
      <c r="AN97" s="46">
        <f t="shared" si="81"/>
        <v>0</v>
      </c>
      <c r="AO97" s="46">
        <f t="shared" si="81"/>
        <v>0</v>
      </c>
      <c r="AP97" s="46">
        <f t="shared" si="81"/>
        <v>0</v>
      </c>
      <c r="AQ97" s="46">
        <f t="shared" si="81"/>
        <v>0</v>
      </c>
      <c r="AR97" s="46">
        <f t="shared" si="81"/>
        <v>0</v>
      </c>
      <c r="AS97" s="46">
        <f t="shared" si="81"/>
        <v>0</v>
      </c>
      <c r="AT97" s="46">
        <f t="shared" si="81"/>
        <v>0</v>
      </c>
      <c r="AU97" s="46">
        <f t="shared" si="81"/>
        <v>0</v>
      </c>
      <c r="AV97" s="46">
        <f t="shared" si="81"/>
        <v>0</v>
      </c>
      <c r="AW97" s="46">
        <f t="shared" si="81"/>
        <v>0</v>
      </c>
      <c r="AX97" s="46">
        <f t="shared" si="81"/>
        <v>0</v>
      </c>
      <c r="AY97" s="46">
        <f t="shared" si="81"/>
        <v>0</v>
      </c>
      <c r="AZ97" s="46">
        <f t="shared" si="81"/>
        <v>0</v>
      </c>
      <c r="BA97" s="46">
        <f t="shared" si="81"/>
        <v>0</v>
      </c>
      <c r="BB97" s="46">
        <f t="shared" si="81"/>
        <v>0</v>
      </c>
      <c r="BC97" s="46">
        <f t="shared" si="81"/>
        <v>0</v>
      </c>
      <c r="BD97" s="46">
        <f t="shared" si="81"/>
        <v>0</v>
      </c>
      <c r="BE97" s="46">
        <f t="shared" si="81"/>
        <v>0</v>
      </c>
      <c r="BF97" s="46">
        <f t="shared" si="81"/>
        <v>0</v>
      </c>
      <c r="BG97" s="46">
        <f t="shared" si="81"/>
        <v>0</v>
      </c>
      <c r="BH97" s="46">
        <f t="shared" si="81"/>
        <v>0</v>
      </c>
      <c r="BI97" s="46">
        <f t="shared" si="81"/>
        <v>0</v>
      </c>
      <c r="BJ97" s="46">
        <f t="shared" si="81"/>
        <v>0</v>
      </c>
      <c r="BK97" s="46">
        <f t="shared" si="81"/>
        <v>0</v>
      </c>
      <c r="BL97" s="46">
        <f t="shared" si="81"/>
        <v>0</v>
      </c>
      <c r="BM97" s="46">
        <f t="shared" si="81"/>
        <v>0</v>
      </c>
      <c r="BN97" s="46">
        <f t="shared" si="81"/>
        <v>0</v>
      </c>
      <c r="BO97" s="46">
        <f t="shared" si="81"/>
        <v>0</v>
      </c>
      <c r="BP97" s="46">
        <f t="shared" si="81"/>
        <v>0</v>
      </c>
      <c r="BQ97" s="46">
        <f t="shared" si="81"/>
        <v>0</v>
      </c>
      <c r="BR97" s="46">
        <f t="shared" si="81"/>
        <v>0</v>
      </c>
      <c r="BS97" s="46">
        <f t="shared" si="81"/>
        <v>0</v>
      </c>
      <c r="BT97" s="46">
        <f t="shared" si="81"/>
        <v>0</v>
      </c>
      <c r="BU97" s="46">
        <f t="shared" si="81"/>
        <v>0</v>
      </c>
      <c r="BV97" s="46">
        <f t="shared" ref="BV97:CC97" si="82">+IF(AND(BV$1&gt;=DATE(YEAR($E90), MONTH($E90) + $E96*12, DAY($E90)),BV$1&lt;DATE(YEAR($E90), MONTH($E90) + $E97*12, DAY($E90))),$E95,0)</f>
        <v>0</v>
      </c>
      <c r="BW97" s="46">
        <f t="shared" si="82"/>
        <v>0</v>
      </c>
      <c r="BX97" s="46">
        <f t="shared" si="82"/>
        <v>0</v>
      </c>
      <c r="BY97" s="46">
        <f t="shared" si="82"/>
        <v>0</v>
      </c>
      <c r="BZ97" s="46">
        <f t="shared" si="82"/>
        <v>0</v>
      </c>
      <c r="CA97" s="46">
        <f t="shared" si="82"/>
        <v>0</v>
      </c>
      <c r="CB97" s="46">
        <f t="shared" si="82"/>
        <v>0</v>
      </c>
      <c r="CC97" s="46">
        <f t="shared" si="82"/>
        <v>0</v>
      </c>
      <c r="CD97" s="46">
        <f t="shared" ref="CD97:DY97" si="83">+IF(AND(CD$1&gt;=DATE(YEAR($E90), MONTH($E90) + $E96*12, DAY($E90)),CD$1&lt;DATE(YEAR($E90), MONTH($E90) + $E97*12, DAY($E90))),$E95,0)</f>
        <v>0</v>
      </c>
      <c r="CE97" s="46">
        <f t="shared" si="83"/>
        <v>0</v>
      </c>
      <c r="CF97" s="46">
        <f t="shared" si="83"/>
        <v>0</v>
      </c>
      <c r="CG97" s="46">
        <f t="shared" si="83"/>
        <v>0</v>
      </c>
      <c r="CH97" s="46">
        <f t="shared" si="83"/>
        <v>0</v>
      </c>
      <c r="CI97" s="46">
        <f t="shared" si="83"/>
        <v>0</v>
      </c>
      <c r="CJ97" s="46">
        <f t="shared" si="83"/>
        <v>18518.518518518518</v>
      </c>
      <c r="CK97" s="46">
        <f t="shared" si="83"/>
        <v>18518.518518518518</v>
      </c>
      <c r="CL97" s="46">
        <f t="shared" si="83"/>
        <v>18518.518518518518</v>
      </c>
      <c r="CM97" s="46">
        <f t="shared" si="83"/>
        <v>18518.518518518518</v>
      </c>
      <c r="CN97" s="46">
        <f t="shared" si="83"/>
        <v>18518.518518518518</v>
      </c>
      <c r="CO97" s="46">
        <f t="shared" si="83"/>
        <v>18518.518518518518</v>
      </c>
      <c r="CP97" s="46">
        <f t="shared" si="83"/>
        <v>18518.518518518518</v>
      </c>
      <c r="CQ97" s="46">
        <f t="shared" si="83"/>
        <v>18518.518518518518</v>
      </c>
      <c r="CR97" s="46">
        <f t="shared" si="83"/>
        <v>18518.518518518518</v>
      </c>
      <c r="CS97" s="46">
        <f t="shared" si="83"/>
        <v>18518.518518518518</v>
      </c>
      <c r="CT97" s="46">
        <f t="shared" si="83"/>
        <v>18518.518518518518</v>
      </c>
      <c r="CU97" s="46">
        <f t="shared" si="83"/>
        <v>18518.518518518518</v>
      </c>
      <c r="CV97" s="46">
        <f t="shared" si="83"/>
        <v>18518.518518518518</v>
      </c>
      <c r="CW97" s="46">
        <f t="shared" si="83"/>
        <v>18518.518518518518</v>
      </c>
      <c r="CX97" s="46">
        <f t="shared" si="83"/>
        <v>18518.518518518518</v>
      </c>
      <c r="CY97" s="46">
        <f t="shared" si="83"/>
        <v>18518.518518518518</v>
      </c>
      <c r="CZ97" s="46">
        <f t="shared" si="83"/>
        <v>18518.518518518518</v>
      </c>
      <c r="DA97" s="46">
        <f t="shared" si="83"/>
        <v>18518.518518518518</v>
      </c>
      <c r="DB97" s="46">
        <f t="shared" si="83"/>
        <v>18518.518518518518</v>
      </c>
      <c r="DC97" s="46">
        <f t="shared" si="83"/>
        <v>18518.518518518518</v>
      </c>
      <c r="DD97" s="46">
        <f t="shared" si="83"/>
        <v>18518.518518518518</v>
      </c>
      <c r="DE97" s="46">
        <f t="shared" si="83"/>
        <v>18518.518518518518</v>
      </c>
      <c r="DF97" s="46">
        <f t="shared" si="83"/>
        <v>18518.518518518518</v>
      </c>
      <c r="DG97" s="46">
        <f t="shared" si="83"/>
        <v>18518.518518518518</v>
      </c>
      <c r="DH97" s="46">
        <f t="shared" si="83"/>
        <v>18518.518518518518</v>
      </c>
      <c r="DI97" s="46">
        <f t="shared" si="83"/>
        <v>18518.518518518518</v>
      </c>
      <c r="DJ97" s="46">
        <f t="shared" si="83"/>
        <v>18518.518518518518</v>
      </c>
      <c r="DK97" s="46">
        <f t="shared" si="83"/>
        <v>18518.518518518518</v>
      </c>
      <c r="DL97" s="46">
        <f t="shared" si="83"/>
        <v>18518.518518518518</v>
      </c>
      <c r="DM97" s="46">
        <f t="shared" si="83"/>
        <v>18518.518518518518</v>
      </c>
      <c r="DN97" s="46">
        <f t="shared" si="83"/>
        <v>18518.518518518518</v>
      </c>
      <c r="DO97" s="46">
        <f t="shared" si="83"/>
        <v>18518.518518518518</v>
      </c>
      <c r="DP97" s="46">
        <f t="shared" si="83"/>
        <v>18518.518518518518</v>
      </c>
      <c r="DQ97" s="46">
        <f t="shared" si="83"/>
        <v>18518.518518518518</v>
      </c>
      <c r="DR97" s="46">
        <f t="shared" si="83"/>
        <v>18518.518518518518</v>
      </c>
      <c r="DS97" s="46">
        <f t="shared" si="83"/>
        <v>18518.518518518518</v>
      </c>
      <c r="DT97" s="46">
        <f t="shared" si="83"/>
        <v>18518.518518518518</v>
      </c>
      <c r="DU97" s="46">
        <f t="shared" si="83"/>
        <v>18518.518518518518</v>
      </c>
      <c r="DV97" s="46">
        <f t="shared" si="83"/>
        <v>18518.518518518518</v>
      </c>
      <c r="DW97" s="46">
        <f t="shared" si="83"/>
        <v>18518.518518518518</v>
      </c>
      <c r="DX97" s="46">
        <f t="shared" si="83"/>
        <v>18518.518518518518</v>
      </c>
      <c r="DY97" s="46">
        <f t="shared" si="83"/>
        <v>18518.518518518518</v>
      </c>
    </row>
    <row r="98" spans="2:129" s="43" customFormat="1">
      <c r="C98" s="43" t="s">
        <v>389</v>
      </c>
      <c r="E98" s="527"/>
      <c r="F98" s="130"/>
      <c r="G98" s="130"/>
      <c r="H98" s="130"/>
      <c r="J98" s="491">
        <f>IF($E91="LCY",J97*'Model Assumptions'!$J$135,Financing!J97*Flags!J$30)</f>
        <v>0</v>
      </c>
      <c r="K98" s="491">
        <f>IF($E91="LCY",K97*'Model Assumptions'!$J$135,Financing!K97*Flags!K$30)</f>
        <v>0</v>
      </c>
      <c r="L98" s="491">
        <f>IF($E91="LCY",L97*'Model Assumptions'!$J$135,Financing!L97*Flags!L$30)</f>
        <v>0</v>
      </c>
      <c r="M98" s="491">
        <f>IF($E91="LCY",M97*'Model Assumptions'!$J$135,Financing!M97*Flags!M$30)</f>
        <v>0</v>
      </c>
      <c r="N98" s="491">
        <f>IF($E91="LCY",N97*'Model Assumptions'!$J$135,Financing!N97*Flags!N$30)</f>
        <v>0</v>
      </c>
      <c r="O98" s="491">
        <f>IF($E91="LCY",O97*'Model Assumptions'!$J$135,Financing!O97*Flags!O$30)</f>
        <v>0</v>
      </c>
      <c r="P98" s="491">
        <f>IF($E91="LCY",P97*'Model Assumptions'!$J$135,Financing!P97*Flags!P$30)</f>
        <v>0</v>
      </c>
      <c r="Q98" s="491">
        <f>IF($E91="LCY",Q97*'Model Assumptions'!$J$135,Financing!Q97*Flags!Q$30)</f>
        <v>0</v>
      </c>
      <c r="R98" s="491">
        <f>IF($E91="LCY",R97*'Model Assumptions'!$J$135,Financing!R97*Flags!R$30)</f>
        <v>0</v>
      </c>
      <c r="S98" s="491">
        <f>IF($E91="LCY",S97*'Model Assumptions'!$J$135,Financing!S97*Flags!S$30)</f>
        <v>0</v>
      </c>
      <c r="T98" s="491">
        <f>IF($E91="LCY",T97*'Model Assumptions'!$J$135,Financing!T97*Flags!T$30)</f>
        <v>0</v>
      </c>
      <c r="U98" s="491">
        <f>IF($E91="LCY",U97*'Model Assumptions'!$J$135,Financing!U97*Flags!U$30)</f>
        <v>0</v>
      </c>
      <c r="V98" s="491">
        <f>IF($E91="LCY",V97*'Model Assumptions'!$J$135,Financing!V97*Flags!V$30)</f>
        <v>0</v>
      </c>
      <c r="W98" s="491">
        <f>IF($E91="LCY",W97*'Model Assumptions'!$J$135,Financing!W97*Flags!W$30)</f>
        <v>0</v>
      </c>
      <c r="X98" s="491">
        <f>IF($E91="LCY",X97*'Model Assumptions'!$J$135,Financing!X97*Flags!X$30)</f>
        <v>0</v>
      </c>
      <c r="Y98" s="491">
        <f>IF($E91="LCY",Y97*'Model Assumptions'!$J$135,Financing!Y97*Flags!Y$30)</f>
        <v>0</v>
      </c>
      <c r="Z98" s="491">
        <f>IF($E91="LCY",Z97*'Model Assumptions'!$J$135,Financing!Z97*Flags!Z$30)</f>
        <v>0</v>
      </c>
      <c r="AA98" s="491">
        <f>IF($E91="LCY",AA97*'Model Assumptions'!$J$135,Financing!AA97*Flags!AA$30)</f>
        <v>0</v>
      </c>
      <c r="AB98" s="491">
        <f>IF($E91="LCY",AB97*'Model Assumptions'!$J$135,Financing!AB97*Flags!AB$30)</f>
        <v>0</v>
      </c>
      <c r="AC98" s="491">
        <f>IF($E91="LCY",AC97*'Model Assumptions'!$J$135,Financing!AC97*Flags!AC$30)</f>
        <v>0</v>
      </c>
      <c r="AD98" s="491">
        <f>IF($E91="LCY",AD97*'Model Assumptions'!$J$135,Financing!AD97*Flags!AD$30)</f>
        <v>0</v>
      </c>
      <c r="AE98" s="491">
        <f>IF($E91="LCY",AE97*'Model Assumptions'!$J$135,Financing!AE97*Flags!AE$30)</f>
        <v>0</v>
      </c>
      <c r="AF98" s="491">
        <f>IF($E91="LCY",AF97*'Model Assumptions'!$J$135,Financing!AF97*Flags!AF$30)</f>
        <v>0</v>
      </c>
      <c r="AG98" s="491">
        <f>IF($E91="LCY",AG97*'Model Assumptions'!$J$135,Financing!AG97*Flags!AG$30)</f>
        <v>0</v>
      </c>
      <c r="AH98" s="491">
        <f>IF($E91="LCY",AH97*'Model Assumptions'!$J$135,Financing!AH97*Flags!AH$30)</f>
        <v>0</v>
      </c>
      <c r="AI98" s="491">
        <f>IF($E91="LCY",AI97*'Model Assumptions'!$J$135,Financing!AI97*Flags!AI$30)</f>
        <v>0</v>
      </c>
      <c r="AJ98" s="491">
        <f>IF($E91="LCY",AJ97*'Model Assumptions'!$J$135,Financing!AJ97*Flags!AJ$30)</f>
        <v>0</v>
      </c>
      <c r="AK98" s="491">
        <f>IF($E91="LCY",AK97*'Model Assumptions'!$J$135,Financing!AK97*Flags!AK$30)</f>
        <v>0</v>
      </c>
      <c r="AL98" s="491">
        <f>IF($E91="LCY",AL97*'Model Assumptions'!$J$135,Financing!AL97*Flags!AL$30)</f>
        <v>0</v>
      </c>
      <c r="AM98" s="491">
        <f>IF($E91="LCY",AM97*'Model Assumptions'!$J$135,Financing!AM97*Flags!AM$30)</f>
        <v>0</v>
      </c>
      <c r="AN98" s="491">
        <f>IF($E91="LCY",AN97*'Model Assumptions'!$J$135,Financing!AN97*Flags!AN$30)</f>
        <v>0</v>
      </c>
      <c r="AO98" s="491">
        <f>IF($E91="LCY",AO97*'Model Assumptions'!$J$135,Financing!AO97*Flags!AO$30)</f>
        <v>0</v>
      </c>
      <c r="AP98" s="491">
        <f>IF($E91="LCY",AP97*'Model Assumptions'!$J$135,Financing!AP97*Flags!AP$30)</f>
        <v>0</v>
      </c>
      <c r="AQ98" s="491">
        <f>IF($E91="LCY",AQ97*'Model Assumptions'!$J$135,Financing!AQ97*Flags!AQ$30)</f>
        <v>0</v>
      </c>
      <c r="AR98" s="491">
        <f>IF($E91="LCY",AR97*'Model Assumptions'!$J$135,Financing!AR97*Flags!AR$30)</f>
        <v>0</v>
      </c>
      <c r="AS98" s="491">
        <f>IF($E91="LCY",AS97*'Model Assumptions'!$J$135,Financing!AS97*Flags!AS$30)</f>
        <v>0</v>
      </c>
      <c r="AT98" s="491">
        <f>IF($E91="LCY",AT97*'Model Assumptions'!$J$135,Financing!AT97*Flags!AT$30)</f>
        <v>0</v>
      </c>
      <c r="AU98" s="491">
        <f>IF($E91="LCY",AU97*'Model Assumptions'!$J$135,Financing!AU97*Flags!AU$30)</f>
        <v>0</v>
      </c>
      <c r="AV98" s="491">
        <f>IF($E91="LCY",AV97*'Model Assumptions'!$J$135,Financing!AV97*Flags!AV$30)</f>
        <v>0</v>
      </c>
      <c r="AW98" s="491">
        <f>IF($E91="LCY",AW97*'Model Assumptions'!$J$135,Financing!AW97*Flags!AW$30)</f>
        <v>0</v>
      </c>
      <c r="AX98" s="491">
        <f>IF($E91="LCY",AX97*'Model Assumptions'!$J$135,Financing!AX97*Flags!AX$30)</f>
        <v>0</v>
      </c>
      <c r="AY98" s="491">
        <f>IF($E91="LCY",AY97*'Model Assumptions'!$J$135,Financing!AY97*Flags!AY$30)</f>
        <v>0</v>
      </c>
      <c r="AZ98" s="491">
        <f>IF($E91="LCY",AZ97*'Model Assumptions'!$J$135,Financing!AZ97*Flags!AZ$30)</f>
        <v>0</v>
      </c>
      <c r="BA98" s="491">
        <f>IF($E91="LCY",BA97*'Model Assumptions'!$J$135,Financing!BA97*Flags!BA$30)</f>
        <v>0</v>
      </c>
      <c r="BB98" s="491">
        <f>IF($E91="LCY",BB97*'Model Assumptions'!$J$135,Financing!BB97*Flags!BB$30)</f>
        <v>0</v>
      </c>
      <c r="BC98" s="491">
        <f>IF($E91="LCY",BC97*'Model Assumptions'!$J$135,Financing!BC97*Flags!BC$30)</f>
        <v>0</v>
      </c>
      <c r="BD98" s="491">
        <f>IF($E91="LCY",BD97*'Model Assumptions'!$J$135,Financing!BD97*Flags!BD$30)</f>
        <v>0</v>
      </c>
      <c r="BE98" s="491">
        <f>IF($E91="LCY",BE97*'Model Assumptions'!$J$135,Financing!BE97*Flags!BE$30)</f>
        <v>0</v>
      </c>
      <c r="BF98" s="491">
        <f>IF($E91="LCY",BF97*'Model Assumptions'!$J$135,Financing!BF97*Flags!BF$30)</f>
        <v>0</v>
      </c>
      <c r="BG98" s="491">
        <f>IF($E91="LCY",BG97*'Model Assumptions'!$J$135,Financing!BG97*Flags!BG$30)</f>
        <v>0</v>
      </c>
      <c r="BH98" s="491">
        <f>IF($E91="LCY",BH97*'Model Assumptions'!$J$135,Financing!BH97*Flags!BH$30)</f>
        <v>0</v>
      </c>
      <c r="BI98" s="491">
        <f>IF($E91="LCY",BI97*'Model Assumptions'!$J$135,Financing!BI97*Flags!BI$30)</f>
        <v>0</v>
      </c>
      <c r="BJ98" s="491">
        <f>IF($E91="LCY",BJ97*'Model Assumptions'!$J$135,Financing!BJ97*Flags!BJ$30)</f>
        <v>0</v>
      </c>
      <c r="BK98" s="491">
        <f>IF($E91="LCY",BK97*'Model Assumptions'!$J$135,Financing!BK97*Flags!BK$30)</f>
        <v>0</v>
      </c>
      <c r="BL98" s="491">
        <f>IF($E91="LCY",BL97*'Model Assumptions'!$J$135,Financing!BL97*Flags!BL$30)</f>
        <v>0</v>
      </c>
      <c r="BM98" s="491">
        <f>IF($E91="LCY",BM97*'Model Assumptions'!$J$135,Financing!BM97*Flags!BM$30)</f>
        <v>0</v>
      </c>
      <c r="BN98" s="491">
        <f>IF($E91="LCY",BN97*'Model Assumptions'!$J$135,Financing!BN97*Flags!BN$30)</f>
        <v>0</v>
      </c>
      <c r="BO98" s="491">
        <f>IF($E91="LCY",BO97*'Model Assumptions'!$J$135,Financing!BO97*Flags!BO$30)</f>
        <v>0</v>
      </c>
      <c r="BP98" s="491">
        <f>IF($E91="LCY",BP97*'Model Assumptions'!$J$135,Financing!BP97*Flags!BP$30)</f>
        <v>0</v>
      </c>
      <c r="BQ98" s="491">
        <f>IF($E91="LCY",BQ97*'Model Assumptions'!$J$135,Financing!BQ97*Flags!BQ$30)</f>
        <v>0</v>
      </c>
      <c r="BR98" s="491">
        <f>IF($E91="LCY",BR97*'Model Assumptions'!$J$135,Financing!BR97*Flags!BR$30)</f>
        <v>0</v>
      </c>
      <c r="BS98" s="491">
        <f>IF($E91="LCY",BS97*'Model Assumptions'!$J$135,Financing!BS97*Flags!BS$30)</f>
        <v>0</v>
      </c>
      <c r="BT98" s="491">
        <f>IF($E91="LCY",BT97*'Model Assumptions'!$J$135,Financing!BT97*Flags!BT$30)</f>
        <v>0</v>
      </c>
      <c r="BU98" s="491">
        <f>IF($E91="LCY",BU97*'Model Assumptions'!$J$135,Financing!BU97*Flags!BU$30)</f>
        <v>0</v>
      </c>
      <c r="BV98" s="491">
        <f>IF($E91="LCY",BV97*'Model Assumptions'!$J$135,Financing!BV97*Flags!BV$30)</f>
        <v>0</v>
      </c>
      <c r="BW98" s="491">
        <f>IF($E91="LCY",BW97*'Model Assumptions'!$J$135,Financing!BW97*Flags!BW$30)</f>
        <v>0</v>
      </c>
      <c r="BX98" s="491">
        <f>IF($E91="LCY",BX97*'Model Assumptions'!$J$135,Financing!BX97*Flags!BX$30)</f>
        <v>0</v>
      </c>
      <c r="BY98" s="491">
        <f>IF($E91="LCY",BY97*'Model Assumptions'!$J$135,Financing!BY97*Flags!BY$30)</f>
        <v>0</v>
      </c>
      <c r="BZ98" s="491">
        <f>IF($E91="LCY",BZ97*'Model Assumptions'!$J$135,Financing!BZ97*Flags!BZ$30)</f>
        <v>0</v>
      </c>
      <c r="CA98" s="491">
        <f>IF($E91="LCY",CA97*'Model Assumptions'!$J$135,Financing!CA97*Flags!CA$30)</f>
        <v>0</v>
      </c>
      <c r="CB98" s="491">
        <f>IF($E91="LCY",CB97*'Model Assumptions'!$J$135,Financing!CB97*Flags!CB$30)</f>
        <v>0</v>
      </c>
      <c r="CC98" s="491">
        <f>IF($E91="LCY",CC97*'Model Assumptions'!$J$135,Financing!CC97*Flags!CC$30)</f>
        <v>0</v>
      </c>
      <c r="CD98" s="491">
        <f>IF($E91="LCY",CD97*'Model Assumptions'!$J$135,Financing!CD97*Flags!CD$30)</f>
        <v>0</v>
      </c>
      <c r="CE98" s="491">
        <f>IF($E91="LCY",CE97*'Model Assumptions'!$J$135,Financing!CE97*Flags!CE$30)</f>
        <v>0</v>
      </c>
      <c r="CF98" s="491">
        <f>IF($E91="LCY",CF97*'Model Assumptions'!$J$135,Financing!CF97*Flags!CF$30)</f>
        <v>0</v>
      </c>
      <c r="CG98" s="491">
        <f>IF($E91="LCY",CG97*'Model Assumptions'!$J$135,Financing!CG97*Flags!CG$30)</f>
        <v>0</v>
      </c>
      <c r="CH98" s="491">
        <f>IF($E91="LCY",CH97*'Model Assumptions'!$J$135,Financing!CH97*Flags!CH$30)</f>
        <v>0</v>
      </c>
      <c r="CI98" s="491">
        <f>IF($E91="LCY",CI97*'Model Assumptions'!$J$135,Financing!CI97*Flags!CI$30)</f>
        <v>0</v>
      </c>
      <c r="CJ98" s="491">
        <f>IF($E91="LCY",CJ97*'Model Assumptions'!$J$135,Financing!CJ97*Flags!CJ$30)</f>
        <v>185185.18518518517</v>
      </c>
      <c r="CK98" s="491">
        <f>IF($E91="LCY",CK97*'Model Assumptions'!$J$135,Financing!CK97*Flags!CK$30)</f>
        <v>185185.18518518517</v>
      </c>
      <c r="CL98" s="491">
        <f>IF($E91="LCY",CL97*'Model Assumptions'!$J$135,Financing!CL97*Flags!CL$30)</f>
        <v>185185.18518518517</v>
      </c>
      <c r="CM98" s="491">
        <f>IF($E91="LCY",CM97*'Model Assumptions'!$J$135,Financing!CM97*Flags!CM$30)</f>
        <v>185185.18518518517</v>
      </c>
      <c r="CN98" s="491">
        <f>IF($E91="LCY",CN97*'Model Assumptions'!$J$135,Financing!CN97*Flags!CN$30)</f>
        <v>185185.18518518517</v>
      </c>
      <c r="CO98" s="491">
        <f>IF($E91="LCY",CO97*'Model Assumptions'!$J$135,Financing!CO97*Flags!CO$30)</f>
        <v>185185.18518518517</v>
      </c>
      <c r="CP98" s="491">
        <f>IF($E91="LCY",CP97*'Model Assumptions'!$J$135,Financing!CP97*Flags!CP$30)</f>
        <v>185185.18518518517</v>
      </c>
      <c r="CQ98" s="491">
        <f>IF($E91="LCY",CQ97*'Model Assumptions'!$J$135,Financing!CQ97*Flags!CQ$30)</f>
        <v>185185.18518518517</v>
      </c>
      <c r="CR98" s="491">
        <f>IF($E91="LCY",CR97*'Model Assumptions'!$J$135,Financing!CR97*Flags!CR$30)</f>
        <v>185185.18518518517</v>
      </c>
      <c r="CS98" s="491">
        <f>IF($E91="LCY",CS97*'Model Assumptions'!$J$135,Financing!CS97*Flags!CS$30)</f>
        <v>185185.18518518517</v>
      </c>
      <c r="CT98" s="491">
        <f>IF($E91="LCY",CT97*'Model Assumptions'!$J$135,Financing!CT97*Flags!CT$30)</f>
        <v>185185.18518518517</v>
      </c>
      <c r="CU98" s="491">
        <f>IF($E91="LCY",CU97*'Model Assumptions'!$J$135,Financing!CU97*Flags!CU$30)</f>
        <v>185185.18518518517</v>
      </c>
      <c r="CV98" s="491">
        <f>IF($E91="LCY",CV97*'Model Assumptions'!$J$135,Financing!CV97*Flags!CV$30)</f>
        <v>185185.18518518517</v>
      </c>
      <c r="CW98" s="491">
        <f>IF($E91="LCY",CW97*'Model Assumptions'!$J$135,Financing!CW97*Flags!CW$30)</f>
        <v>185185.18518518517</v>
      </c>
      <c r="CX98" s="491">
        <f>IF($E91="LCY",CX97*'Model Assumptions'!$J$135,Financing!CX97*Flags!CX$30)</f>
        <v>185185.18518518517</v>
      </c>
      <c r="CY98" s="491">
        <f>IF($E91="LCY",CY97*'Model Assumptions'!$J$135,Financing!CY97*Flags!CY$30)</f>
        <v>185185.18518518517</v>
      </c>
      <c r="CZ98" s="491">
        <f>IF($E91="LCY",CZ97*'Model Assumptions'!$J$135,Financing!CZ97*Flags!CZ$30)</f>
        <v>185185.18518518517</v>
      </c>
      <c r="DA98" s="491">
        <f>IF($E91="LCY",DA97*'Model Assumptions'!$J$135,Financing!DA97*Flags!DA$30)</f>
        <v>185185.18518518517</v>
      </c>
      <c r="DB98" s="491">
        <f>IF($E91="LCY",DB97*'Model Assumptions'!$J$135,Financing!DB97*Flags!DB$30)</f>
        <v>185185.18518518517</v>
      </c>
      <c r="DC98" s="491">
        <f>IF($E91="LCY",DC97*'Model Assumptions'!$J$135,Financing!DC97*Flags!DC$30)</f>
        <v>185185.18518518517</v>
      </c>
      <c r="DD98" s="491">
        <f>IF($E91="LCY",DD97*'Model Assumptions'!$J$135,Financing!DD97*Flags!DD$30)</f>
        <v>185185.18518518517</v>
      </c>
      <c r="DE98" s="491">
        <f>IF($E91="LCY",DE97*'Model Assumptions'!$J$135,Financing!DE97*Flags!DE$30)</f>
        <v>185185.18518518517</v>
      </c>
      <c r="DF98" s="491">
        <f>IF($E91="LCY",DF97*'Model Assumptions'!$J$135,Financing!DF97*Flags!DF$30)</f>
        <v>185185.18518518517</v>
      </c>
      <c r="DG98" s="491">
        <f>IF($E91="LCY",DG97*'Model Assumptions'!$J$135,Financing!DG97*Flags!DG$30)</f>
        <v>185185.18518518517</v>
      </c>
      <c r="DH98" s="491">
        <f>IF($E91="LCY",DH97*'Model Assumptions'!$J$135,Financing!DH97*Flags!DH$30)</f>
        <v>185185.18518518517</v>
      </c>
      <c r="DI98" s="491">
        <f>IF($E91="LCY",DI97*'Model Assumptions'!$J$135,Financing!DI97*Flags!DI$30)</f>
        <v>185185.18518518517</v>
      </c>
      <c r="DJ98" s="491">
        <f>IF($E91="LCY",DJ97*'Model Assumptions'!$J$135,Financing!DJ97*Flags!DJ$30)</f>
        <v>185185.18518518517</v>
      </c>
      <c r="DK98" s="491">
        <f>IF($E91="LCY",DK97*'Model Assumptions'!$J$135,Financing!DK97*Flags!DK$30)</f>
        <v>185185.18518518517</v>
      </c>
      <c r="DL98" s="491">
        <f>IF($E91="LCY",DL97*'Model Assumptions'!$J$135,Financing!DL97*Flags!DL$30)</f>
        <v>185185.18518518517</v>
      </c>
      <c r="DM98" s="491">
        <f>IF($E91="LCY",DM97*'Model Assumptions'!$J$135,Financing!DM97*Flags!DM$30)</f>
        <v>185185.18518518517</v>
      </c>
      <c r="DN98" s="491">
        <f>IF($E91="LCY",DN97*'Model Assumptions'!$J$135,Financing!DN97*Flags!DN$30)</f>
        <v>185185.18518518517</v>
      </c>
      <c r="DO98" s="491">
        <f>IF($E91="LCY",DO97*'Model Assumptions'!$J$135,Financing!DO97*Flags!DO$30)</f>
        <v>185185.18518518517</v>
      </c>
      <c r="DP98" s="491">
        <f>IF($E91="LCY",DP97*'Model Assumptions'!$J$135,Financing!DP97*Flags!DP$30)</f>
        <v>185185.18518518517</v>
      </c>
      <c r="DQ98" s="491">
        <f>IF($E91="LCY",DQ97*'Model Assumptions'!$J$135,Financing!DQ97*Flags!DQ$30)</f>
        <v>185185.18518518517</v>
      </c>
      <c r="DR98" s="491">
        <f>IF($E91="LCY",DR97*'Model Assumptions'!$J$135,Financing!DR97*Flags!DR$30)</f>
        <v>185185.18518518517</v>
      </c>
      <c r="DS98" s="491">
        <f>IF($E91="LCY",DS97*'Model Assumptions'!$J$135,Financing!DS97*Flags!DS$30)</f>
        <v>185185.18518518517</v>
      </c>
      <c r="DT98" s="491">
        <f>IF($E91="LCY",DT97*'Model Assumptions'!$J$135,Financing!DT97*Flags!DT$30)</f>
        <v>185185.18518518517</v>
      </c>
      <c r="DU98" s="491">
        <f>IF($E91="LCY",DU97*'Model Assumptions'!$J$135,Financing!DU97*Flags!DU$30)</f>
        <v>185185.18518518517</v>
      </c>
      <c r="DV98" s="491">
        <f>IF($E91="LCY",DV97*'Model Assumptions'!$J$135,Financing!DV97*Flags!DV$30)</f>
        <v>185185.18518518517</v>
      </c>
      <c r="DW98" s="491">
        <f>IF($E91="LCY",DW97*'Model Assumptions'!$J$135,Financing!DW97*Flags!DW$30)</f>
        <v>185185.18518518517</v>
      </c>
      <c r="DX98" s="491">
        <f>IF($E91="LCY",DX97*'Model Assumptions'!$J$135,Financing!DX97*Flags!DX$30)</f>
        <v>185185.18518518517</v>
      </c>
      <c r="DY98" s="491">
        <f>IF($E91="LCY",DY97*'Model Assumptions'!$J$135,Financing!DY97*Flags!DY$30)</f>
        <v>185185.18518518517</v>
      </c>
    </row>
    <row r="99" spans="2:129" s="43" customFormat="1">
      <c r="C99" s="43" t="s">
        <v>396</v>
      </c>
      <c r="E99" s="485">
        <f>+'Model Assumptions'!J141</f>
        <v>0.1</v>
      </c>
      <c r="F99" s="131"/>
      <c r="G99" s="131"/>
      <c r="H99" s="131"/>
      <c r="J99" s="251">
        <f>(SUM(J92:$J92)-SUM(J97:$J97))*$E99/12</f>
        <v>0</v>
      </c>
      <c r="K99" s="251">
        <f>(SUM($J92:K92)-SUM($J97:K97))*$E99/12</f>
        <v>0</v>
      </c>
      <c r="L99" s="251">
        <f>(SUM($J92:L92)-SUM($J97:L97))*$E99/12</f>
        <v>0</v>
      </c>
      <c r="M99" s="251">
        <f>(SUM($J92:M92)-SUM($J97:M97))*$E99/12</f>
        <v>0</v>
      </c>
      <c r="N99" s="251">
        <f>(SUM($J92:N92)-SUM($J97:N97))*$E99/12</f>
        <v>0</v>
      </c>
      <c r="O99" s="251">
        <f>(SUM($J92:O92)-SUM($J97:O97))*$E99/12</f>
        <v>0</v>
      </c>
      <c r="P99" s="251">
        <f>(SUM($J92:P92)-SUM($J97:P97))*$E99/12</f>
        <v>0</v>
      </c>
      <c r="Q99" s="251">
        <f>(SUM($J92:Q92)-SUM($J97:Q97))*$E99/12</f>
        <v>0</v>
      </c>
      <c r="R99" s="251">
        <f>(SUM($J92:R92)-SUM($J97:R97))*$E99/12</f>
        <v>0</v>
      </c>
      <c r="S99" s="251">
        <f>(SUM($J92:S92)-SUM($J97:S97))*$E99/12</f>
        <v>0</v>
      </c>
      <c r="T99" s="251">
        <f>(SUM($J92:T92)-SUM($J97:T97))*$E99/12</f>
        <v>0</v>
      </c>
      <c r="U99" s="251">
        <f>(SUM($J92:U92)-SUM($J97:U97))*$E99/12</f>
        <v>0</v>
      </c>
      <c r="V99" s="251">
        <f>(SUM($J92:V92)-SUM($J97:V97))*$E99/12</f>
        <v>0</v>
      </c>
      <c r="W99" s="251">
        <f>(SUM($J92:W92)-SUM($J97:W97))*$E99/12</f>
        <v>0</v>
      </c>
      <c r="X99" s="251">
        <f>(SUM($J92:X92)-SUM($J97:X97))*$E99/12</f>
        <v>0</v>
      </c>
      <c r="Y99" s="251">
        <f>(SUM($J92:Y92)-SUM($J97:Y97))*$E99/12</f>
        <v>0</v>
      </c>
      <c r="Z99" s="251">
        <f>(SUM($J92:Z92)-SUM($J97:Z97))*$E99/12</f>
        <v>0</v>
      </c>
      <c r="AA99" s="251">
        <f>(SUM($J92:AA92)-SUM($J97:AA97))*$E99/12</f>
        <v>0</v>
      </c>
      <c r="AB99" s="251">
        <f>(SUM($J92:AB92)-SUM($J97:AB97))*$E99/12</f>
        <v>0</v>
      </c>
      <c r="AC99" s="251">
        <f>(SUM($J92:AC92)-SUM($J97:AC97))*$E99/12</f>
        <v>0</v>
      </c>
      <c r="AD99" s="251">
        <f>(SUM($J92:AD92)-SUM($J97:AD97))*$E99/12</f>
        <v>0</v>
      </c>
      <c r="AE99" s="251">
        <f>(SUM($J92:AE92)-SUM($J97:AE97))*$E99/12</f>
        <v>0</v>
      </c>
      <c r="AF99" s="251">
        <f>(SUM($J92:AF92)-SUM($J97:AF97))*$E99/12</f>
        <v>0</v>
      </c>
      <c r="AG99" s="251">
        <f>(SUM($J92:AG92)-SUM($J97:AG97))*$E99/12</f>
        <v>0</v>
      </c>
      <c r="AH99" s="251">
        <f>(SUM($J92:AH92)-SUM($J97:AH97))*$E99/12</f>
        <v>0</v>
      </c>
      <c r="AI99" s="251">
        <f>(SUM($J92:AI92)-SUM($J97:AI97))*$E99/12</f>
        <v>0</v>
      </c>
      <c r="AJ99" s="251">
        <f>(SUM($J92:AJ92)-SUM($J97:AJ97))*$E99/12</f>
        <v>0</v>
      </c>
      <c r="AK99" s="251">
        <f>(SUM($J92:AK92)-SUM($J97:AK97))*$E99/12</f>
        <v>0</v>
      </c>
      <c r="AL99" s="251">
        <f>(SUM($J92:AL92)-SUM($J97:AL97))*$E99/12</f>
        <v>0</v>
      </c>
      <c r="AM99" s="251">
        <f>(SUM($J92:AM92)-SUM($J97:AM97))*$E99/12</f>
        <v>0</v>
      </c>
      <c r="AN99" s="251">
        <f>(SUM($J92:AN92)-SUM($J97:AN97))*$E99/12</f>
        <v>0</v>
      </c>
      <c r="AO99" s="251">
        <f>(SUM($J92:AO92)-SUM($J97:AO97))*$E99/12</f>
        <v>0</v>
      </c>
      <c r="AP99" s="251">
        <f>(SUM($J92:AP92)-SUM($J97:AP97))*$E99/12</f>
        <v>0</v>
      </c>
      <c r="AQ99" s="251">
        <f>(SUM($J92:AQ92)-SUM($J97:AQ97))*$E99/12</f>
        <v>0</v>
      </c>
      <c r="AR99" s="251">
        <f>(SUM($J92:AR92)-SUM($J97:AR97))*$E99/12</f>
        <v>0</v>
      </c>
      <c r="AS99" s="251">
        <f>(SUM($J92:AS92)-SUM($J97:AS97))*$E99/12</f>
        <v>0</v>
      </c>
      <c r="AT99" s="251">
        <f>(SUM($J92:AT92)-SUM($J97:AT97))*$E99/12</f>
        <v>0</v>
      </c>
      <c r="AU99" s="251">
        <f>(SUM($J92:AU92)-SUM($J97:AU97))*$E99/12</f>
        <v>0</v>
      </c>
      <c r="AV99" s="251">
        <f>(SUM($J92:AV92)-SUM($J97:AV97))*$E99/12</f>
        <v>0</v>
      </c>
      <c r="AW99" s="251">
        <f>(SUM($J92:AW92)-SUM($J97:AW97))*$E99/12</f>
        <v>0</v>
      </c>
      <c r="AX99" s="251">
        <f>(SUM($J92:AX92)-SUM($J97:AX97))*$E99/12</f>
        <v>0</v>
      </c>
      <c r="AY99" s="251">
        <f>(SUM($J92:AY92)-SUM($J97:AY97))*$E99/12</f>
        <v>0</v>
      </c>
      <c r="AZ99" s="251">
        <f>(SUM($J92:AZ92)-SUM($J97:AZ97))*$E99/12</f>
        <v>0</v>
      </c>
      <c r="BA99" s="251">
        <f>(SUM($J92:BA92)-SUM($J97:BA97))*$E99/12</f>
        <v>0</v>
      </c>
      <c r="BB99" s="251">
        <f>(SUM($J92:BB92)-SUM($J97:BB97))*$E99/12</f>
        <v>0</v>
      </c>
      <c r="BC99" s="251">
        <f>(SUM($J92:BC92)-SUM($J97:BC97))*$E99/12</f>
        <v>0</v>
      </c>
      <c r="BD99" s="251">
        <f>(SUM($J92:BD92)-SUM($J97:BD97))*$E99/12</f>
        <v>0</v>
      </c>
      <c r="BE99" s="251">
        <f>(SUM($J92:BE92)-SUM($J97:BE97))*$E99/12</f>
        <v>0</v>
      </c>
      <c r="BF99" s="251">
        <f>(SUM($J92:BF92)-SUM($J97:BF97))*$E99/12</f>
        <v>0</v>
      </c>
      <c r="BG99" s="251">
        <f>(SUM($J92:BG92)-SUM($J97:BG97))*$E99/12</f>
        <v>0</v>
      </c>
      <c r="BH99" s="251">
        <f>(SUM($J92:BH92)-SUM($J97:BH97))*$E99/12</f>
        <v>0</v>
      </c>
      <c r="BI99" s="251">
        <f>(SUM($J92:BI92)-SUM($J97:BI97))*$E99/12</f>
        <v>0</v>
      </c>
      <c r="BJ99" s="251">
        <f>(SUM($J92:BJ92)-SUM($J97:BJ97))*$E99/12</f>
        <v>0</v>
      </c>
      <c r="BK99" s="251">
        <f>(SUM($J92:BK92)-SUM($J97:BK97))*$E99/12</f>
        <v>0</v>
      </c>
      <c r="BL99" s="251">
        <f>(SUM($J92:BL92)-SUM($J97:BL97))*$E99/12</f>
        <v>0</v>
      </c>
      <c r="BM99" s="251">
        <f>(SUM($J92:BM92)-SUM($J97:BM97))*$E99/12</f>
        <v>0</v>
      </c>
      <c r="BN99" s="251">
        <f>(SUM($J92:BN92)-SUM($J97:BN97))*$E99/12</f>
        <v>0</v>
      </c>
      <c r="BO99" s="251">
        <f>(SUM($J92:BO92)-SUM($J97:BO97))*$E99/12</f>
        <v>0</v>
      </c>
      <c r="BP99" s="251">
        <f>(SUM($J92:BP92)-SUM($J97:BP97))*$E99/12</f>
        <v>0</v>
      </c>
      <c r="BQ99" s="251">
        <f>(SUM($J92:BQ92)-SUM($J97:BQ97))*$E99/12</f>
        <v>0</v>
      </c>
      <c r="BR99" s="251">
        <f>(SUM($J92:BR92)-SUM($J97:BR97))*$E99/12</f>
        <v>0</v>
      </c>
      <c r="BS99" s="251">
        <f>(SUM($J92:BS92)-SUM($J97:BS97))*$E99/12</f>
        <v>0</v>
      </c>
      <c r="BT99" s="251">
        <f>(SUM($J92:BT92)-SUM($J97:BT97))*$E99/12</f>
        <v>0</v>
      </c>
      <c r="BU99" s="251">
        <f>(SUM($J92:BU92)-SUM($J97:BU97))*$E99/12</f>
        <v>0</v>
      </c>
      <c r="BV99" s="251">
        <f>(SUM($J92:BV92)-SUM($J97:BV97))*$E99/12</f>
        <v>0</v>
      </c>
      <c r="BW99" s="251">
        <f>(SUM($J92:BW92)-SUM($J97:BW97))*$E99/12</f>
        <v>0</v>
      </c>
      <c r="BX99" s="251">
        <f>(SUM($J92:BX92)-SUM($J97:BX97))*$E99/12</f>
        <v>0</v>
      </c>
      <c r="BY99" s="251">
        <f>(SUM($J92:BY92)-SUM($J97:BY97))*$E99/12</f>
        <v>0</v>
      </c>
      <c r="BZ99" s="251">
        <f>(SUM($J92:BZ92)-SUM($J97:BZ97))*$E99/12</f>
        <v>0</v>
      </c>
      <c r="CA99" s="251">
        <f>(SUM($J92:CA92)-SUM($J97:CA97))*$E99/12</f>
        <v>0</v>
      </c>
      <c r="CB99" s="251">
        <f>(SUM($J92:CB92)-SUM($J97:CB97))*$E99/12</f>
        <v>0</v>
      </c>
      <c r="CC99" s="251">
        <f>(SUM($J92:CC92)-SUM($J97:CC97))*$E99/12</f>
        <v>0</v>
      </c>
      <c r="CD99" s="251">
        <f>(SUM($J92:CD92)-SUM($J97:CD97))*$E99/12</f>
        <v>8333.3333333333339</v>
      </c>
      <c r="CE99" s="251">
        <f>(SUM($J92:CE92)-SUM($J97:CE97))*$E99/12</f>
        <v>8333.3333333333339</v>
      </c>
      <c r="CF99" s="251">
        <f>(SUM($J92:CF92)-SUM($J97:CF97))*$E99/12</f>
        <v>8333.3333333333339</v>
      </c>
      <c r="CG99" s="251">
        <f>(SUM($J92:CG92)-SUM($J97:CG97))*$E99/12</f>
        <v>8333.3333333333339</v>
      </c>
      <c r="CH99" s="251">
        <f>(SUM($J92:CH92)-SUM($J97:CH97))*$E99/12</f>
        <v>8333.3333333333339</v>
      </c>
      <c r="CI99" s="251">
        <f>(SUM($J92:CI92)-SUM($J97:CI97))*$E99/12</f>
        <v>8333.3333333333339</v>
      </c>
      <c r="CJ99" s="251">
        <f>(SUM($J92:CJ92)-SUM($J97:CJ97))*$E99/12</f>
        <v>8179.0123456790125</v>
      </c>
      <c r="CK99" s="251">
        <f>(SUM($J92:CK92)-SUM($J97:CK97))*$E99/12</f>
        <v>8024.691358024691</v>
      </c>
      <c r="CL99" s="251">
        <f>(SUM($J92:CL92)-SUM($J97:CL97))*$E99/12</f>
        <v>7870.3703703703713</v>
      </c>
      <c r="CM99" s="251">
        <f>(SUM($J92:CM92)-SUM($J97:CM97))*$E99/12</f>
        <v>7716.0493827160499</v>
      </c>
      <c r="CN99" s="251">
        <f>(SUM($J92:CN92)-SUM($J97:CN97))*$E99/12</f>
        <v>7561.7283950617284</v>
      </c>
      <c r="CO99" s="251">
        <f>(SUM($J92:CO92)-SUM($J97:CO97))*$E99/12</f>
        <v>7407.4074074074078</v>
      </c>
      <c r="CP99" s="251">
        <f>(SUM($J92:CP92)-SUM($J97:CP97))*$E99/12</f>
        <v>7253.0864197530864</v>
      </c>
      <c r="CQ99" s="251">
        <f>(SUM($J92:CQ92)-SUM($J97:CQ97))*$E99/12</f>
        <v>7098.7654320987667</v>
      </c>
      <c r="CR99" s="251">
        <f>(SUM($J92:CR92)-SUM($J97:CR97))*$E99/12</f>
        <v>6944.4444444444453</v>
      </c>
      <c r="CS99" s="251">
        <f>(SUM($J92:CS92)-SUM($J97:CS97))*$E99/12</f>
        <v>6790.1234567901238</v>
      </c>
      <c r="CT99" s="251">
        <f>(SUM($J92:CT92)-SUM($J97:CT97))*$E99/12</f>
        <v>6635.8024691358041</v>
      </c>
      <c r="CU99" s="251">
        <f>(SUM($J92:CU92)-SUM($J97:CU97))*$E99/12</f>
        <v>6481.4814814814827</v>
      </c>
      <c r="CV99" s="251">
        <f>(SUM($J92:CV92)-SUM($J97:CV97))*$E99/12</f>
        <v>6327.1604938271621</v>
      </c>
      <c r="CW99" s="251">
        <f>(SUM($J92:CW92)-SUM($J97:CW97))*$E99/12</f>
        <v>6172.8395061728406</v>
      </c>
      <c r="CX99" s="251">
        <f>(SUM($J92:CX92)-SUM($J97:CX97))*$E99/12</f>
        <v>6018.5185185185192</v>
      </c>
      <c r="CY99" s="251">
        <f>(SUM($J92:CY92)-SUM($J97:CY97))*$E99/12</f>
        <v>5864.1975308641986</v>
      </c>
      <c r="CZ99" s="251">
        <f>(SUM($J92:CZ92)-SUM($J97:CZ97))*$E99/12</f>
        <v>5709.8765432098771</v>
      </c>
      <c r="DA99" s="251">
        <f>(SUM($J92:DA92)-SUM($J97:DA97))*$E99/12</f>
        <v>5555.5555555555557</v>
      </c>
      <c r="DB99" s="251">
        <f>(SUM($J92:DB92)-SUM($J97:DB97))*$E99/12</f>
        <v>5401.2345679012342</v>
      </c>
      <c r="DC99" s="251">
        <f>(SUM($J92:DC92)-SUM($J97:DC97))*$E99/12</f>
        <v>5246.9135802469145</v>
      </c>
      <c r="DD99" s="251">
        <f>(SUM($J92:DD92)-SUM($J97:DD97))*$E99/12</f>
        <v>5092.5925925925922</v>
      </c>
      <c r="DE99" s="251">
        <f>(SUM($J92:DE92)-SUM($J97:DE97))*$E99/12</f>
        <v>4938.2716049382716</v>
      </c>
      <c r="DF99" s="251">
        <f>(SUM($J92:DF92)-SUM($J97:DF97))*$E99/12</f>
        <v>4783.9506172839492</v>
      </c>
      <c r="DG99" s="251">
        <f>(SUM($J92:DG92)-SUM($J97:DG97))*$E99/12</f>
        <v>4629.6296296296296</v>
      </c>
      <c r="DH99" s="251">
        <f>(SUM($J92:DH92)-SUM($J97:DH97))*$E99/12</f>
        <v>4475.3086419753072</v>
      </c>
      <c r="DI99" s="251">
        <f>(SUM($J92:DI92)-SUM($J97:DI97))*$E99/12</f>
        <v>4320.9876543209866</v>
      </c>
      <c r="DJ99" s="251">
        <f>(SUM($J92:DJ92)-SUM($J97:DJ97))*$E99/12</f>
        <v>4166.6666666666652</v>
      </c>
      <c r="DK99" s="251">
        <f>(SUM($J92:DK92)-SUM($J97:DK97))*$E99/12</f>
        <v>4012.3456790123441</v>
      </c>
      <c r="DL99" s="251">
        <f>(SUM($J92:DL92)-SUM($J97:DL97))*$E99/12</f>
        <v>3858.0246913580236</v>
      </c>
      <c r="DM99" s="251">
        <f>(SUM($J92:DM92)-SUM($J97:DM97))*$E99/12</f>
        <v>3703.7037037037026</v>
      </c>
      <c r="DN99" s="251">
        <f>(SUM($J92:DN92)-SUM($J97:DN97))*$E99/12</f>
        <v>3549.3827160493815</v>
      </c>
      <c r="DO99" s="251">
        <f>(SUM($J92:DO92)-SUM($J97:DO97))*$E99/12</f>
        <v>3395.0617283950601</v>
      </c>
      <c r="DP99" s="251">
        <f>(SUM($J92:DP92)-SUM($J97:DP97))*$E99/12</f>
        <v>3240.7407407407391</v>
      </c>
      <c r="DQ99" s="251">
        <f>(SUM($J92:DQ92)-SUM($J97:DQ97))*$E99/12</f>
        <v>3086.419753086418</v>
      </c>
      <c r="DR99" s="251">
        <f>(SUM($J92:DR92)-SUM($J97:DR97))*$E99/12</f>
        <v>2932.0987654320966</v>
      </c>
      <c r="DS99" s="251">
        <f>(SUM($J92:DS92)-SUM($J97:DS97))*$E99/12</f>
        <v>2777.7777777777756</v>
      </c>
      <c r="DT99" s="251">
        <f>(SUM($J92:DT92)-SUM($J97:DT97))*$E99/12</f>
        <v>2623.4567901234541</v>
      </c>
      <c r="DU99" s="251">
        <f>(SUM($J92:DU92)-SUM($J97:DU97))*$E99/12</f>
        <v>2469.1358024691331</v>
      </c>
      <c r="DV99" s="251">
        <f>(SUM($J92:DV92)-SUM($J97:DV97))*$E99/12</f>
        <v>2314.8148148148116</v>
      </c>
      <c r="DW99" s="251">
        <f>(SUM($J92:DW92)-SUM($J97:DW97))*$E99/12</f>
        <v>2160.4938271604906</v>
      </c>
      <c r="DX99" s="251">
        <f>(SUM($J92:DX92)-SUM($J97:DX97))*$E99/12</f>
        <v>2006.1728395061693</v>
      </c>
      <c r="DY99" s="251">
        <f>(SUM($J92:DY92)-SUM($J97:DY97))*$E99/12</f>
        <v>1851.8518518518483</v>
      </c>
    </row>
    <row r="100" spans="2:129" s="43" customFormat="1">
      <c r="C100" s="43" t="s">
        <v>390</v>
      </c>
      <c r="E100" s="526"/>
      <c r="F100" s="131"/>
      <c r="G100" s="131"/>
      <c r="H100" s="131"/>
      <c r="J100" s="491">
        <f>J94*$E99/12</f>
        <v>0</v>
      </c>
      <c r="K100" s="491">
        <f t="shared" ref="K100:BV100" si="84">K94*$E99/12</f>
        <v>0</v>
      </c>
      <c r="L100" s="491">
        <f t="shared" si="84"/>
        <v>0</v>
      </c>
      <c r="M100" s="491">
        <f t="shared" si="84"/>
        <v>0</v>
      </c>
      <c r="N100" s="491">
        <f t="shared" si="84"/>
        <v>0</v>
      </c>
      <c r="O100" s="491">
        <f t="shared" si="84"/>
        <v>0</v>
      </c>
      <c r="P100" s="491">
        <f t="shared" si="84"/>
        <v>0</v>
      </c>
      <c r="Q100" s="491">
        <f t="shared" si="84"/>
        <v>0</v>
      </c>
      <c r="R100" s="491">
        <f t="shared" si="84"/>
        <v>0</v>
      </c>
      <c r="S100" s="491">
        <f t="shared" si="84"/>
        <v>0</v>
      </c>
      <c r="T100" s="491">
        <f t="shared" si="84"/>
        <v>0</v>
      </c>
      <c r="U100" s="491">
        <f t="shared" si="84"/>
        <v>0</v>
      </c>
      <c r="V100" s="491">
        <f t="shared" si="84"/>
        <v>0</v>
      </c>
      <c r="W100" s="491">
        <f t="shared" si="84"/>
        <v>0</v>
      </c>
      <c r="X100" s="491">
        <f t="shared" si="84"/>
        <v>0</v>
      </c>
      <c r="Y100" s="491">
        <f t="shared" si="84"/>
        <v>0</v>
      </c>
      <c r="Z100" s="491">
        <f t="shared" si="84"/>
        <v>0</v>
      </c>
      <c r="AA100" s="491">
        <f t="shared" si="84"/>
        <v>0</v>
      </c>
      <c r="AB100" s="491">
        <f t="shared" si="84"/>
        <v>0</v>
      </c>
      <c r="AC100" s="491">
        <f t="shared" si="84"/>
        <v>0</v>
      </c>
      <c r="AD100" s="491">
        <f t="shared" si="84"/>
        <v>0</v>
      </c>
      <c r="AE100" s="491">
        <f t="shared" si="84"/>
        <v>0</v>
      </c>
      <c r="AF100" s="491">
        <f t="shared" si="84"/>
        <v>0</v>
      </c>
      <c r="AG100" s="491">
        <f t="shared" si="84"/>
        <v>0</v>
      </c>
      <c r="AH100" s="491">
        <f t="shared" si="84"/>
        <v>0</v>
      </c>
      <c r="AI100" s="491">
        <f t="shared" si="84"/>
        <v>0</v>
      </c>
      <c r="AJ100" s="491">
        <f t="shared" si="84"/>
        <v>0</v>
      </c>
      <c r="AK100" s="491">
        <f t="shared" si="84"/>
        <v>0</v>
      </c>
      <c r="AL100" s="491">
        <f t="shared" si="84"/>
        <v>0</v>
      </c>
      <c r="AM100" s="491">
        <f t="shared" si="84"/>
        <v>0</v>
      </c>
      <c r="AN100" s="491">
        <f t="shared" si="84"/>
        <v>0</v>
      </c>
      <c r="AO100" s="491">
        <f t="shared" si="84"/>
        <v>0</v>
      </c>
      <c r="AP100" s="491">
        <f t="shared" si="84"/>
        <v>0</v>
      </c>
      <c r="AQ100" s="491">
        <f t="shared" si="84"/>
        <v>0</v>
      </c>
      <c r="AR100" s="491">
        <f t="shared" si="84"/>
        <v>0</v>
      </c>
      <c r="AS100" s="491">
        <f t="shared" si="84"/>
        <v>0</v>
      </c>
      <c r="AT100" s="491">
        <f t="shared" si="84"/>
        <v>0</v>
      </c>
      <c r="AU100" s="491">
        <f t="shared" si="84"/>
        <v>0</v>
      </c>
      <c r="AV100" s="491">
        <f t="shared" si="84"/>
        <v>0</v>
      </c>
      <c r="AW100" s="491">
        <f t="shared" si="84"/>
        <v>0</v>
      </c>
      <c r="AX100" s="491">
        <f t="shared" si="84"/>
        <v>0</v>
      </c>
      <c r="AY100" s="491">
        <f t="shared" si="84"/>
        <v>0</v>
      </c>
      <c r="AZ100" s="491">
        <f t="shared" si="84"/>
        <v>0</v>
      </c>
      <c r="BA100" s="491">
        <f t="shared" si="84"/>
        <v>0</v>
      </c>
      <c r="BB100" s="491">
        <f t="shared" si="84"/>
        <v>0</v>
      </c>
      <c r="BC100" s="491">
        <f t="shared" si="84"/>
        <v>0</v>
      </c>
      <c r="BD100" s="491">
        <f t="shared" si="84"/>
        <v>0</v>
      </c>
      <c r="BE100" s="491">
        <f t="shared" si="84"/>
        <v>0</v>
      </c>
      <c r="BF100" s="491">
        <f t="shared" si="84"/>
        <v>0</v>
      </c>
      <c r="BG100" s="491">
        <f t="shared" si="84"/>
        <v>0</v>
      </c>
      <c r="BH100" s="491">
        <f t="shared" si="84"/>
        <v>0</v>
      </c>
      <c r="BI100" s="491">
        <f t="shared" si="84"/>
        <v>0</v>
      </c>
      <c r="BJ100" s="491">
        <f t="shared" si="84"/>
        <v>0</v>
      </c>
      <c r="BK100" s="491">
        <f t="shared" si="84"/>
        <v>0</v>
      </c>
      <c r="BL100" s="491">
        <f t="shared" si="84"/>
        <v>0</v>
      </c>
      <c r="BM100" s="491">
        <f t="shared" si="84"/>
        <v>0</v>
      </c>
      <c r="BN100" s="491">
        <f t="shared" si="84"/>
        <v>0</v>
      </c>
      <c r="BO100" s="491">
        <f t="shared" si="84"/>
        <v>0</v>
      </c>
      <c r="BP100" s="491">
        <f t="shared" si="84"/>
        <v>0</v>
      </c>
      <c r="BQ100" s="491">
        <f t="shared" si="84"/>
        <v>0</v>
      </c>
      <c r="BR100" s="491">
        <f t="shared" si="84"/>
        <v>0</v>
      </c>
      <c r="BS100" s="491">
        <f t="shared" si="84"/>
        <v>0</v>
      </c>
      <c r="BT100" s="491">
        <f t="shared" si="84"/>
        <v>0</v>
      </c>
      <c r="BU100" s="491">
        <f t="shared" si="84"/>
        <v>0</v>
      </c>
      <c r="BV100" s="491">
        <f t="shared" si="84"/>
        <v>0</v>
      </c>
      <c r="BW100" s="491">
        <f t="shared" ref="BW100:CC100" si="85">BW94*$E99/12</f>
        <v>0</v>
      </c>
      <c r="BX100" s="491">
        <f t="shared" si="85"/>
        <v>0</v>
      </c>
      <c r="BY100" s="491">
        <f t="shared" si="85"/>
        <v>0</v>
      </c>
      <c r="BZ100" s="491">
        <f t="shared" si="85"/>
        <v>0</v>
      </c>
      <c r="CA100" s="491">
        <f t="shared" si="85"/>
        <v>0</v>
      </c>
      <c r="CB100" s="491">
        <f t="shared" si="85"/>
        <v>0</v>
      </c>
      <c r="CC100" s="491">
        <f t="shared" si="85"/>
        <v>0</v>
      </c>
      <c r="CD100" s="491">
        <f t="shared" ref="CD100:DY100" si="86">CD94*$E99/12</f>
        <v>83333.333333333328</v>
      </c>
      <c r="CE100" s="491">
        <f t="shared" si="86"/>
        <v>83333.333333333328</v>
      </c>
      <c r="CF100" s="491">
        <f t="shared" si="86"/>
        <v>83333.333333333328</v>
      </c>
      <c r="CG100" s="491">
        <f t="shared" si="86"/>
        <v>83333.333333333328</v>
      </c>
      <c r="CH100" s="491">
        <f t="shared" si="86"/>
        <v>83333.333333333328</v>
      </c>
      <c r="CI100" s="491">
        <f t="shared" si="86"/>
        <v>83333.333333333328</v>
      </c>
      <c r="CJ100" s="491">
        <f t="shared" si="86"/>
        <v>81790.123456790127</v>
      </c>
      <c r="CK100" s="491">
        <f t="shared" si="86"/>
        <v>80246.913580246925</v>
      </c>
      <c r="CL100" s="491">
        <f t="shared" si="86"/>
        <v>78703.703703703723</v>
      </c>
      <c r="CM100" s="491">
        <f t="shared" si="86"/>
        <v>77160.493827160521</v>
      </c>
      <c r="CN100" s="491">
        <f t="shared" si="86"/>
        <v>75617.283950617304</v>
      </c>
      <c r="CO100" s="491">
        <f t="shared" si="86"/>
        <v>74074.074074074102</v>
      </c>
      <c r="CP100" s="491">
        <f t="shared" si="86"/>
        <v>72530.8641975309</v>
      </c>
      <c r="CQ100" s="491">
        <f t="shared" si="86"/>
        <v>70987.654320987684</v>
      </c>
      <c r="CR100" s="491">
        <f t="shared" si="86"/>
        <v>69444.444444444482</v>
      </c>
      <c r="CS100" s="491">
        <f t="shared" si="86"/>
        <v>67901.23456790128</v>
      </c>
      <c r="CT100" s="491">
        <f t="shared" si="86"/>
        <v>66358.024691358078</v>
      </c>
      <c r="CU100" s="491">
        <f t="shared" si="86"/>
        <v>64814.814814814868</v>
      </c>
      <c r="CV100" s="491">
        <f t="shared" si="86"/>
        <v>63271.604938271659</v>
      </c>
      <c r="CW100" s="491">
        <f t="shared" si="86"/>
        <v>61728.395061728457</v>
      </c>
      <c r="CX100" s="491">
        <f t="shared" si="86"/>
        <v>60185.185185185248</v>
      </c>
      <c r="CY100" s="491">
        <f t="shared" si="86"/>
        <v>58641.975308642046</v>
      </c>
      <c r="CZ100" s="491">
        <f t="shared" si="86"/>
        <v>57098.765432098844</v>
      </c>
      <c r="DA100" s="491">
        <f t="shared" si="86"/>
        <v>55555.555555555628</v>
      </c>
      <c r="DB100" s="491">
        <f t="shared" si="86"/>
        <v>54012.345679012426</v>
      </c>
      <c r="DC100" s="491">
        <f t="shared" si="86"/>
        <v>52469.135802469216</v>
      </c>
      <c r="DD100" s="491">
        <f t="shared" si="86"/>
        <v>50925.925925926014</v>
      </c>
      <c r="DE100" s="491">
        <f t="shared" si="86"/>
        <v>49382.716049382805</v>
      </c>
      <c r="DF100" s="491">
        <f t="shared" si="86"/>
        <v>47839.506172839603</v>
      </c>
      <c r="DG100" s="491">
        <f t="shared" si="86"/>
        <v>46296.296296296401</v>
      </c>
      <c r="DH100" s="491">
        <f t="shared" si="86"/>
        <v>44753.086419753185</v>
      </c>
      <c r="DI100" s="491">
        <f t="shared" si="86"/>
        <v>43209.876543209983</v>
      </c>
      <c r="DJ100" s="491">
        <f t="shared" si="86"/>
        <v>41666.666666666781</v>
      </c>
      <c r="DK100" s="491">
        <f t="shared" si="86"/>
        <v>40123.456790123571</v>
      </c>
      <c r="DL100" s="491">
        <f t="shared" si="86"/>
        <v>38580.246913580362</v>
      </c>
      <c r="DM100" s="491">
        <f t="shared" si="86"/>
        <v>37037.03703703716</v>
      </c>
      <c r="DN100" s="491">
        <f t="shared" si="86"/>
        <v>35493.827160493958</v>
      </c>
      <c r="DO100" s="491">
        <f t="shared" si="86"/>
        <v>33950.617283950742</v>
      </c>
      <c r="DP100" s="491">
        <f t="shared" si="86"/>
        <v>32407.407407407532</v>
      </c>
      <c r="DQ100" s="491">
        <f t="shared" si="86"/>
        <v>30864.197530864327</v>
      </c>
      <c r="DR100" s="491">
        <f t="shared" si="86"/>
        <v>29320.987654321114</v>
      </c>
      <c r="DS100" s="491">
        <f t="shared" si="86"/>
        <v>27777.777777777908</v>
      </c>
      <c r="DT100" s="491">
        <f t="shared" si="86"/>
        <v>26234.567901234695</v>
      </c>
      <c r="DU100" s="491">
        <f t="shared" si="86"/>
        <v>24691.358024691483</v>
      </c>
      <c r="DV100" s="491">
        <f t="shared" si="86"/>
        <v>23148.148148148277</v>
      </c>
      <c r="DW100" s="491">
        <f t="shared" si="86"/>
        <v>21604.938271605064</v>
      </c>
      <c r="DX100" s="491">
        <f t="shared" si="86"/>
        <v>20061.728395061855</v>
      </c>
      <c r="DY100" s="491">
        <f t="shared" si="86"/>
        <v>18518.518518518646</v>
      </c>
    </row>
    <row r="101" spans="2:129" s="43" customFormat="1">
      <c r="C101" s="43" t="s">
        <v>392</v>
      </c>
      <c r="E101" s="486"/>
      <c r="F101" s="127"/>
      <c r="G101" s="127"/>
      <c r="H101" s="127"/>
      <c r="J101" s="491">
        <f>IF($E91="USD",J94*(1-Flags!$K$29),0)</f>
        <v>0</v>
      </c>
      <c r="K101" s="491">
        <f>IF($E91="USD",K94*(1-Flags!$K$29),0)</f>
        <v>0</v>
      </c>
      <c r="L101" s="491">
        <f>IF($E91="USD",L94*(1-Flags!$K$29),0)</f>
        <v>0</v>
      </c>
      <c r="M101" s="491">
        <f>IF($E91="USD",M94*(1-Flags!$K$29),0)</f>
        <v>0</v>
      </c>
      <c r="N101" s="491">
        <f>IF($E91="USD",N94*(1-Flags!$K$29),0)</f>
        <v>0</v>
      </c>
      <c r="O101" s="491">
        <f>IF($E91="USD",O94*(1-Flags!$K$29),0)</f>
        <v>0</v>
      </c>
      <c r="P101" s="491">
        <f>IF($E91="USD",P94*(1-Flags!$K$29),0)</f>
        <v>0</v>
      </c>
      <c r="Q101" s="491">
        <f>IF($E91="USD",Q94*(1-Flags!$K$29),0)</f>
        <v>0</v>
      </c>
      <c r="R101" s="491">
        <f>IF($E91="USD",R94*(1-Flags!$K$29),0)</f>
        <v>0</v>
      </c>
      <c r="S101" s="491">
        <f>IF($E91="USD",S94*(1-Flags!$K$29),0)</f>
        <v>0</v>
      </c>
      <c r="T101" s="491">
        <f>IF($E91="USD",T94*(1-Flags!$K$29),0)</f>
        <v>0</v>
      </c>
      <c r="U101" s="491">
        <f>IF($E91="USD",U94*(1-Flags!$K$29),0)</f>
        <v>0</v>
      </c>
      <c r="V101" s="491">
        <f>IF($E91="USD",V94*(1-Flags!$K$29),0)</f>
        <v>0</v>
      </c>
      <c r="W101" s="491">
        <f>IF($E91="USD",W94*(1-Flags!$K$29),0)</f>
        <v>0</v>
      </c>
      <c r="X101" s="491">
        <f>IF($E91="USD",X94*(1-Flags!$K$29),0)</f>
        <v>0</v>
      </c>
      <c r="Y101" s="491">
        <f>IF($E91="USD",Y94*(1-Flags!$K$29),0)</f>
        <v>0</v>
      </c>
      <c r="Z101" s="491">
        <f>IF($E91="USD",Z94*(1-Flags!$K$29),0)</f>
        <v>0</v>
      </c>
      <c r="AA101" s="491">
        <f>IF($E91="USD",AA94*(1-Flags!$K$29),0)</f>
        <v>0</v>
      </c>
      <c r="AB101" s="491">
        <f>IF($E91="USD",AB94*(1-Flags!$K$29),0)</f>
        <v>0</v>
      </c>
      <c r="AC101" s="491">
        <f>IF($E91="USD",AC94*(1-Flags!$K$29),0)</f>
        <v>0</v>
      </c>
      <c r="AD101" s="491">
        <f>IF($E91="USD",AD94*(1-Flags!$K$29),0)</f>
        <v>0</v>
      </c>
      <c r="AE101" s="491">
        <f>IF($E91="USD",AE94*(1-Flags!$K$29),0)</f>
        <v>0</v>
      </c>
      <c r="AF101" s="491">
        <f>IF($E91="USD",AF94*(1-Flags!$K$29),0)</f>
        <v>0</v>
      </c>
      <c r="AG101" s="491">
        <f>IF($E91="USD",AG94*(1-Flags!$K$29),0)</f>
        <v>0</v>
      </c>
      <c r="AH101" s="491">
        <f>IF($E91="USD",AH94*(1-Flags!$K$29),0)</f>
        <v>0</v>
      </c>
      <c r="AI101" s="491">
        <f>IF($E91="USD",AI94*(1-Flags!$K$29),0)</f>
        <v>0</v>
      </c>
      <c r="AJ101" s="491">
        <f>IF($E91="USD",AJ94*(1-Flags!$K$29),0)</f>
        <v>0</v>
      </c>
      <c r="AK101" s="491">
        <f>IF($E91="USD",AK94*(1-Flags!$K$29),0)</f>
        <v>0</v>
      </c>
      <c r="AL101" s="491">
        <f>IF($E91="USD",AL94*(1-Flags!$K$29),0)</f>
        <v>0</v>
      </c>
      <c r="AM101" s="491">
        <f>IF($E91="USD",AM94*(1-Flags!$K$29),0)</f>
        <v>0</v>
      </c>
      <c r="AN101" s="491">
        <f>IF($E91="USD",AN94*(1-Flags!$K$29),0)</f>
        <v>0</v>
      </c>
      <c r="AO101" s="491">
        <f>IF($E91="USD",AO94*(1-Flags!$K$29),0)</f>
        <v>0</v>
      </c>
      <c r="AP101" s="491">
        <f>IF($E91="USD",AP94*(1-Flags!$K$29),0)</f>
        <v>0</v>
      </c>
      <c r="AQ101" s="491">
        <f>IF($E91="USD",AQ94*(1-Flags!$K$29),0)</f>
        <v>0</v>
      </c>
      <c r="AR101" s="491">
        <f>IF($E91="USD",AR94*(1-Flags!$K$29),0)</f>
        <v>0</v>
      </c>
      <c r="AS101" s="491">
        <f>IF($E91="USD",AS94*(1-Flags!$K$29),0)</f>
        <v>0</v>
      </c>
      <c r="AT101" s="491">
        <f>IF($E91="USD",AT94*(1-Flags!$K$29),0)</f>
        <v>0</v>
      </c>
      <c r="AU101" s="491">
        <f>IF($E91="USD",AU94*(1-Flags!$K$29),0)</f>
        <v>0</v>
      </c>
      <c r="AV101" s="491">
        <f>IF($E91="USD",AV94*(1-Flags!$K$29),0)</f>
        <v>0</v>
      </c>
      <c r="AW101" s="491">
        <f>IF($E91="USD",AW94*(1-Flags!$K$29),0)</f>
        <v>0</v>
      </c>
      <c r="AX101" s="491">
        <f>IF($E91="USD",AX94*(1-Flags!$K$29),0)</f>
        <v>0</v>
      </c>
      <c r="AY101" s="491">
        <f>IF($E91="USD",AY94*(1-Flags!$K$29),0)</f>
        <v>0</v>
      </c>
      <c r="AZ101" s="491">
        <f>IF($E91="USD",AZ94*(1-Flags!$K$29),0)</f>
        <v>0</v>
      </c>
      <c r="BA101" s="491">
        <f>IF($E91="USD",BA94*(1-Flags!$K$29),0)</f>
        <v>0</v>
      </c>
      <c r="BB101" s="491">
        <f>IF($E91="USD",BB94*(1-Flags!$K$29),0)</f>
        <v>0</v>
      </c>
      <c r="BC101" s="491">
        <f>IF($E91="USD",BC94*(1-Flags!$K$29),0)</f>
        <v>0</v>
      </c>
      <c r="BD101" s="491">
        <f>IF($E91="USD",BD94*(1-Flags!$K$29),0)</f>
        <v>0</v>
      </c>
      <c r="BE101" s="491">
        <f>IF($E91="USD",BE94*(1-Flags!$K$29),0)</f>
        <v>0</v>
      </c>
      <c r="BF101" s="491">
        <f>IF($E91="USD",BF94*(1-Flags!$K$29),0)</f>
        <v>0</v>
      </c>
      <c r="BG101" s="491">
        <f>IF($E91="USD",BG94*(1-Flags!$K$29),0)</f>
        <v>0</v>
      </c>
      <c r="BH101" s="491">
        <f>IF($E91="USD",BH94*(1-Flags!$K$29),0)</f>
        <v>0</v>
      </c>
      <c r="BI101" s="491">
        <f>IF($E91="USD",BI94*(1-Flags!$K$29),0)</f>
        <v>0</v>
      </c>
      <c r="BJ101" s="491">
        <f>IF($E91="USD",BJ94*(1-Flags!$K$29),0)</f>
        <v>0</v>
      </c>
      <c r="BK101" s="491">
        <f>IF($E91="USD",BK94*(1-Flags!$K$29),0)</f>
        <v>0</v>
      </c>
      <c r="BL101" s="491">
        <f>IF($E91="USD",BL94*(1-Flags!$K$29),0)</f>
        <v>0</v>
      </c>
      <c r="BM101" s="491">
        <f>IF($E91="USD",BM94*(1-Flags!$K$29),0)</f>
        <v>0</v>
      </c>
      <c r="BN101" s="491">
        <f>IF($E91="USD",BN94*(1-Flags!$K$29),0)</f>
        <v>0</v>
      </c>
      <c r="BO101" s="491">
        <f>IF($E91="USD",BO94*(1-Flags!$K$29),0)</f>
        <v>0</v>
      </c>
      <c r="BP101" s="491">
        <f>IF($E91="USD",BP94*(1-Flags!$K$29),0)</f>
        <v>0</v>
      </c>
      <c r="BQ101" s="491">
        <f>IF($E91="USD",BQ94*(1-Flags!$K$29),0)</f>
        <v>0</v>
      </c>
      <c r="BR101" s="491">
        <f>IF($E91="USD",BR94*(1-Flags!$K$29),0)</f>
        <v>0</v>
      </c>
      <c r="BS101" s="491">
        <f>IF($E91="USD",BS94*(1-Flags!$K$29),0)</f>
        <v>0</v>
      </c>
      <c r="BT101" s="491">
        <f>IF($E91="USD",BT94*(1-Flags!$K$29),0)</f>
        <v>0</v>
      </c>
      <c r="BU101" s="491">
        <f>IF($E91="USD",BU94*(1-Flags!$K$29),0)</f>
        <v>0</v>
      </c>
      <c r="BV101" s="491">
        <f>IF($E91="USD",BV94*(1-Flags!$K$29),0)</f>
        <v>0</v>
      </c>
      <c r="BW101" s="491">
        <f>IF($E91="USD",BW94*(1-Flags!$K$29),0)</f>
        <v>0</v>
      </c>
      <c r="BX101" s="491">
        <f>IF($E91="USD",BX94*(1-Flags!$K$29),0)</f>
        <v>0</v>
      </c>
      <c r="BY101" s="491">
        <f>IF($E91="USD",BY94*(1-Flags!$K$29),0)</f>
        <v>0</v>
      </c>
      <c r="BZ101" s="491">
        <f>IF($E91="USD",BZ94*(1-Flags!$K$29),0)</f>
        <v>0</v>
      </c>
      <c r="CA101" s="491">
        <f>IF($E91="USD",CA94*(1-Flags!$K$29),0)</f>
        <v>0</v>
      </c>
      <c r="CB101" s="491">
        <f>IF($E91="USD",CB94*(1-Flags!$K$29),0)</f>
        <v>0</v>
      </c>
      <c r="CC101" s="491">
        <f>IF($E91="USD",CC94*(1-Flags!$K$29),0)</f>
        <v>0</v>
      </c>
      <c r="CD101" s="491">
        <f>IF($E91="USD",CD94*(1-Flags!$K$29),0)</f>
        <v>0</v>
      </c>
      <c r="CE101" s="491">
        <f>IF($E91="USD",CE94*(1-Flags!$K$29),0)</f>
        <v>0</v>
      </c>
      <c r="CF101" s="491">
        <f>IF($E91="USD",CF94*(1-Flags!$K$29),0)</f>
        <v>0</v>
      </c>
      <c r="CG101" s="491">
        <f>IF($E91="USD",CG94*(1-Flags!$K$29),0)</f>
        <v>0</v>
      </c>
      <c r="CH101" s="491">
        <f>IF($E91="USD",CH94*(1-Flags!$K$29),0)</f>
        <v>0</v>
      </c>
      <c r="CI101" s="491">
        <f>IF($E91="USD",CI94*(1-Flags!$K$29),0)</f>
        <v>0</v>
      </c>
      <c r="CJ101" s="491">
        <f>IF($E91="USD",CJ94*(1-Flags!$K$29),0)</f>
        <v>0</v>
      </c>
      <c r="CK101" s="491">
        <f>IF($E91="USD",CK94*(1-Flags!$K$29),0)</f>
        <v>0</v>
      </c>
      <c r="CL101" s="491">
        <f>IF($E91="USD",CL94*(1-Flags!$K$29),0)</f>
        <v>0</v>
      </c>
      <c r="CM101" s="491">
        <f>IF($E91="USD",CM94*(1-Flags!$K$29),0)</f>
        <v>0</v>
      </c>
      <c r="CN101" s="491">
        <f>IF($E91="USD",CN94*(1-Flags!$K$29),0)</f>
        <v>0</v>
      </c>
      <c r="CO101" s="491">
        <f>IF($E91="USD",CO94*(1-Flags!$K$29),0)</f>
        <v>0</v>
      </c>
      <c r="CP101" s="491">
        <f>IF($E91="USD",CP94*(1-Flags!$K$29),0)</f>
        <v>0</v>
      </c>
      <c r="CQ101" s="491">
        <f>IF($E91="USD",CQ94*(1-Flags!$K$29),0)</f>
        <v>0</v>
      </c>
      <c r="CR101" s="491">
        <f>IF($E91="USD",CR94*(1-Flags!$K$29),0)</f>
        <v>0</v>
      </c>
      <c r="CS101" s="491">
        <f>IF($E91="USD",CS94*(1-Flags!$K$29),0)</f>
        <v>0</v>
      </c>
      <c r="CT101" s="491">
        <f>IF($E91="USD",CT94*(1-Flags!$K$29),0)</f>
        <v>0</v>
      </c>
      <c r="CU101" s="491">
        <f>IF($E91="USD",CU94*(1-Flags!$K$29),0)</f>
        <v>0</v>
      </c>
      <c r="CV101" s="491">
        <f>IF($E91="USD",CV94*(1-Flags!$K$29),0)</f>
        <v>0</v>
      </c>
      <c r="CW101" s="491">
        <f>IF($E91="USD",CW94*(1-Flags!$K$29),0)</f>
        <v>0</v>
      </c>
      <c r="CX101" s="491">
        <f>IF($E91="USD",CX94*(1-Flags!$K$29),0)</f>
        <v>0</v>
      </c>
      <c r="CY101" s="491">
        <f>IF($E91="USD",CY94*(1-Flags!$K$29),0)</f>
        <v>0</v>
      </c>
      <c r="CZ101" s="491">
        <f>IF($E91="USD",CZ94*(1-Flags!$K$29),0)</f>
        <v>0</v>
      </c>
      <c r="DA101" s="491">
        <f>IF($E91="USD",DA94*(1-Flags!$K$29),0)</f>
        <v>0</v>
      </c>
      <c r="DB101" s="491">
        <f>IF($E91="USD",DB94*(1-Flags!$K$29),0)</f>
        <v>0</v>
      </c>
      <c r="DC101" s="491">
        <f>IF($E91="USD",DC94*(1-Flags!$K$29),0)</f>
        <v>0</v>
      </c>
      <c r="DD101" s="491">
        <f>IF($E91="USD",DD94*(1-Flags!$K$29),0)</f>
        <v>0</v>
      </c>
      <c r="DE101" s="491">
        <f>IF($E91="USD",DE94*(1-Flags!$K$29),0)</f>
        <v>0</v>
      </c>
      <c r="DF101" s="491">
        <f>IF($E91="USD",DF94*(1-Flags!$K$29),0)</f>
        <v>0</v>
      </c>
      <c r="DG101" s="491">
        <f>IF($E91="USD",DG94*(1-Flags!$K$29),0)</f>
        <v>0</v>
      </c>
      <c r="DH101" s="491">
        <f>IF($E91="USD",DH94*(1-Flags!$K$29),0)</f>
        <v>0</v>
      </c>
      <c r="DI101" s="491">
        <f>IF($E91="USD",DI94*(1-Flags!$K$29),0)</f>
        <v>0</v>
      </c>
      <c r="DJ101" s="491">
        <f>IF($E91="USD",DJ94*(1-Flags!$K$29),0)</f>
        <v>0</v>
      </c>
      <c r="DK101" s="491">
        <f>IF($E91="USD",DK94*(1-Flags!$K$29),0)</f>
        <v>0</v>
      </c>
      <c r="DL101" s="491">
        <f>IF($E91="USD",DL94*(1-Flags!$K$29),0)</f>
        <v>0</v>
      </c>
      <c r="DM101" s="491">
        <f>IF($E91="USD",DM94*(1-Flags!$K$29),0)</f>
        <v>0</v>
      </c>
      <c r="DN101" s="491">
        <f>IF($E91="USD",DN94*(1-Flags!$K$29),0)</f>
        <v>0</v>
      </c>
      <c r="DO101" s="491">
        <f>IF($E91="USD",DO94*(1-Flags!$K$29),0)</f>
        <v>0</v>
      </c>
      <c r="DP101" s="491">
        <f>IF($E91="USD",DP94*(1-Flags!$K$29),0)</f>
        <v>0</v>
      </c>
      <c r="DQ101" s="491">
        <f>IF($E91="USD",DQ94*(1-Flags!$K$29),0)</f>
        <v>0</v>
      </c>
      <c r="DR101" s="491">
        <f>IF($E91="USD",DR94*(1-Flags!$K$29),0)</f>
        <v>0</v>
      </c>
      <c r="DS101" s="491">
        <f>IF($E91="USD",DS94*(1-Flags!$K$29),0)</f>
        <v>0</v>
      </c>
      <c r="DT101" s="491">
        <f>IF($E91="USD",DT94*(1-Flags!$K$29),0)</f>
        <v>0</v>
      </c>
      <c r="DU101" s="491">
        <f>IF($E91="USD",DU94*(1-Flags!$K$29),0)</f>
        <v>0</v>
      </c>
      <c r="DV101" s="491">
        <f>IF($E91="USD",DV94*(1-Flags!$K$29),0)</f>
        <v>0</v>
      </c>
      <c r="DW101" s="491">
        <f>IF($E91="USD",DW94*(1-Flags!$K$29),0)</f>
        <v>0</v>
      </c>
      <c r="DX101" s="491">
        <f>IF($E91="USD",DX94*(1-Flags!$K$29),0)</f>
        <v>0</v>
      </c>
      <c r="DY101" s="491">
        <f>IF($E91="USD",DY94*(1-Flags!$K$29),0)</f>
        <v>0</v>
      </c>
    </row>
    <row r="102" spans="2:129">
      <c r="C102" s="43" t="s">
        <v>637</v>
      </c>
      <c r="E102" s="578">
        <f>'Model Assumptions'!J142</f>
        <v>0.02</v>
      </c>
      <c r="J102" s="159">
        <f>J92*$E$102</f>
        <v>0</v>
      </c>
      <c r="K102" s="159">
        <f t="shared" ref="K102:BV102" si="87">K92*$E$102</f>
        <v>0</v>
      </c>
      <c r="L102" s="159">
        <f t="shared" si="87"/>
        <v>0</v>
      </c>
      <c r="M102" s="159">
        <f t="shared" si="87"/>
        <v>0</v>
      </c>
      <c r="N102" s="159">
        <f t="shared" si="87"/>
        <v>0</v>
      </c>
      <c r="O102" s="159">
        <f t="shared" si="87"/>
        <v>0</v>
      </c>
      <c r="P102" s="159">
        <f t="shared" si="87"/>
        <v>0</v>
      </c>
      <c r="Q102" s="159">
        <f t="shared" si="87"/>
        <v>0</v>
      </c>
      <c r="R102" s="159">
        <f t="shared" si="87"/>
        <v>0</v>
      </c>
      <c r="S102" s="159">
        <f t="shared" si="87"/>
        <v>0</v>
      </c>
      <c r="T102" s="159">
        <f t="shared" si="87"/>
        <v>0</v>
      </c>
      <c r="U102" s="159">
        <f t="shared" si="87"/>
        <v>0</v>
      </c>
      <c r="V102" s="159">
        <f t="shared" si="87"/>
        <v>0</v>
      </c>
      <c r="W102" s="159">
        <f t="shared" si="87"/>
        <v>0</v>
      </c>
      <c r="X102" s="159">
        <f t="shared" si="87"/>
        <v>0</v>
      </c>
      <c r="Y102" s="159">
        <f t="shared" si="87"/>
        <v>0</v>
      </c>
      <c r="Z102" s="159">
        <f t="shared" si="87"/>
        <v>0</v>
      </c>
      <c r="AA102" s="159">
        <f t="shared" si="87"/>
        <v>0</v>
      </c>
      <c r="AB102" s="159">
        <f t="shared" si="87"/>
        <v>0</v>
      </c>
      <c r="AC102" s="159">
        <f t="shared" si="87"/>
        <v>0</v>
      </c>
      <c r="AD102" s="159">
        <f t="shared" si="87"/>
        <v>0</v>
      </c>
      <c r="AE102" s="159">
        <f t="shared" si="87"/>
        <v>0</v>
      </c>
      <c r="AF102" s="159">
        <f t="shared" si="87"/>
        <v>0</v>
      </c>
      <c r="AG102" s="159">
        <f t="shared" si="87"/>
        <v>0</v>
      </c>
      <c r="AH102" s="159">
        <f t="shared" si="87"/>
        <v>0</v>
      </c>
      <c r="AI102" s="159">
        <f t="shared" si="87"/>
        <v>0</v>
      </c>
      <c r="AJ102" s="159">
        <f t="shared" si="87"/>
        <v>0</v>
      </c>
      <c r="AK102" s="159">
        <f t="shared" si="87"/>
        <v>0</v>
      </c>
      <c r="AL102" s="159">
        <f t="shared" si="87"/>
        <v>0</v>
      </c>
      <c r="AM102" s="159">
        <f t="shared" si="87"/>
        <v>0</v>
      </c>
      <c r="AN102" s="159">
        <f t="shared" si="87"/>
        <v>0</v>
      </c>
      <c r="AO102" s="159">
        <f t="shared" si="87"/>
        <v>0</v>
      </c>
      <c r="AP102" s="159">
        <f t="shared" si="87"/>
        <v>0</v>
      </c>
      <c r="AQ102" s="159">
        <f t="shared" si="87"/>
        <v>0</v>
      </c>
      <c r="AR102" s="159">
        <f t="shared" si="87"/>
        <v>0</v>
      </c>
      <c r="AS102" s="159">
        <f t="shared" si="87"/>
        <v>0</v>
      </c>
      <c r="AT102" s="159">
        <f t="shared" si="87"/>
        <v>0</v>
      </c>
      <c r="AU102" s="159">
        <f t="shared" si="87"/>
        <v>0</v>
      </c>
      <c r="AV102" s="159">
        <f t="shared" si="87"/>
        <v>0</v>
      </c>
      <c r="AW102" s="159">
        <f t="shared" si="87"/>
        <v>0</v>
      </c>
      <c r="AX102" s="159">
        <f t="shared" si="87"/>
        <v>0</v>
      </c>
      <c r="AY102" s="159">
        <f t="shared" si="87"/>
        <v>0</v>
      </c>
      <c r="AZ102" s="159">
        <f t="shared" si="87"/>
        <v>0</v>
      </c>
      <c r="BA102" s="159">
        <f t="shared" si="87"/>
        <v>0</v>
      </c>
      <c r="BB102" s="159">
        <f t="shared" si="87"/>
        <v>0</v>
      </c>
      <c r="BC102" s="159">
        <f t="shared" si="87"/>
        <v>0</v>
      </c>
      <c r="BD102" s="159">
        <f t="shared" si="87"/>
        <v>0</v>
      </c>
      <c r="BE102" s="159">
        <f t="shared" si="87"/>
        <v>0</v>
      </c>
      <c r="BF102" s="159">
        <f t="shared" si="87"/>
        <v>0</v>
      </c>
      <c r="BG102" s="159">
        <f t="shared" si="87"/>
        <v>0</v>
      </c>
      <c r="BH102" s="159">
        <f t="shared" si="87"/>
        <v>0</v>
      </c>
      <c r="BI102" s="159">
        <f t="shared" si="87"/>
        <v>0</v>
      </c>
      <c r="BJ102" s="159">
        <f t="shared" si="87"/>
        <v>0</v>
      </c>
      <c r="BK102" s="159">
        <f t="shared" si="87"/>
        <v>0</v>
      </c>
      <c r="BL102" s="159">
        <f t="shared" si="87"/>
        <v>0</v>
      </c>
      <c r="BM102" s="159">
        <f t="shared" si="87"/>
        <v>0</v>
      </c>
      <c r="BN102" s="159">
        <f t="shared" si="87"/>
        <v>0</v>
      </c>
      <c r="BO102" s="159">
        <f t="shared" si="87"/>
        <v>0</v>
      </c>
      <c r="BP102" s="159">
        <f t="shared" si="87"/>
        <v>0</v>
      </c>
      <c r="BQ102" s="159">
        <f t="shared" si="87"/>
        <v>0</v>
      </c>
      <c r="BR102" s="159">
        <f t="shared" si="87"/>
        <v>0</v>
      </c>
      <c r="BS102" s="159">
        <f t="shared" si="87"/>
        <v>0</v>
      </c>
      <c r="BT102" s="159">
        <f t="shared" si="87"/>
        <v>0</v>
      </c>
      <c r="BU102" s="159">
        <f t="shared" si="87"/>
        <v>0</v>
      </c>
      <c r="BV102" s="159">
        <f t="shared" si="87"/>
        <v>0</v>
      </c>
      <c r="BW102" s="159">
        <f t="shared" ref="BW102:DY102" si="88">BW92*$E$102</f>
        <v>0</v>
      </c>
      <c r="BX102" s="159">
        <f t="shared" si="88"/>
        <v>0</v>
      </c>
      <c r="BY102" s="159">
        <f t="shared" si="88"/>
        <v>0</v>
      </c>
      <c r="BZ102" s="159">
        <f t="shared" si="88"/>
        <v>0</v>
      </c>
      <c r="CA102" s="159">
        <f t="shared" si="88"/>
        <v>0</v>
      </c>
      <c r="CB102" s="159">
        <f t="shared" si="88"/>
        <v>0</v>
      </c>
      <c r="CC102" s="159">
        <f t="shared" si="88"/>
        <v>0</v>
      </c>
      <c r="CD102" s="159">
        <f t="shared" si="88"/>
        <v>20000</v>
      </c>
      <c r="CE102" s="159">
        <f t="shared" si="88"/>
        <v>0</v>
      </c>
      <c r="CF102" s="159">
        <f t="shared" si="88"/>
        <v>0</v>
      </c>
      <c r="CG102" s="159">
        <f t="shared" si="88"/>
        <v>0</v>
      </c>
      <c r="CH102" s="159">
        <f t="shared" si="88"/>
        <v>0</v>
      </c>
      <c r="CI102" s="159">
        <f t="shared" si="88"/>
        <v>0</v>
      </c>
      <c r="CJ102" s="159">
        <f t="shared" si="88"/>
        <v>0</v>
      </c>
      <c r="CK102" s="159">
        <f t="shared" si="88"/>
        <v>0</v>
      </c>
      <c r="CL102" s="159">
        <f t="shared" si="88"/>
        <v>0</v>
      </c>
      <c r="CM102" s="159">
        <f t="shared" si="88"/>
        <v>0</v>
      </c>
      <c r="CN102" s="159">
        <f t="shared" si="88"/>
        <v>0</v>
      </c>
      <c r="CO102" s="159">
        <f t="shared" si="88"/>
        <v>0</v>
      </c>
      <c r="CP102" s="159">
        <f t="shared" si="88"/>
        <v>0</v>
      </c>
      <c r="CQ102" s="159">
        <f t="shared" si="88"/>
        <v>0</v>
      </c>
      <c r="CR102" s="159">
        <f t="shared" si="88"/>
        <v>0</v>
      </c>
      <c r="CS102" s="159">
        <f t="shared" si="88"/>
        <v>0</v>
      </c>
      <c r="CT102" s="159">
        <f t="shared" si="88"/>
        <v>0</v>
      </c>
      <c r="CU102" s="159">
        <f t="shared" si="88"/>
        <v>0</v>
      </c>
      <c r="CV102" s="159">
        <f t="shared" si="88"/>
        <v>0</v>
      </c>
      <c r="CW102" s="159">
        <f t="shared" si="88"/>
        <v>0</v>
      </c>
      <c r="CX102" s="159">
        <f t="shared" si="88"/>
        <v>0</v>
      </c>
      <c r="CY102" s="159">
        <f t="shared" si="88"/>
        <v>0</v>
      </c>
      <c r="CZ102" s="159">
        <f t="shared" si="88"/>
        <v>0</v>
      </c>
      <c r="DA102" s="159">
        <f t="shared" si="88"/>
        <v>0</v>
      </c>
      <c r="DB102" s="159">
        <f t="shared" si="88"/>
        <v>0</v>
      </c>
      <c r="DC102" s="159">
        <f t="shared" si="88"/>
        <v>0</v>
      </c>
      <c r="DD102" s="159">
        <f t="shared" si="88"/>
        <v>0</v>
      </c>
      <c r="DE102" s="159">
        <f t="shared" si="88"/>
        <v>0</v>
      </c>
      <c r="DF102" s="159">
        <f t="shared" si="88"/>
        <v>0</v>
      </c>
      <c r="DG102" s="159">
        <f t="shared" si="88"/>
        <v>0</v>
      </c>
      <c r="DH102" s="159">
        <f t="shared" si="88"/>
        <v>0</v>
      </c>
      <c r="DI102" s="159">
        <f t="shared" si="88"/>
        <v>0</v>
      </c>
      <c r="DJ102" s="159">
        <f t="shared" si="88"/>
        <v>0</v>
      </c>
      <c r="DK102" s="159">
        <f t="shared" si="88"/>
        <v>0</v>
      </c>
      <c r="DL102" s="159">
        <f t="shared" si="88"/>
        <v>0</v>
      </c>
      <c r="DM102" s="159">
        <f t="shared" si="88"/>
        <v>0</v>
      </c>
      <c r="DN102" s="159">
        <f t="shared" si="88"/>
        <v>0</v>
      </c>
      <c r="DO102" s="159">
        <f t="shared" si="88"/>
        <v>0</v>
      </c>
      <c r="DP102" s="159">
        <f t="shared" si="88"/>
        <v>0</v>
      </c>
      <c r="DQ102" s="159">
        <f t="shared" si="88"/>
        <v>0</v>
      </c>
      <c r="DR102" s="159">
        <f t="shared" si="88"/>
        <v>0</v>
      </c>
      <c r="DS102" s="159">
        <f t="shared" si="88"/>
        <v>0</v>
      </c>
      <c r="DT102" s="159">
        <f t="shared" si="88"/>
        <v>0</v>
      </c>
      <c r="DU102" s="159">
        <f t="shared" si="88"/>
        <v>0</v>
      </c>
      <c r="DV102" s="159">
        <f t="shared" si="88"/>
        <v>0</v>
      </c>
      <c r="DW102" s="159">
        <f t="shared" si="88"/>
        <v>0</v>
      </c>
      <c r="DX102" s="159">
        <f t="shared" si="88"/>
        <v>0</v>
      </c>
      <c r="DY102" s="159">
        <f t="shared" si="88"/>
        <v>0</v>
      </c>
    </row>
    <row r="103" spans="2:129">
      <c r="C103" s="43" t="s">
        <v>638</v>
      </c>
      <c r="J103" s="579">
        <f>J93*$E$102</f>
        <v>0</v>
      </c>
      <c r="K103" s="579">
        <f t="shared" ref="K103:BV103" si="89">K93*$E$102</f>
        <v>0</v>
      </c>
      <c r="L103" s="579">
        <f t="shared" si="89"/>
        <v>0</v>
      </c>
      <c r="M103" s="579">
        <f t="shared" si="89"/>
        <v>0</v>
      </c>
      <c r="N103" s="579">
        <f t="shared" si="89"/>
        <v>0</v>
      </c>
      <c r="O103" s="579">
        <f t="shared" si="89"/>
        <v>0</v>
      </c>
      <c r="P103" s="579">
        <f t="shared" si="89"/>
        <v>0</v>
      </c>
      <c r="Q103" s="579">
        <f t="shared" si="89"/>
        <v>0</v>
      </c>
      <c r="R103" s="579">
        <f t="shared" si="89"/>
        <v>0</v>
      </c>
      <c r="S103" s="579">
        <f t="shared" si="89"/>
        <v>0</v>
      </c>
      <c r="T103" s="579">
        <f t="shared" si="89"/>
        <v>0</v>
      </c>
      <c r="U103" s="579">
        <f t="shared" si="89"/>
        <v>0</v>
      </c>
      <c r="V103" s="579">
        <f t="shared" si="89"/>
        <v>0</v>
      </c>
      <c r="W103" s="579">
        <f t="shared" si="89"/>
        <v>0</v>
      </c>
      <c r="X103" s="579">
        <f t="shared" si="89"/>
        <v>0</v>
      </c>
      <c r="Y103" s="579">
        <f t="shared" si="89"/>
        <v>0</v>
      </c>
      <c r="Z103" s="579">
        <f t="shared" si="89"/>
        <v>0</v>
      </c>
      <c r="AA103" s="579">
        <f t="shared" si="89"/>
        <v>0</v>
      </c>
      <c r="AB103" s="579">
        <f t="shared" si="89"/>
        <v>0</v>
      </c>
      <c r="AC103" s="579">
        <f t="shared" si="89"/>
        <v>0</v>
      </c>
      <c r="AD103" s="579">
        <f t="shared" si="89"/>
        <v>0</v>
      </c>
      <c r="AE103" s="579">
        <f t="shared" si="89"/>
        <v>0</v>
      </c>
      <c r="AF103" s="579">
        <f t="shared" si="89"/>
        <v>0</v>
      </c>
      <c r="AG103" s="579">
        <f t="shared" si="89"/>
        <v>0</v>
      </c>
      <c r="AH103" s="579">
        <f t="shared" si="89"/>
        <v>0</v>
      </c>
      <c r="AI103" s="579">
        <f t="shared" si="89"/>
        <v>0</v>
      </c>
      <c r="AJ103" s="579">
        <f t="shared" si="89"/>
        <v>0</v>
      </c>
      <c r="AK103" s="579">
        <f t="shared" si="89"/>
        <v>0</v>
      </c>
      <c r="AL103" s="579">
        <f t="shared" si="89"/>
        <v>0</v>
      </c>
      <c r="AM103" s="579">
        <f t="shared" si="89"/>
        <v>0</v>
      </c>
      <c r="AN103" s="579">
        <f t="shared" si="89"/>
        <v>0</v>
      </c>
      <c r="AO103" s="579">
        <f t="shared" si="89"/>
        <v>0</v>
      </c>
      <c r="AP103" s="579">
        <f t="shared" si="89"/>
        <v>0</v>
      </c>
      <c r="AQ103" s="579">
        <f t="shared" si="89"/>
        <v>0</v>
      </c>
      <c r="AR103" s="579">
        <f t="shared" si="89"/>
        <v>0</v>
      </c>
      <c r="AS103" s="579">
        <f t="shared" si="89"/>
        <v>0</v>
      </c>
      <c r="AT103" s="579">
        <f t="shared" si="89"/>
        <v>0</v>
      </c>
      <c r="AU103" s="579">
        <f t="shared" si="89"/>
        <v>0</v>
      </c>
      <c r="AV103" s="579">
        <f t="shared" si="89"/>
        <v>0</v>
      </c>
      <c r="AW103" s="579">
        <f t="shared" si="89"/>
        <v>0</v>
      </c>
      <c r="AX103" s="579">
        <f t="shared" si="89"/>
        <v>0</v>
      </c>
      <c r="AY103" s="579">
        <f t="shared" si="89"/>
        <v>0</v>
      </c>
      <c r="AZ103" s="579">
        <f t="shared" si="89"/>
        <v>0</v>
      </c>
      <c r="BA103" s="579">
        <f t="shared" si="89"/>
        <v>0</v>
      </c>
      <c r="BB103" s="579">
        <f t="shared" si="89"/>
        <v>0</v>
      </c>
      <c r="BC103" s="579">
        <f t="shared" si="89"/>
        <v>0</v>
      </c>
      <c r="BD103" s="579">
        <f t="shared" si="89"/>
        <v>0</v>
      </c>
      <c r="BE103" s="579">
        <f t="shared" si="89"/>
        <v>0</v>
      </c>
      <c r="BF103" s="579">
        <f t="shared" si="89"/>
        <v>0</v>
      </c>
      <c r="BG103" s="579">
        <f t="shared" si="89"/>
        <v>0</v>
      </c>
      <c r="BH103" s="579">
        <f t="shared" si="89"/>
        <v>0</v>
      </c>
      <c r="BI103" s="579">
        <f t="shared" si="89"/>
        <v>0</v>
      </c>
      <c r="BJ103" s="579">
        <f t="shared" si="89"/>
        <v>0</v>
      </c>
      <c r="BK103" s="579">
        <f t="shared" si="89"/>
        <v>0</v>
      </c>
      <c r="BL103" s="579">
        <f t="shared" si="89"/>
        <v>0</v>
      </c>
      <c r="BM103" s="579">
        <f t="shared" si="89"/>
        <v>0</v>
      </c>
      <c r="BN103" s="579">
        <f t="shared" si="89"/>
        <v>0</v>
      </c>
      <c r="BO103" s="579">
        <f t="shared" si="89"/>
        <v>0</v>
      </c>
      <c r="BP103" s="579">
        <f t="shared" si="89"/>
        <v>0</v>
      </c>
      <c r="BQ103" s="579">
        <f t="shared" si="89"/>
        <v>0</v>
      </c>
      <c r="BR103" s="579">
        <f t="shared" si="89"/>
        <v>0</v>
      </c>
      <c r="BS103" s="579">
        <f t="shared" si="89"/>
        <v>0</v>
      </c>
      <c r="BT103" s="579">
        <f t="shared" si="89"/>
        <v>0</v>
      </c>
      <c r="BU103" s="579">
        <f t="shared" si="89"/>
        <v>0</v>
      </c>
      <c r="BV103" s="579">
        <f t="shared" si="89"/>
        <v>0</v>
      </c>
      <c r="BW103" s="579">
        <f t="shared" ref="BW103:DY103" si="90">BW93*$E$102</f>
        <v>0</v>
      </c>
      <c r="BX103" s="579">
        <f t="shared" si="90"/>
        <v>0</v>
      </c>
      <c r="BY103" s="579">
        <f t="shared" si="90"/>
        <v>0</v>
      </c>
      <c r="BZ103" s="579">
        <f t="shared" si="90"/>
        <v>0</v>
      </c>
      <c r="CA103" s="579">
        <f t="shared" si="90"/>
        <v>0</v>
      </c>
      <c r="CB103" s="579">
        <f t="shared" si="90"/>
        <v>0</v>
      </c>
      <c r="CC103" s="579">
        <f t="shared" si="90"/>
        <v>0</v>
      </c>
      <c r="CD103" s="579">
        <f t="shared" si="90"/>
        <v>200000</v>
      </c>
      <c r="CE103" s="579">
        <f t="shared" si="90"/>
        <v>0</v>
      </c>
      <c r="CF103" s="579">
        <f t="shared" si="90"/>
        <v>0</v>
      </c>
      <c r="CG103" s="579">
        <f t="shared" si="90"/>
        <v>0</v>
      </c>
      <c r="CH103" s="579">
        <f t="shared" si="90"/>
        <v>0</v>
      </c>
      <c r="CI103" s="579">
        <f t="shared" si="90"/>
        <v>0</v>
      </c>
      <c r="CJ103" s="579">
        <f t="shared" si="90"/>
        <v>0</v>
      </c>
      <c r="CK103" s="579">
        <f t="shared" si="90"/>
        <v>0</v>
      </c>
      <c r="CL103" s="579">
        <f t="shared" si="90"/>
        <v>0</v>
      </c>
      <c r="CM103" s="579">
        <f t="shared" si="90"/>
        <v>0</v>
      </c>
      <c r="CN103" s="579">
        <f t="shared" si="90"/>
        <v>0</v>
      </c>
      <c r="CO103" s="579">
        <f t="shared" si="90"/>
        <v>0</v>
      </c>
      <c r="CP103" s="579">
        <f t="shared" si="90"/>
        <v>0</v>
      </c>
      <c r="CQ103" s="579">
        <f t="shared" si="90"/>
        <v>0</v>
      </c>
      <c r="CR103" s="579">
        <f t="shared" si="90"/>
        <v>0</v>
      </c>
      <c r="CS103" s="579">
        <f t="shared" si="90"/>
        <v>0</v>
      </c>
      <c r="CT103" s="579">
        <f t="shared" si="90"/>
        <v>0</v>
      </c>
      <c r="CU103" s="579">
        <f t="shared" si="90"/>
        <v>0</v>
      </c>
      <c r="CV103" s="579">
        <f t="shared" si="90"/>
        <v>0</v>
      </c>
      <c r="CW103" s="579">
        <f t="shared" si="90"/>
        <v>0</v>
      </c>
      <c r="CX103" s="579">
        <f t="shared" si="90"/>
        <v>0</v>
      </c>
      <c r="CY103" s="579">
        <f t="shared" si="90"/>
        <v>0</v>
      </c>
      <c r="CZ103" s="579">
        <f t="shared" si="90"/>
        <v>0</v>
      </c>
      <c r="DA103" s="579">
        <f t="shared" si="90"/>
        <v>0</v>
      </c>
      <c r="DB103" s="579">
        <f t="shared" si="90"/>
        <v>0</v>
      </c>
      <c r="DC103" s="579">
        <f t="shared" si="90"/>
        <v>0</v>
      </c>
      <c r="DD103" s="579">
        <f t="shared" si="90"/>
        <v>0</v>
      </c>
      <c r="DE103" s="579">
        <f t="shared" si="90"/>
        <v>0</v>
      </c>
      <c r="DF103" s="579">
        <f t="shared" si="90"/>
        <v>0</v>
      </c>
      <c r="DG103" s="579">
        <f t="shared" si="90"/>
        <v>0</v>
      </c>
      <c r="DH103" s="579">
        <f t="shared" si="90"/>
        <v>0</v>
      </c>
      <c r="DI103" s="579">
        <f t="shared" si="90"/>
        <v>0</v>
      </c>
      <c r="DJ103" s="579">
        <f t="shared" si="90"/>
        <v>0</v>
      </c>
      <c r="DK103" s="579">
        <f t="shared" si="90"/>
        <v>0</v>
      </c>
      <c r="DL103" s="579">
        <f t="shared" si="90"/>
        <v>0</v>
      </c>
      <c r="DM103" s="579">
        <f t="shared" si="90"/>
        <v>0</v>
      </c>
      <c r="DN103" s="579">
        <f t="shared" si="90"/>
        <v>0</v>
      </c>
      <c r="DO103" s="579">
        <f t="shared" si="90"/>
        <v>0</v>
      </c>
      <c r="DP103" s="579">
        <f t="shared" si="90"/>
        <v>0</v>
      </c>
      <c r="DQ103" s="579">
        <f t="shared" si="90"/>
        <v>0</v>
      </c>
      <c r="DR103" s="579">
        <f t="shared" si="90"/>
        <v>0</v>
      </c>
      <c r="DS103" s="579">
        <f t="shared" si="90"/>
        <v>0</v>
      </c>
      <c r="DT103" s="579">
        <f t="shared" si="90"/>
        <v>0</v>
      </c>
      <c r="DU103" s="579">
        <f t="shared" si="90"/>
        <v>0</v>
      </c>
      <c r="DV103" s="579">
        <f t="shared" si="90"/>
        <v>0</v>
      </c>
      <c r="DW103" s="579">
        <f t="shared" si="90"/>
        <v>0</v>
      </c>
      <c r="DX103" s="579">
        <f t="shared" si="90"/>
        <v>0</v>
      </c>
      <c r="DY103" s="579">
        <f t="shared" si="90"/>
        <v>0</v>
      </c>
    </row>
    <row r="104" spans="2:129">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row>
    <row r="105" spans="2:129" s="43" customFormat="1">
      <c r="B105" s="44" t="s">
        <v>28</v>
      </c>
      <c r="C105" s="43" t="s">
        <v>44</v>
      </c>
      <c r="E105" s="481">
        <f>+'Model Assumptions'!K133</f>
        <v>47484</v>
      </c>
      <c r="F105" s="125"/>
      <c r="G105" s="125"/>
      <c r="H105" s="125"/>
    </row>
    <row r="106" spans="2:129" s="43" customFormat="1">
      <c r="B106" s="44"/>
      <c r="C106" s="43" t="s">
        <v>394</v>
      </c>
      <c r="E106" s="482" t="str">
        <f>+'Model Assumptions'!K137</f>
        <v>USD</v>
      </c>
      <c r="F106" s="125"/>
      <c r="G106" s="125"/>
      <c r="H106" s="125"/>
    </row>
    <row r="107" spans="2:129" s="43" customFormat="1">
      <c r="B107" s="44"/>
      <c r="C107" s="43" t="s">
        <v>386</v>
      </c>
      <c r="E107" s="482">
        <f>+'Model Assumptions'!K134</f>
        <v>1000000</v>
      </c>
      <c r="F107" s="126"/>
      <c r="G107" s="126"/>
      <c r="H107" s="126"/>
      <c r="J107" s="46">
        <f t="shared" ref="J107:AO107" si="91">+IF(J$1=$E$105,$E$107,0)</f>
        <v>0</v>
      </c>
      <c r="K107" s="46">
        <f t="shared" si="91"/>
        <v>0</v>
      </c>
      <c r="L107" s="46">
        <f t="shared" si="91"/>
        <v>0</v>
      </c>
      <c r="M107" s="46">
        <f t="shared" si="91"/>
        <v>0</v>
      </c>
      <c r="N107" s="46">
        <f t="shared" si="91"/>
        <v>0</v>
      </c>
      <c r="O107" s="46">
        <f t="shared" si="91"/>
        <v>0</v>
      </c>
      <c r="P107" s="46">
        <f t="shared" si="91"/>
        <v>0</v>
      </c>
      <c r="Q107" s="46">
        <f t="shared" si="91"/>
        <v>0</v>
      </c>
      <c r="R107" s="46">
        <f t="shared" si="91"/>
        <v>0</v>
      </c>
      <c r="S107" s="46">
        <f t="shared" si="91"/>
        <v>0</v>
      </c>
      <c r="T107" s="46">
        <f t="shared" si="91"/>
        <v>0</v>
      </c>
      <c r="U107" s="46">
        <f t="shared" si="91"/>
        <v>0</v>
      </c>
      <c r="V107" s="46">
        <f t="shared" si="91"/>
        <v>0</v>
      </c>
      <c r="W107" s="46">
        <f t="shared" si="91"/>
        <v>0</v>
      </c>
      <c r="X107" s="46">
        <f t="shared" si="91"/>
        <v>0</v>
      </c>
      <c r="Y107" s="46">
        <f t="shared" si="91"/>
        <v>0</v>
      </c>
      <c r="Z107" s="46">
        <f t="shared" si="91"/>
        <v>0</v>
      </c>
      <c r="AA107" s="46">
        <f t="shared" si="91"/>
        <v>0</v>
      </c>
      <c r="AB107" s="46">
        <f t="shared" si="91"/>
        <v>0</v>
      </c>
      <c r="AC107" s="46">
        <f t="shared" si="91"/>
        <v>0</v>
      </c>
      <c r="AD107" s="46">
        <f t="shared" si="91"/>
        <v>0</v>
      </c>
      <c r="AE107" s="46">
        <f t="shared" si="91"/>
        <v>0</v>
      </c>
      <c r="AF107" s="46">
        <f t="shared" si="91"/>
        <v>0</v>
      </c>
      <c r="AG107" s="46">
        <f t="shared" si="91"/>
        <v>0</v>
      </c>
      <c r="AH107" s="46">
        <f t="shared" si="91"/>
        <v>0</v>
      </c>
      <c r="AI107" s="46">
        <f t="shared" si="91"/>
        <v>0</v>
      </c>
      <c r="AJ107" s="46">
        <f t="shared" si="91"/>
        <v>0</v>
      </c>
      <c r="AK107" s="46">
        <f t="shared" si="91"/>
        <v>0</v>
      </c>
      <c r="AL107" s="46">
        <f t="shared" si="91"/>
        <v>0</v>
      </c>
      <c r="AM107" s="46">
        <f t="shared" si="91"/>
        <v>0</v>
      </c>
      <c r="AN107" s="46">
        <f t="shared" si="91"/>
        <v>0</v>
      </c>
      <c r="AO107" s="46">
        <f t="shared" si="91"/>
        <v>0</v>
      </c>
      <c r="AP107" s="46">
        <f t="shared" ref="AP107:BU107" si="92">+IF(AP$1=$E$105,$E$107,0)</f>
        <v>0</v>
      </c>
      <c r="AQ107" s="46">
        <f t="shared" si="92"/>
        <v>0</v>
      </c>
      <c r="AR107" s="46">
        <f t="shared" si="92"/>
        <v>0</v>
      </c>
      <c r="AS107" s="46">
        <f t="shared" si="92"/>
        <v>0</v>
      </c>
      <c r="AT107" s="46">
        <f t="shared" si="92"/>
        <v>0</v>
      </c>
      <c r="AU107" s="46">
        <f t="shared" si="92"/>
        <v>0</v>
      </c>
      <c r="AV107" s="46">
        <f t="shared" si="92"/>
        <v>0</v>
      </c>
      <c r="AW107" s="46">
        <f t="shared" si="92"/>
        <v>0</v>
      </c>
      <c r="AX107" s="46">
        <f t="shared" si="92"/>
        <v>0</v>
      </c>
      <c r="AY107" s="46">
        <f t="shared" si="92"/>
        <v>0</v>
      </c>
      <c r="AZ107" s="46">
        <f t="shared" si="92"/>
        <v>0</v>
      </c>
      <c r="BA107" s="46">
        <f t="shared" si="92"/>
        <v>0</v>
      </c>
      <c r="BB107" s="46">
        <f t="shared" si="92"/>
        <v>0</v>
      </c>
      <c r="BC107" s="46">
        <f t="shared" si="92"/>
        <v>0</v>
      </c>
      <c r="BD107" s="46">
        <f t="shared" si="92"/>
        <v>0</v>
      </c>
      <c r="BE107" s="46">
        <f t="shared" si="92"/>
        <v>0</v>
      </c>
      <c r="BF107" s="46">
        <f t="shared" si="92"/>
        <v>0</v>
      </c>
      <c r="BG107" s="46">
        <f t="shared" si="92"/>
        <v>0</v>
      </c>
      <c r="BH107" s="46">
        <f t="shared" si="92"/>
        <v>0</v>
      </c>
      <c r="BI107" s="46">
        <f t="shared" si="92"/>
        <v>0</v>
      </c>
      <c r="BJ107" s="46">
        <f t="shared" si="92"/>
        <v>0</v>
      </c>
      <c r="BK107" s="46">
        <f t="shared" si="92"/>
        <v>0</v>
      </c>
      <c r="BL107" s="46">
        <f t="shared" si="92"/>
        <v>0</v>
      </c>
      <c r="BM107" s="46">
        <f t="shared" si="92"/>
        <v>0</v>
      </c>
      <c r="BN107" s="46">
        <f t="shared" si="92"/>
        <v>0</v>
      </c>
      <c r="BO107" s="46">
        <f t="shared" si="92"/>
        <v>0</v>
      </c>
      <c r="BP107" s="46">
        <f t="shared" si="92"/>
        <v>0</v>
      </c>
      <c r="BQ107" s="46">
        <f t="shared" si="92"/>
        <v>0</v>
      </c>
      <c r="BR107" s="46">
        <f t="shared" si="92"/>
        <v>0</v>
      </c>
      <c r="BS107" s="46">
        <f t="shared" si="92"/>
        <v>0</v>
      </c>
      <c r="BT107" s="46">
        <f t="shared" si="92"/>
        <v>0</v>
      </c>
      <c r="BU107" s="46">
        <f t="shared" si="92"/>
        <v>0</v>
      </c>
      <c r="BV107" s="46">
        <f t="shared" ref="BV107:DY107" si="93">+IF(BV$1=$E$105,$E$107,0)</f>
        <v>0</v>
      </c>
      <c r="BW107" s="46">
        <f t="shared" si="93"/>
        <v>0</v>
      </c>
      <c r="BX107" s="46">
        <f t="shared" si="93"/>
        <v>0</v>
      </c>
      <c r="BY107" s="46">
        <f t="shared" si="93"/>
        <v>0</v>
      </c>
      <c r="BZ107" s="46">
        <f t="shared" si="93"/>
        <v>0</v>
      </c>
      <c r="CA107" s="46">
        <f t="shared" si="93"/>
        <v>0</v>
      </c>
      <c r="CB107" s="46">
        <f t="shared" si="93"/>
        <v>0</v>
      </c>
      <c r="CC107" s="46">
        <f t="shared" si="93"/>
        <v>0</v>
      </c>
      <c r="CD107" s="46">
        <f t="shared" si="93"/>
        <v>0</v>
      </c>
      <c r="CE107" s="46">
        <f t="shared" si="93"/>
        <v>0</v>
      </c>
      <c r="CF107" s="46">
        <f t="shared" si="93"/>
        <v>0</v>
      </c>
      <c r="CG107" s="46">
        <f t="shared" si="93"/>
        <v>0</v>
      </c>
      <c r="CH107" s="46">
        <f t="shared" si="93"/>
        <v>0</v>
      </c>
      <c r="CI107" s="46">
        <f t="shared" si="93"/>
        <v>0</v>
      </c>
      <c r="CJ107" s="46">
        <f t="shared" si="93"/>
        <v>0</v>
      </c>
      <c r="CK107" s="46">
        <f t="shared" si="93"/>
        <v>0</v>
      </c>
      <c r="CL107" s="46">
        <f t="shared" si="93"/>
        <v>0</v>
      </c>
      <c r="CM107" s="46">
        <f t="shared" si="93"/>
        <v>0</v>
      </c>
      <c r="CN107" s="46">
        <f t="shared" si="93"/>
        <v>0</v>
      </c>
      <c r="CO107" s="46">
        <f t="shared" si="93"/>
        <v>0</v>
      </c>
      <c r="CP107" s="46">
        <f t="shared" si="93"/>
        <v>1000000</v>
      </c>
      <c r="CQ107" s="46">
        <f t="shared" si="93"/>
        <v>0</v>
      </c>
      <c r="CR107" s="46">
        <f t="shared" si="93"/>
        <v>0</v>
      </c>
      <c r="CS107" s="46">
        <f t="shared" si="93"/>
        <v>0</v>
      </c>
      <c r="CT107" s="46">
        <f t="shared" si="93"/>
        <v>0</v>
      </c>
      <c r="CU107" s="46">
        <f t="shared" si="93"/>
        <v>0</v>
      </c>
      <c r="CV107" s="46">
        <f t="shared" si="93"/>
        <v>0</v>
      </c>
      <c r="CW107" s="46">
        <f t="shared" si="93"/>
        <v>0</v>
      </c>
      <c r="CX107" s="46">
        <f t="shared" si="93"/>
        <v>0</v>
      </c>
      <c r="CY107" s="46">
        <f t="shared" si="93"/>
        <v>0</v>
      </c>
      <c r="CZ107" s="46">
        <f t="shared" si="93"/>
        <v>0</v>
      </c>
      <c r="DA107" s="46">
        <f t="shared" si="93"/>
        <v>0</v>
      </c>
      <c r="DB107" s="46">
        <f t="shared" si="93"/>
        <v>0</v>
      </c>
      <c r="DC107" s="46">
        <f t="shared" si="93"/>
        <v>0</v>
      </c>
      <c r="DD107" s="46">
        <f t="shared" si="93"/>
        <v>0</v>
      </c>
      <c r="DE107" s="46">
        <f t="shared" si="93"/>
        <v>0</v>
      </c>
      <c r="DF107" s="46">
        <f t="shared" si="93"/>
        <v>0</v>
      </c>
      <c r="DG107" s="46">
        <f t="shared" si="93"/>
        <v>0</v>
      </c>
      <c r="DH107" s="46">
        <f t="shared" si="93"/>
        <v>0</v>
      </c>
      <c r="DI107" s="46">
        <f t="shared" si="93"/>
        <v>0</v>
      </c>
      <c r="DJ107" s="46">
        <f t="shared" si="93"/>
        <v>0</v>
      </c>
      <c r="DK107" s="46">
        <f t="shared" si="93"/>
        <v>0</v>
      </c>
      <c r="DL107" s="46">
        <f t="shared" si="93"/>
        <v>0</v>
      </c>
      <c r="DM107" s="46">
        <f t="shared" si="93"/>
        <v>0</v>
      </c>
      <c r="DN107" s="46">
        <f t="shared" si="93"/>
        <v>0</v>
      </c>
      <c r="DO107" s="46">
        <f t="shared" si="93"/>
        <v>0</v>
      </c>
      <c r="DP107" s="46">
        <f t="shared" si="93"/>
        <v>0</v>
      </c>
      <c r="DQ107" s="46">
        <f t="shared" si="93"/>
        <v>0</v>
      </c>
      <c r="DR107" s="46">
        <f t="shared" si="93"/>
        <v>0</v>
      </c>
      <c r="DS107" s="46">
        <f t="shared" si="93"/>
        <v>0</v>
      </c>
      <c r="DT107" s="46">
        <f t="shared" si="93"/>
        <v>0</v>
      </c>
      <c r="DU107" s="46">
        <f t="shared" si="93"/>
        <v>0</v>
      </c>
      <c r="DV107" s="46">
        <f t="shared" si="93"/>
        <v>0</v>
      </c>
      <c r="DW107" s="46">
        <f t="shared" si="93"/>
        <v>0</v>
      </c>
      <c r="DX107" s="46">
        <f t="shared" si="93"/>
        <v>0</v>
      </c>
      <c r="DY107" s="46">
        <f t="shared" si="93"/>
        <v>0</v>
      </c>
    </row>
    <row r="108" spans="2:129" s="43" customFormat="1">
      <c r="B108" s="44"/>
      <c r="C108" s="43" t="s">
        <v>387</v>
      </c>
      <c r="E108" s="482">
        <f>+'Model Assumptions'!K136</f>
        <v>10000000</v>
      </c>
      <c r="F108" s="126"/>
      <c r="G108" s="126"/>
      <c r="H108" s="126"/>
      <c r="J108" s="490">
        <f>J107*Flags!J$30</f>
        <v>0</v>
      </c>
      <c r="K108" s="490">
        <f>K107*Flags!K$30</f>
        <v>0</v>
      </c>
      <c r="L108" s="490">
        <f>L107*Flags!L$30</f>
        <v>0</v>
      </c>
      <c r="M108" s="490">
        <f>M107*Flags!M$30</f>
        <v>0</v>
      </c>
      <c r="N108" s="490">
        <f>N107*Flags!N$30</f>
        <v>0</v>
      </c>
      <c r="O108" s="490">
        <f>O107*Flags!O$30</f>
        <v>0</v>
      </c>
      <c r="P108" s="490">
        <f>P107*Flags!P$30</f>
        <v>0</v>
      </c>
      <c r="Q108" s="490">
        <f>Q107*Flags!Q$30</f>
        <v>0</v>
      </c>
      <c r="R108" s="490">
        <f>R107*Flags!R$30</f>
        <v>0</v>
      </c>
      <c r="S108" s="490">
        <f>S107*Flags!S$30</f>
        <v>0</v>
      </c>
      <c r="T108" s="490">
        <f>T107*Flags!T$30</f>
        <v>0</v>
      </c>
      <c r="U108" s="490">
        <f>U107*Flags!U$30</f>
        <v>0</v>
      </c>
      <c r="V108" s="490">
        <f>V107*Flags!V$30</f>
        <v>0</v>
      </c>
      <c r="W108" s="490">
        <f>W107*Flags!W$30</f>
        <v>0</v>
      </c>
      <c r="X108" s="490">
        <f>X107*Flags!X$30</f>
        <v>0</v>
      </c>
      <c r="Y108" s="490">
        <f>Y107*Flags!Y$30</f>
        <v>0</v>
      </c>
      <c r="Z108" s="490">
        <f>Z107*Flags!Z$30</f>
        <v>0</v>
      </c>
      <c r="AA108" s="490">
        <f>AA107*Flags!AA$30</f>
        <v>0</v>
      </c>
      <c r="AB108" s="490">
        <f>AB107*Flags!AB$30</f>
        <v>0</v>
      </c>
      <c r="AC108" s="490">
        <f>AC107*Flags!AC$30</f>
        <v>0</v>
      </c>
      <c r="AD108" s="490">
        <f>AD107*Flags!AD$30</f>
        <v>0</v>
      </c>
      <c r="AE108" s="490">
        <f>AE107*Flags!AE$30</f>
        <v>0</v>
      </c>
      <c r="AF108" s="490">
        <f>AF107*Flags!AF$30</f>
        <v>0</v>
      </c>
      <c r="AG108" s="490">
        <f>AG107*Flags!AG$30</f>
        <v>0</v>
      </c>
      <c r="AH108" s="490">
        <f>AH107*Flags!AH$30</f>
        <v>0</v>
      </c>
      <c r="AI108" s="490">
        <f>AI107*Flags!AI$30</f>
        <v>0</v>
      </c>
      <c r="AJ108" s="490">
        <f>AJ107*Flags!AJ$30</f>
        <v>0</v>
      </c>
      <c r="AK108" s="490">
        <f>AK107*Flags!AK$30</f>
        <v>0</v>
      </c>
      <c r="AL108" s="490">
        <f>AL107*Flags!AL$30</f>
        <v>0</v>
      </c>
      <c r="AM108" s="490">
        <f>AM107*Flags!AM$30</f>
        <v>0</v>
      </c>
      <c r="AN108" s="490">
        <f>AN107*Flags!AN$30</f>
        <v>0</v>
      </c>
      <c r="AO108" s="490">
        <f>AO107*Flags!AO$30</f>
        <v>0</v>
      </c>
      <c r="AP108" s="490">
        <f>AP107*Flags!AP$30</f>
        <v>0</v>
      </c>
      <c r="AQ108" s="490">
        <f>AQ107*Flags!AQ$30</f>
        <v>0</v>
      </c>
      <c r="AR108" s="490">
        <f>AR107*Flags!AR$30</f>
        <v>0</v>
      </c>
      <c r="AS108" s="490">
        <f>AS107*Flags!AS$30</f>
        <v>0</v>
      </c>
      <c r="AT108" s="490">
        <f>AT107*Flags!AT$30</f>
        <v>0</v>
      </c>
      <c r="AU108" s="490">
        <f>AU107*Flags!AU$30</f>
        <v>0</v>
      </c>
      <c r="AV108" s="490">
        <f>AV107*Flags!AV$30</f>
        <v>0</v>
      </c>
      <c r="AW108" s="490">
        <f>AW107*Flags!AW$30</f>
        <v>0</v>
      </c>
      <c r="AX108" s="490">
        <f>AX107*Flags!AX$30</f>
        <v>0</v>
      </c>
      <c r="AY108" s="490">
        <f>AY107*Flags!AY$30</f>
        <v>0</v>
      </c>
      <c r="AZ108" s="490">
        <f>AZ107*Flags!AZ$30</f>
        <v>0</v>
      </c>
      <c r="BA108" s="490">
        <f>BA107*Flags!BA$30</f>
        <v>0</v>
      </c>
      <c r="BB108" s="490">
        <f>BB107*Flags!BB$30</f>
        <v>0</v>
      </c>
      <c r="BC108" s="490">
        <f>BC107*Flags!BC$30</f>
        <v>0</v>
      </c>
      <c r="BD108" s="490">
        <f>BD107*Flags!BD$30</f>
        <v>0</v>
      </c>
      <c r="BE108" s="490">
        <f>BE107*Flags!BE$30</f>
        <v>0</v>
      </c>
      <c r="BF108" s="490">
        <f>BF107*Flags!BF$30</f>
        <v>0</v>
      </c>
      <c r="BG108" s="490">
        <f>BG107*Flags!BG$30</f>
        <v>0</v>
      </c>
      <c r="BH108" s="490">
        <f>BH107*Flags!BH$30</f>
        <v>0</v>
      </c>
      <c r="BI108" s="490">
        <f>BI107*Flags!BI$30</f>
        <v>0</v>
      </c>
      <c r="BJ108" s="490">
        <f>BJ107*Flags!BJ$30</f>
        <v>0</v>
      </c>
      <c r="BK108" s="490">
        <f>BK107*Flags!BK$30</f>
        <v>0</v>
      </c>
      <c r="BL108" s="490">
        <f>BL107*Flags!BL$30</f>
        <v>0</v>
      </c>
      <c r="BM108" s="490">
        <f>BM107*Flags!BM$30</f>
        <v>0</v>
      </c>
      <c r="BN108" s="490">
        <f>BN107*Flags!BN$30</f>
        <v>0</v>
      </c>
      <c r="BO108" s="490">
        <f>BO107*Flags!BO$30</f>
        <v>0</v>
      </c>
      <c r="BP108" s="490">
        <f>BP107*Flags!BP$30</f>
        <v>0</v>
      </c>
      <c r="BQ108" s="490">
        <f>BQ107*Flags!BQ$30</f>
        <v>0</v>
      </c>
      <c r="BR108" s="490">
        <f>BR107*Flags!BR$30</f>
        <v>0</v>
      </c>
      <c r="BS108" s="490">
        <f>BS107*Flags!BS$30</f>
        <v>0</v>
      </c>
      <c r="BT108" s="490">
        <f>BT107*Flags!BT$30</f>
        <v>0</v>
      </c>
      <c r="BU108" s="490">
        <f>BU107*Flags!BU$30</f>
        <v>0</v>
      </c>
      <c r="BV108" s="490">
        <f>BV107*Flags!BV$30</f>
        <v>0</v>
      </c>
      <c r="BW108" s="490">
        <f>BW107*Flags!BW$30</f>
        <v>0</v>
      </c>
      <c r="BX108" s="490">
        <f>BX107*Flags!BX$30</f>
        <v>0</v>
      </c>
      <c r="BY108" s="490">
        <f>BY107*Flags!BY$30</f>
        <v>0</v>
      </c>
      <c r="BZ108" s="490">
        <f>BZ107*Flags!BZ$30</f>
        <v>0</v>
      </c>
      <c r="CA108" s="490">
        <f>CA107*Flags!CA$30</f>
        <v>0</v>
      </c>
      <c r="CB108" s="490">
        <f>CB107*Flags!CB$30</f>
        <v>0</v>
      </c>
      <c r="CC108" s="490">
        <f>CC107*Flags!CC$30</f>
        <v>0</v>
      </c>
      <c r="CD108" s="490">
        <f>CD107*Flags!CD$30</f>
        <v>0</v>
      </c>
      <c r="CE108" s="490">
        <f>CE107*Flags!CE$30</f>
        <v>0</v>
      </c>
      <c r="CF108" s="490">
        <f>CF107*Flags!CF$30</f>
        <v>0</v>
      </c>
      <c r="CG108" s="490">
        <f>CG107*Flags!CG$30</f>
        <v>0</v>
      </c>
      <c r="CH108" s="490">
        <f>CH107*Flags!CH$30</f>
        <v>0</v>
      </c>
      <c r="CI108" s="490">
        <f>CI107*Flags!CI$30</f>
        <v>0</v>
      </c>
      <c r="CJ108" s="490">
        <f>CJ107*Flags!CJ$30</f>
        <v>0</v>
      </c>
      <c r="CK108" s="490">
        <f>CK107*Flags!CK$30</f>
        <v>0</v>
      </c>
      <c r="CL108" s="490">
        <f>CL107*Flags!CL$30</f>
        <v>0</v>
      </c>
      <c r="CM108" s="490">
        <f>CM107*Flags!CM$30</f>
        <v>0</v>
      </c>
      <c r="CN108" s="490">
        <f>CN107*Flags!CN$30</f>
        <v>0</v>
      </c>
      <c r="CO108" s="490">
        <f>CO107*Flags!CO$30</f>
        <v>0</v>
      </c>
      <c r="CP108" s="490">
        <f>CP107*Flags!CP$30</f>
        <v>10000000</v>
      </c>
      <c r="CQ108" s="490">
        <f>CQ107*Flags!CQ$30</f>
        <v>0</v>
      </c>
      <c r="CR108" s="490">
        <f>CR107*Flags!CR$30</f>
        <v>0</v>
      </c>
      <c r="CS108" s="490">
        <f>CS107*Flags!CS$30</f>
        <v>0</v>
      </c>
      <c r="CT108" s="490">
        <f>CT107*Flags!CT$30</f>
        <v>0</v>
      </c>
      <c r="CU108" s="490">
        <f>CU107*Flags!CU$30</f>
        <v>0</v>
      </c>
      <c r="CV108" s="490">
        <f>CV107*Flags!CV$30</f>
        <v>0</v>
      </c>
      <c r="CW108" s="490">
        <f>CW107*Flags!CW$30</f>
        <v>0</v>
      </c>
      <c r="CX108" s="490">
        <f>CX107*Flags!CX$30</f>
        <v>0</v>
      </c>
      <c r="CY108" s="490">
        <f>CY107*Flags!CY$30</f>
        <v>0</v>
      </c>
      <c r="CZ108" s="490">
        <f>CZ107*Flags!CZ$30</f>
        <v>0</v>
      </c>
      <c r="DA108" s="490">
        <f>DA107*Flags!DA$30</f>
        <v>0</v>
      </c>
      <c r="DB108" s="490">
        <f>DB107*Flags!DB$30</f>
        <v>0</v>
      </c>
      <c r="DC108" s="490">
        <f>DC107*Flags!DC$30</f>
        <v>0</v>
      </c>
      <c r="DD108" s="490">
        <f>DD107*Flags!DD$30</f>
        <v>0</v>
      </c>
      <c r="DE108" s="490">
        <f>DE107*Flags!DE$30</f>
        <v>0</v>
      </c>
      <c r="DF108" s="490">
        <f>DF107*Flags!DF$30</f>
        <v>0</v>
      </c>
      <c r="DG108" s="490">
        <f>DG107*Flags!DG$30</f>
        <v>0</v>
      </c>
      <c r="DH108" s="490">
        <f>DH107*Flags!DH$30</f>
        <v>0</v>
      </c>
      <c r="DI108" s="490">
        <f>DI107*Flags!DI$30</f>
        <v>0</v>
      </c>
      <c r="DJ108" s="490">
        <f>DJ107*Flags!DJ$30</f>
        <v>0</v>
      </c>
      <c r="DK108" s="490">
        <f>DK107*Flags!DK$30</f>
        <v>0</v>
      </c>
      <c r="DL108" s="490">
        <f>DL107*Flags!DL$30</f>
        <v>0</v>
      </c>
      <c r="DM108" s="490">
        <f>DM107*Flags!DM$30</f>
        <v>0</v>
      </c>
      <c r="DN108" s="490">
        <f>DN107*Flags!DN$30</f>
        <v>0</v>
      </c>
      <c r="DO108" s="490">
        <f>DO107*Flags!DO$30</f>
        <v>0</v>
      </c>
      <c r="DP108" s="490">
        <f>DP107*Flags!DP$30</f>
        <v>0</v>
      </c>
      <c r="DQ108" s="490">
        <f>DQ107*Flags!DQ$30</f>
        <v>0</v>
      </c>
      <c r="DR108" s="490">
        <f>DR107*Flags!DR$30</f>
        <v>0</v>
      </c>
      <c r="DS108" s="490">
        <f>DS107*Flags!DS$30</f>
        <v>0</v>
      </c>
      <c r="DT108" s="490">
        <f>DT107*Flags!DT$30</f>
        <v>0</v>
      </c>
      <c r="DU108" s="490">
        <f>DU107*Flags!DU$30</f>
        <v>0</v>
      </c>
      <c r="DV108" s="490">
        <f>DV107*Flags!DV$30</f>
        <v>0</v>
      </c>
      <c r="DW108" s="490">
        <f>DW107*Flags!DW$30</f>
        <v>0</v>
      </c>
      <c r="DX108" s="490">
        <f>DX107*Flags!DX$30</f>
        <v>0</v>
      </c>
      <c r="DY108" s="490">
        <f>DY107*Flags!DY$30</f>
        <v>0</v>
      </c>
    </row>
    <row r="109" spans="2:129" s="43" customFormat="1">
      <c r="B109" s="44"/>
      <c r="C109" s="43" t="s">
        <v>640</v>
      </c>
      <c r="F109" s="126"/>
      <c r="G109" s="126"/>
      <c r="H109" s="126"/>
      <c r="J109" s="490">
        <f>IF(J108=0,IF($E106="USD",I109*(1+Flags!$D$31)^(1/12)-J113,I109-J113),J108-J113)</f>
        <v>0</v>
      </c>
      <c r="K109" s="490">
        <f>IF(K108=0,IF($E106="USD",J109*(1+Flags!$D$31)^(1/12)-K113,J109-K113),K108-K113)</f>
        <v>0</v>
      </c>
      <c r="L109" s="490">
        <f>IF(L108=0,IF($E106="USD",K109*(1+Flags!$D$31)^(1/12)-L113,K109-L113),L108-L113)</f>
        <v>0</v>
      </c>
      <c r="M109" s="490">
        <f>IF(M108=0,IF($E106="USD",L109*(1+Flags!$D$31)^(1/12)-M113,L109-M113),M108-M113)</f>
        <v>0</v>
      </c>
      <c r="N109" s="490">
        <f>IF(N108=0,IF($E106="USD",M109*(1+Flags!$D$31)^(1/12)-N113,M109-N113),N108-N113)</f>
        <v>0</v>
      </c>
      <c r="O109" s="490">
        <f>IF(O108=0,IF($E106="USD",N109*(1+Flags!$D$31)^(1/12)-O113,N109-O113),O108-O113)</f>
        <v>0</v>
      </c>
      <c r="P109" s="490">
        <f>IF(P108=0,IF($E106="USD",O109*(1+Flags!$D$31)^(1/12)-P113,O109-P113),P108-P113)</f>
        <v>0</v>
      </c>
      <c r="Q109" s="490">
        <f>IF(Q108=0,IF($E106="USD",P109*(1+Flags!$D$31)^(1/12)-Q113,P109-Q113),Q108-Q113)</f>
        <v>0</v>
      </c>
      <c r="R109" s="490">
        <f>IF(R108=0,IF($E106="USD",Q109*(1+Flags!$D$31)^(1/12)-R113,Q109-R113),R108-R113)</f>
        <v>0</v>
      </c>
      <c r="S109" s="490">
        <f>IF(S108=0,IF($E106="USD",R109*(1+Flags!$D$31)^(1/12)-S113,R109-S113),S108-S113)</f>
        <v>0</v>
      </c>
      <c r="T109" s="490">
        <f>IF(T108=0,IF($E106="USD",S109*(1+Flags!$D$31)^(1/12)-T113,S109-T113),T108-T113)</f>
        <v>0</v>
      </c>
      <c r="U109" s="490">
        <f>IF(U108=0,IF($E106="USD",T109*(1+Flags!$D$31)^(1/12)-U113,T109-U113),U108-U113)</f>
        <v>0</v>
      </c>
      <c r="V109" s="490">
        <f>IF(V108=0,IF($E106="USD",U109*(1+Flags!$D$31)^(1/12)-V113,U109-V113),V108-V113)</f>
        <v>0</v>
      </c>
      <c r="W109" s="490">
        <f>IF(W108=0,IF($E106="USD",V109*(1+Flags!$D$31)^(1/12)-W113,V109-W113),W108-W113)</f>
        <v>0</v>
      </c>
      <c r="X109" s="490">
        <f>IF(X108=0,IF($E106="USD",W109*(1+Flags!$D$31)^(1/12)-X113,W109-X113),X108-X113)</f>
        <v>0</v>
      </c>
      <c r="Y109" s="490">
        <f>IF(Y108=0,IF($E106="USD",X109*(1+Flags!$D$31)^(1/12)-Y113,X109-Y113),Y108-Y113)</f>
        <v>0</v>
      </c>
      <c r="Z109" s="490">
        <f>IF(Z108=0,IF($E106="USD",Y109*(1+Flags!$D$31)^(1/12)-Z113,Y109-Z113),Z108-Z113)</f>
        <v>0</v>
      </c>
      <c r="AA109" s="490">
        <f>IF(AA108=0,IF($E106="USD",Z109*(1+Flags!$D$31)^(1/12)-AA113,Z109-AA113),AA108-AA113)</f>
        <v>0</v>
      </c>
      <c r="AB109" s="490">
        <f>IF(AB108=0,IF($E106="USD",AA109*(1+Flags!$D$31)^(1/12)-AB113,AA109-AB113),AB108-AB113)</f>
        <v>0</v>
      </c>
      <c r="AC109" s="490">
        <f>IF(AC108=0,IF($E106="USD",AB109*(1+Flags!$D$31)^(1/12)-AC113,AB109-AC113),AC108-AC113)</f>
        <v>0</v>
      </c>
      <c r="AD109" s="490">
        <f>IF(AD108=0,IF($E106="USD",AC109*(1+Flags!$D$31)^(1/12)-AD113,AC109-AD113),AD108-AD113)</f>
        <v>0</v>
      </c>
      <c r="AE109" s="490">
        <f>IF(AE108=0,IF($E106="USD",AD109*(1+Flags!$D$31)^(1/12)-AE113,AD109-AE113),AE108-AE113)</f>
        <v>0</v>
      </c>
      <c r="AF109" s="490">
        <f>IF(AF108=0,IF($E106="USD",AE109*(1+Flags!$D$31)^(1/12)-AF113,AE109-AF113),AF108-AF113)</f>
        <v>0</v>
      </c>
      <c r="AG109" s="490">
        <f>IF(AG108=0,IF($E106="USD",AF109*(1+Flags!$D$31)^(1/12)-AG113,AF109-AG113),AG108-AG113)</f>
        <v>0</v>
      </c>
      <c r="AH109" s="490">
        <f>IF(AH108=0,IF($E106="USD",AG109*(1+Flags!$D$31)^(1/12)-AH113,AG109-AH113),AH108-AH113)</f>
        <v>0</v>
      </c>
      <c r="AI109" s="490">
        <f>IF(AI108=0,IF($E106="USD",AH109*(1+Flags!$D$31)^(1/12)-AI113,AH109-AI113),AI108-AI113)</f>
        <v>0</v>
      </c>
      <c r="AJ109" s="490">
        <f>IF(AJ108=0,IF($E106="USD",AI109*(1+Flags!$D$31)^(1/12)-AJ113,AI109-AJ113),AJ108-AJ113)</f>
        <v>0</v>
      </c>
      <c r="AK109" s="490">
        <f>IF(AK108=0,IF($E106="USD",AJ109*(1+Flags!$D$31)^(1/12)-AK113,AJ109-AK113),AK108-AK113)</f>
        <v>0</v>
      </c>
      <c r="AL109" s="490">
        <f>IF(AL108=0,IF($E106="USD",AK109*(1+Flags!$D$31)^(1/12)-AL113,AK109-AL113),AL108-AL113)</f>
        <v>0</v>
      </c>
      <c r="AM109" s="490">
        <f>IF(AM108=0,IF($E106="USD",AL109*(1+Flags!$D$31)^(1/12)-AM113,AL109-AM113),AM108-AM113)</f>
        <v>0</v>
      </c>
      <c r="AN109" s="490">
        <f>IF(AN108=0,IF($E106="USD",AM109*(1+Flags!$D$31)^(1/12)-AN113,AM109-AN113),AN108-AN113)</f>
        <v>0</v>
      </c>
      <c r="AO109" s="490">
        <f>IF(AO108=0,IF($E106="USD",AN109*(1+Flags!$D$31)^(1/12)-AO113,AN109-AO113),AO108-AO113)</f>
        <v>0</v>
      </c>
      <c r="AP109" s="490">
        <f>IF(AP108=0,IF($E106="USD",AO109*(1+Flags!$D$31)^(1/12)-AP113,AO109-AP113),AP108-AP113)</f>
        <v>0</v>
      </c>
      <c r="AQ109" s="490">
        <f>IF(AQ108=0,IF($E106="USD",AP109*(1+Flags!$D$31)^(1/12)-AQ113,AP109-AQ113),AQ108-AQ113)</f>
        <v>0</v>
      </c>
      <c r="AR109" s="490">
        <f>IF(AR108=0,IF($E106="USD",AQ109*(1+Flags!$D$31)^(1/12)-AR113,AQ109-AR113),AR108-AR113)</f>
        <v>0</v>
      </c>
      <c r="AS109" s="490">
        <f>IF(AS108=0,IF($E106="USD",AR109*(1+Flags!$D$31)^(1/12)-AS113,AR109-AS113),AS108-AS113)</f>
        <v>0</v>
      </c>
      <c r="AT109" s="490">
        <f>IF(AT108=0,IF($E106="USD",AS109*(1+Flags!$D$31)^(1/12)-AT113,AS109-AT113),AT108-AT113)</f>
        <v>0</v>
      </c>
      <c r="AU109" s="490">
        <f>IF(AU108=0,IF($E106="USD",AT109*(1+Flags!$D$31)^(1/12)-AU113,AT109-AU113),AU108-AU113)</f>
        <v>0</v>
      </c>
      <c r="AV109" s="490">
        <f>IF(AV108=0,IF($E106="USD",AU109*(1+Flags!$D$31)^(1/12)-AV113,AU109-AV113),AV108-AV113)</f>
        <v>0</v>
      </c>
      <c r="AW109" s="490">
        <f>IF(AW108=0,IF($E106="USD",AV109*(1+Flags!$D$31)^(1/12)-AW113,AV109-AW113),AW108-AW113)</f>
        <v>0</v>
      </c>
      <c r="AX109" s="490">
        <f>IF(AX108=0,IF($E106="USD",AW109*(1+Flags!$D$31)^(1/12)-AX113,AW109-AX113),AX108-AX113)</f>
        <v>0</v>
      </c>
      <c r="AY109" s="490">
        <f>IF(AY108=0,IF($E106="USD",AX109*(1+Flags!$D$31)^(1/12)-AY113,AX109-AY113),AY108-AY113)</f>
        <v>0</v>
      </c>
      <c r="AZ109" s="490">
        <f>IF(AZ108=0,IF($E106="USD",AY109*(1+Flags!$D$31)^(1/12)-AZ113,AY109-AZ113),AZ108-AZ113)</f>
        <v>0</v>
      </c>
      <c r="BA109" s="490">
        <f>IF(BA108=0,IF($E106="USD",AZ109*(1+Flags!$D$31)^(1/12)-BA113,AZ109-BA113),BA108-BA113)</f>
        <v>0</v>
      </c>
      <c r="BB109" s="490">
        <f>IF(BB108=0,IF($E106="USD",BA109*(1+Flags!$D$31)^(1/12)-BB113,BA109-BB113),BB108-BB113)</f>
        <v>0</v>
      </c>
      <c r="BC109" s="490">
        <f>IF(BC108=0,IF($E106="USD",BB109*(1+Flags!$D$31)^(1/12)-BC113,BB109-BC113),BC108-BC113)</f>
        <v>0</v>
      </c>
      <c r="BD109" s="490">
        <f>IF(BD108=0,IF($E106="USD",BC109*(1+Flags!$D$31)^(1/12)-BD113,BC109-BD113),BD108-BD113)</f>
        <v>0</v>
      </c>
      <c r="BE109" s="490">
        <f>IF(BE108=0,IF($E106="USD",BD109*(1+Flags!$D$31)^(1/12)-BE113,BD109-BE113),BE108-BE113)</f>
        <v>0</v>
      </c>
      <c r="BF109" s="490">
        <f>IF(BF108=0,IF($E106="USD",BE109*(1+Flags!$D$31)^(1/12)-BF113,BE109-BF113),BF108-BF113)</f>
        <v>0</v>
      </c>
      <c r="BG109" s="490">
        <f>IF(BG108=0,IF($E106="USD",BF109*(1+Flags!$D$31)^(1/12)-BG113,BF109-BG113),BG108-BG113)</f>
        <v>0</v>
      </c>
      <c r="BH109" s="490">
        <f>IF(BH108=0,IF($E106="USD",BG109*(1+Flags!$D$31)^(1/12)-BH113,BG109-BH113),BH108-BH113)</f>
        <v>0</v>
      </c>
      <c r="BI109" s="490">
        <f>IF(BI108=0,IF($E106="USD",BH109*(1+Flags!$D$31)^(1/12)-BI113,BH109-BI113),BI108-BI113)</f>
        <v>0</v>
      </c>
      <c r="BJ109" s="490">
        <f>IF(BJ108=0,IF($E106="USD",BI109*(1+Flags!$D$31)^(1/12)-BJ113,BI109-BJ113),BJ108-BJ113)</f>
        <v>0</v>
      </c>
      <c r="BK109" s="490">
        <f>IF(BK108=0,IF($E106="USD",BJ109*(1+Flags!$D$31)^(1/12)-BK113,BJ109-BK113),BK108-BK113)</f>
        <v>0</v>
      </c>
      <c r="BL109" s="490">
        <f>IF(BL108=0,IF($E106="USD",BK109*(1+Flags!$D$31)^(1/12)-BL113,BK109-BL113),BL108-BL113)</f>
        <v>0</v>
      </c>
      <c r="BM109" s="490">
        <f>IF(BM108=0,IF($E106="USD",BL109*(1+Flags!$D$31)^(1/12)-BM113,BL109-BM113),BM108-BM113)</f>
        <v>0</v>
      </c>
      <c r="BN109" s="490">
        <f>IF(BN108=0,IF($E106="USD",BM109*(1+Flags!$D$31)^(1/12)-BN113,BM109-BN113),BN108-BN113)</f>
        <v>0</v>
      </c>
      <c r="BO109" s="490">
        <f>IF(BO108=0,IF($E106="USD",BN109*(1+Flags!$D$31)^(1/12)-BO113,BN109-BO113),BO108-BO113)</f>
        <v>0</v>
      </c>
      <c r="BP109" s="490">
        <f>IF(BP108=0,IF($E106="USD",BO109*(1+Flags!$D$31)^(1/12)-BP113,BO109-BP113),BP108-BP113)</f>
        <v>0</v>
      </c>
      <c r="BQ109" s="490">
        <f>IF(BQ108=0,IF($E106="USD",BP109*(1+Flags!$D$31)^(1/12)-BQ113,BP109-BQ113),BQ108-BQ113)</f>
        <v>0</v>
      </c>
      <c r="BR109" s="490">
        <f>IF(BR108=0,IF($E106="USD",BQ109*(1+Flags!$D$31)^(1/12)-BR113,BQ109-BR113),BR108-BR113)</f>
        <v>0</v>
      </c>
      <c r="BS109" s="490">
        <f>IF(BS108=0,IF($E106="USD",BR109*(1+Flags!$D$31)^(1/12)-BS113,BR109-BS113),BS108-BS113)</f>
        <v>0</v>
      </c>
      <c r="BT109" s="490">
        <f>IF(BT108=0,IF($E106="USD",BS109*(1+Flags!$D$31)^(1/12)-BT113,BS109-BT113),BT108-BT113)</f>
        <v>0</v>
      </c>
      <c r="BU109" s="490">
        <f>IF(BU108=0,IF($E106="USD",BT109*(1+Flags!$D$31)^(1/12)-BU113,BT109-BU113),BU108-BU113)</f>
        <v>0</v>
      </c>
      <c r="BV109" s="490">
        <f>IF(BV108=0,IF($E106="USD",BU109*(1+Flags!$D$31)^(1/12)-BV113,BU109-BV113),BV108-BV113)</f>
        <v>0</v>
      </c>
      <c r="BW109" s="490">
        <f>IF(BW108=0,IF($E106="USD",BV109*(1+Flags!$D$31)^(1/12)-BW113,BV109-BW113),BW108-BW113)</f>
        <v>0</v>
      </c>
      <c r="BX109" s="490">
        <f>IF(BX108=0,IF($E106="USD",BW109*(1+Flags!$D$31)^(1/12)-BX113,BW109-BX113),BX108-BX113)</f>
        <v>0</v>
      </c>
      <c r="BY109" s="490">
        <f>IF(BY108=0,IF($E106="USD",BX109*(1+Flags!$D$31)^(1/12)-BY113,BX109-BY113),BY108-BY113)</f>
        <v>0</v>
      </c>
      <c r="BZ109" s="490">
        <f>IF(BZ108=0,IF($E106="USD",BY109*(1+Flags!$D$31)^(1/12)-BZ113,BY109-BZ113),BZ108-BZ113)</f>
        <v>0</v>
      </c>
      <c r="CA109" s="490">
        <f>IF(CA108=0,IF($E106="USD",BZ109*(1+Flags!$D$31)^(1/12)-CA113,BZ109-CA113),CA108-CA113)</f>
        <v>0</v>
      </c>
      <c r="CB109" s="490">
        <f>IF(CB108=0,IF($E106="USD",CA109*(1+Flags!$D$31)^(1/12)-CB113,CA109-CB113),CB108-CB113)</f>
        <v>0</v>
      </c>
      <c r="CC109" s="490">
        <f>IF(CC108=0,IF($E106="USD",CB109*(1+Flags!$D$31)^(1/12)-CC113,CB109-CC113),CC108-CC113)</f>
        <v>0</v>
      </c>
      <c r="CD109" s="490">
        <f>IF(CD108=0,IF($E106="USD",CC109*(1+Flags!$D$31)^(1/12)-CD113,CC109-CD113),CD108-CD113)</f>
        <v>0</v>
      </c>
      <c r="CE109" s="490">
        <f>IF(CE108=0,IF($E106="USD",CD109*(1+Flags!$D$31)^(1/12)-CE113,CD109-CE113),CE108-CE113)</f>
        <v>0</v>
      </c>
      <c r="CF109" s="490">
        <f>IF(CF108=0,IF($E106="USD",CE109*(1+Flags!$D$31)^(1/12)-CF113,CE109-CF113),CF108-CF113)</f>
        <v>0</v>
      </c>
      <c r="CG109" s="490">
        <f>IF(CG108=0,IF($E106="USD",CF109*(1+Flags!$D$31)^(1/12)-CG113,CF109-CG113),CG108-CG113)</f>
        <v>0</v>
      </c>
      <c r="CH109" s="490">
        <f>IF(CH108=0,IF($E106="USD",CG109*(1+Flags!$D$31)^(1/12)-CH113,CG109-CH113),CH108-CH113)</f>
        <v>0</v>
      </c>
      <c r="CI109" s="490">
        <f>IF(CI108=0,IF($E106="USD",CH109*(1+Flags!$D$31)^(1/12)-CI113,CH109-CI113),CI108-CI113)</f>
        <v>0</v>
      </c>
      <c r="CJ109" s="490">
        <f>IF(CJ108=0,IF($E106="USD",CI109*(1+Flags!$D$31)^(1/12)-CJ113,CI109-CJ113),CJ108-CJ113)</f>
        <v>0</v>
      </c>
      <c r="CK109" s="490">
        <f>IF(CK108=0,IF($E106="USD",CJ109*(1+Flags!$D$31)^(1/12)-CK113,CJ109-CK113),CK108-CK113)</f>
        <v>0</v>
      </c>
      <c r="CL109" s="490">
        <f>IF(CL108=0,IF($E106="USD",CK109*(1+Flags!$D$31)^(1/12)-CL113,CK109-CL113),CL108-CL113)</f>
        <v>0</v>
      </c>
      <c r="CM109" s="490">
        <f>IF(CM108=0,IF($E106="USD",CL109*(1+Flags!$D$31)^(1/12)-CM113,CL109-CM113),CM108-CM113)</f>
        <v>0</v>
      </c>
      <c r="CN109" s="490">
        <f>IF(CN108=0,IF($E106="USD",CM109*(1+Flags!$D$31)^(1/12)-CN113,CM109-CN113),CN108-CN113)</f>
        <v>0</v>
      </c>
      <c r="CO109" s="490">
        <f>IF(CO108=0,IF($E106="USD",CN109*(1+Flags!$D$31)^(1/12)-CO113,CN109-CO113),CO108-CO113)</f>
        <v>0</v>
      </c>
      <c r="CP109" s="490">
        <f>IF(CP108=0,IF($E106="USD",CO109*(1+Flags!$D$31)^(1/12)-CP113,CO109-CP113),CP108-CP113)</f>
        <v>10000000</v>
      </c>
      <c r="CQ109" s="490">
        <f>IF(CQ108=0,IF($E106="USD",CP109*(1+Flags!$D$31)^(1/12)-CQ113,CP109-CQ113),CQ108-CQ113)</f>
        <v>10000000</v>
      </c>
      <c r="CR109" s="490">
        <f>IF(CR108=0,IF($E106="USD",CQ109*(1+Flags!$D$31)^(1/12)-CR113,CQ109-CR113),CR108-CR113)</f>
        <v>10000000</v>
      </c>
      <c r="CS109" s="490">
        <f>IF(CS108=0,IF($E106="USD",CR109*(1+Flags!$D$31)^(1/12)-CS113,CR109-CS113),CS108-CS113)</f>
        <v>10000000</v>
      </c>
      <c r="CT109" s="490">
        <f>IF(CT108=0,IF($E106="USD",CS109*(1+Flags!$D$31)^(1/12)-CT113,CS109-CT113),CT108-CT113)</f>
        <v>10000000</v>
      </c>
      <c r="CU109" s="490">
        <f>IF(CU108=0,IF($E106="USD",CT109*(1+Flags!$D$31)^(1/12)-CU113,CT109-CU113),CU108-CU113)</f>
        <v>10000000</v>
      </c>
      <c r="CV109" s="490">
        <f>IF(CV108=0,IF($E106="USD",CU109*(1+Flags!$D$31)^(1/12)-CV113,CU109-CV113),CV108-CV113)</f>
        <v>9814814.8148148153</v>
      </c>
      <c r="CW109" s="490">
        <f>IF(CW108=0,IF($E106="USD",CV109*(1+Flags!$D$31)^(1/12)-CW113,CV109-CW113),CW108-CW113)</f>
        <v>9629629.6296296306</v>
      </c>
      <c r="CX109" s="490">
        <f>IF(CX108=0,IF($E106="USD",CW109*(1+Flags!$D$31)^(1/12)-CX113,CW109-CX113),CX108-CX113)</f>
        <v>9444444.4444444459</v>
      </c>
      <c r="CY109" s="490">
        <f>IF(CY108=0,IF($E106="USD",CX109*(1+Flags!$D$31)^(1/12)-CY113,CX109-CY113),CY108-CY113)</f>
        <v>9259259.2592592612</v>
      </c>
      <c r="CZ109" s="490">
        <f>IF(CZ108=0,IF($E106="USD",CY109*(1+Flags!$D$31)^(1/12)-CZ113,CY109-CZ113),CZ108-CZ113)</f>
        <v>9074074.0740740765</v>
      </c>
      <c r="DA109" s="490">
        <f>IF(DA108=0,IF($E106="USD",CZ109*(1+Flags!$D$31)^(1/12)-DA113,CZ109-DA113),DA108-DA113)</f>
        <v>8888888.8888888918</v>
      </c>
      <c r="DB109" s="490">
        <f>IF(DB108=0,IF($E106="USD",DA109*(1+Flags!$D$31)^(1/12)-DB113,DA109-DB113),DB108-DB113)</f>
        <v>8703703.7037037071</v>
      </c>
      <c r="DC109" s="490">
        <f>IF(DC108=0,IF($E106="USD",DB109*(1+Flags!$D$31)^(1/12)-DC113,DB109-DC113),DC108-DC113)</f>
        <v>8518518.5185185224</v>
      </c>
      <c r="DD109" s="490">
        <f>IF(DD108=0,IF($E106="USD",DC109*(1+Flags!$D$31)^(1/12)-DD113,DC109-DD113),DD108-DD113)</f>
        <v>8333333.3333333377</v>
      </c>
      <c r="DE109" s="490">
        <f>IF(DE108=0,IF($E106="USD",DD109*(1+Flags!$D$31)^(1/12)-DE113,DD109-DE113),DE108-DE113)</f>
        <v>8148148.148148153</v>
      </c>
      <c r="DF109" s="490">
        <f>IF(DF108=0,IF($E106="USD",DE109*(1+Flags!$D$31)^(1/12)-DF113,DE109-DF113),DF108-DF113)</f>
        <v>7962962.9629629683</v>
      </c>
      <c r="DG109" s="490">
        <f>IF(DG108=0,IF($E106="USD",DF109*(1+Flags!$D$31)^(1/12)-DG113,DF109-DG113),DG108-DG113)</f>
        <v>7777777.7777777836</v>
      </c>
      <c r="DH109" s="490">
        <f>IF(DH108=0,IF($E106="USD",DG109*(1+Flags!$D$31)^(1/12)-DH113,DG109-DH113),DH108-DH113)</f>
        <v>7592592.5925925989</v>
      </c>
      <c r="DI109" s="490">
        <f>IF(DI108=0,IF($E106="USD",DH109*(1+Flags!$D$31)^(1/12)-DI113,DH109-DI113),DI108-DI113)</f>
        <v>7407407.4074074142</v>
      </c>
      <c r="DJ109" s="490">
        <f>IF(DJ108=0,IF($E106="USD",DI109*(1+Flags!$D$31)^(1/12)-DJ113,DI109-DJ113),DJ108-DJ113)</f>
        <v>7222222.2222222295</v>
      </c>
      <c r="DK109" s="490">
        <f>IF(DK108=0,IF($E106="USD",DJ109*(1+Flags!$D$31)^(1/12)-DK113,DJ109-DK113),DK108-DK113)</f>
        <v>7037037.0370370448</v>
      </c>
      <c r="DL109" s="490">
        <f>IF(DL108=0,IF($E106="USD",DK109*(1+Flags!$D$31)^(1/12)-DL113,DK109-DL113),DL108-DL113)</f>
        <v>6851851.8518518601</v>
      </c>
      <c r="DM109" s="490">
        <f>IF(DM108=0,IF($E106="USD",DL109*(1+Flags!$D$31)^(1/12)-DM113,DL109-DM113),DM108-DM113)</f>
        <v>6666666.6666666754</v>
      </c>
      <c r="DN109" s="490">
        <f>IF(DN108=0,IF($E106="USD",DM109*(1+Flags!$D$31)^(1/12)-DN113,DM109-DN113),DN108-DN113)</f>
        <v>6481481.4814814907</v>
      </c>
      <c r="DO109" s="490">
        <f>IF(DO108=0,IF($E106="USD",DN109*(1+Flags!$D$31)^(1/12)-DO113,DN109-DO113),DO108-DO113)</f>
        <v>6296296.296296306</v>
      </c>
      <c r="DP109" s="490">
        <f>IF(DP108=0,IF($E106="USD",DO109*(1+Flags!$D$31)^(1/12)-DP113,DO109-DP113),DP108-DP113)</f>
        <v>6111111.1111111213</v>
      </c>
      <c r="DQ109" s="490">
        <f>IF(DQ108=0,IF($E106="USD",DP109*(1+Flags!$D$31)^(1/12)-DQ113,DP109-DQ113),DQ108-DQ113)</f>
        <v>5925925.9259259365</v>
      </c>
      <c r="DR109" s="490">
        <f>IF(DR108=0,IF($E106="USD",DQ109*(1+Flags!$D$31)^(1/12)-DR113,DQ109-DR113),DR108-DR113)</f>
        <v>5740740.7407407518</v>
      </c>
      <c r="DS109" s="490">
        <f>IF(DS108=0,IF($E106="USD",DR109*(1+Flags!$D$31)^(1/12)-DS113,DR109-DS113),DS108-DS113)</f>
        <v>5555555.5555555671</v>
      </c>
      <c r="DT109" s="490">
        <f>IF(DT108=0,IF($E106="USD",DS109*(1+Flags!$D$31)^(1/12)-DT113,DS109-DT113),DT108-DT113)</f>
        <v>5370370.3703703824</v>
      </c>
      <c r="DU109" s="490">
        <f>IF(DU108=0,IF($E106="USD",DT109*(1+Flags!$D$31)^(1/12)-DU113,DT109-DU113),DU108-DU113)</f>
        <v>5185185.1851851977</v>
      </c>
      <c r="DV109" s="490">
        <f>IF(DV108=0,IF($E106="USD",DU109*(1+Flags!$D$31)^(1/12)-DV113,DU109-DV113),DV108-DV113)</f>
        <v>5000000.000000013</v>
      </c>
      <c r="DW109" s="490">
        <f>IF(DW108=0,IF($E106="USD",DV109*(1+Flags!$D$31)^(1/12)-DW113,DV109-DW113),DW108-DW113)</f>
        <v>4814814.8148148283</v>
      </c>
      <c r="DX109" s="490">
        <f>IF(DX108=0,IF($E106="USD",DW109*(1+Flags!$D$31)^(1/12)-DX113,DW109-DX113),DX108-DX113)</f>
        <v>4629629.6296296436</v>
      </c>
      <c r="DY109" s="490">
        <f>IF(DY108=0,IF($E106="USD",DX109*(1+Flags!$D$31)^(1/12)-DY113,DX109-DY113),DY108-DY113)</f>
        <v>4444444.4444444589</v>
      </c>
    </row>
    <row r="110" spans="2:129" s="43" customFormat="1">
      <c r="B110" s="44"/>
      <c r="C110" s="43" t="s">
        <v>388</v>
      </c>
      <c r="E110" s="482">
        <f>+'Model Assumptions'!K138</f>
        <v>18518.518518518518</v>
      </c>
      <c r="F110" s="126"/>
      <c r="G110" s="126"/>
      <c r="H110" s="12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row>
    <row r="111" spans="2:129" s="43" customFormat="1">
      <c r="C111" s="43" t="s">
        <v>87</v>
      </c>
      <c r="E111" s="483">
        <f>+'Model Assumptions'!K139</f>
        <v>0.5</v>
      </c>
      <c r="F111" s="129"/>
      <c r="G111" s="129"/>
      <c r="H111" s="129"/>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row>
    <row r="112" spans="2:129" s="43" customFormat="1">
      <c r="C112" s="43" t="s">
        <v>395</v>
      </c>
      <c r="E112" s="484">
        <f>+'Model Assumptions'!K140</f>
        <v>5</v>
      </c>
      <c r="F112" s="130"/>
      <c r="G112" s="130"/>
      <c r="H112" s="130"/>
      <c r="J112" s="46">
        <f t="shared" ref="J112:BU112" si="94">+IF(AND(J$1&gt;=DATE(YEAR($E105), MONTH($E105) + $E111*12, DAY($E105)),J$1&lt;DATE(YEAR($E105), MONTH($E105) + $E112*12, DAY($E105))),$E110,0)</f>
        <v>0</v>
      </c>
      <c r="K112" s="46">
        <f t="shared" si="94"/>
        <v>0</v>
      </c>
      <c r="L112" s="46">
        <f t="shared" si="94"/>
        <v>0</v>
      </c>
      <c r="M112" s="46">
        <f t="shared" si="94"/>
        <v>0</v>
      </c>
      <c r="N112" s="46">
        <f t="shared" si="94"/>
        <v>0</v>
      </c>
      <c r="O112" s="46">
        <f t="shared" si="94"/>
        <v>0</v>
      </c>
      <c r="P112" s="46">
        <f t="shared" si="94"/>
        <v>0</v>
      </c>
      <c r="Q112" s="46">
        <f t="shared" si="94"/>
        <v>0</v>
      </c>
      <c r="R112" s="46">
        <f t="shared" si="94"/>
        <v>0</v>
      </c>
      <c r="S112" s="46">
        <f t="shared" si="94"/>
        <v>0</v>
      </c>
      <c r="T112" s="46">
        <f t="shared" si="94"/>
        <v>0</v>
      </c>
      <c r="U112" s="46">
        <f t="shared" si="94"/>
        <v>0</v>
      </c>
      <c r="V112" s="46">
        <f t="shared" si="94"/>
        <v>0</v>
      </c>
      <c r="W112" s="46">
        <f t="shared" si="94"/>
        <v>0</v>
      </c>
      <c r="X112" s="46">
        <f t="shared" si="94"/>
        <v>0</v>
      </c>
      <c r="Y112" s="46">
        <f t="shared" si="94"/>
        <v>0</v>
      </c>
      <c r="Z112" s="46">
        <f t="shared" si="94"/>
        <v>0</v>
      </c>
      <c r="AA112" s="46">
        <f t="shared" si="94"/>
        <v>0</v>
      </c>
      <c r="AB112" s="46">
        <f t="shared" si="94"/>
        <v>0</v>
      </c>
      <c r="AC112" s="46">
        <f t="shared" si="94"/>
        <v>0</v>
      </c>
      <c r="AD112" s="46">
        <f t="shared" si="94"/>
        <v>0</v>
      </c>
      <c r="AE112" s="46">
        <f t="shared" si="94"/>
        <v>0</v>
      </c>
      <c r="AF112" s="46">
        <f t="shared" si="94"/>
        <v>0</v>
      </c>
      <c r="AG112" s="46">
        <f t="shared" si="94"/>
        <v>0</v>
      </c>
      <c r="AH112" s="46">
        <f t="shared" si="94"/>
        <v>0</v>
      </c>
      <c r="AI112" s="46">
        <f t="shared" si="94"/>
        <v>0</v>
      </c>
      <c r="AJ112" s="46">
        <f t="shared" si="94"/>
        <v>0</v>
      </c>
      <c r="AK112" s="46">
        <f t="shared" si="94"/>
        <v>0</v>
      </c>
      <c r="AL112" s="46">
        <f t="shared" si="94"/>
        <v>0</v>
      </c>
      <c r="AM112" s="46">
        <f t="shared" si="94"/>
        <v>0</v>
      </c>
      <c r="AN112" s="46">
        <f t="shared" si="94"/>
        <v>0</v>
      </c>
      <c r="AO112" s="46">
        <f t="shared" si="94"/>
        <v>0</v>
      </c>
      <c r="AP112" s="46">
        <f t="shared" si="94"/>
        <v>0</v>
      </c>
      <c r="AQ112" s="46">
        <f t="shared" si="94"/>
        <v>0</v>
      </c>
      <c r="AR112" s="46">
        <f t="shared" si="94"/>
        <v>0</v>
      </c>
      <c r="AS112" s="46">
        <f t="shared" si="94"/>
        <v>0</v>
      </c>
      <c r="AT112" s="46">
        <f t="shared" si="94"/>
        <v>0</v>
      </c>
      <c r="AU112" s="46">
        <f t="shared" si="94"/>
        <v>0</v>
      </c>
      <c r="AV112" s="46">
        <f t="shared" si="94"/>
        <v>0</v>
      </c>
      <c r="AW112" s="46">
        <f t="shared" si="94"/>
        <v>0</v>
      </c>
      <c r="AX112" s="46">
        <f t="shared" si="94"/>
        <v>0</v>
      </c>
      <c r="AY112" s="46">
        <f t="shared" si="94"/>
        <v>0</v>
      </c>
      <c r="AZ112" s="46">
        <f t="shared" si="94"/>
        <v>0</v>
      </c>
      <c r="BA112" s="46">
        <f t="shared" si="94"/>
        <v>0</v>
      </c>
      <c r="BB112" s="46">
        <f t="shared" si="94"/>
        <v>0</v>
      </c>
      <c r="BC112" s="46">
        <f t="shared" si="94"/>
        <v>0</v>
      </c>
      <c r="BD112" s="46">
        <f t="shared" si="94"/>
        <v>0</v>
      </c>
      <c r="BE112" s="46">
        <f t="shared" si="94"/>
        <v>0</v>
      </c>
      <c r="BF112" s="46">
        <f t="shared" si="94"/>
        <v>0</v>
      </c>
      <c r="BG112" s="46">
        <f t="shared" si="94"/>
        <v>0</v>
      </c>
      <c r="BH112" s="46">
        <f t="shared" si="94"/>
        <v>0</v>
      </c>
      <c r="BI112" s="46">
        <f t="shared" si="94"/>
        <v>0</v>
      </c>
      <c r="BJ112" s="46">
        <f t="shared" si="94"/>
        <v>0</v>
      </c>
      <c r="BK112" s="46">
        <f t="shared" si="94"/>
        <v>0</v>
      </c>
      <c r="BL112" s="46">
        <f t="shared" si="94"/>
        <v>0</v>
      </c>
      <c r="BM112" s="46">
        <f t="shared" si="94"/>
        <v>0</v>
      </c>
      <c r="BN112" s="46">
        <f t="shared" si="94"/>
        <v>0</v>
      </c>
      <c r="BO112" s="46">
        <f t="shared" si="94"/>
        <v>0</v>
      </c>
      <c r="BP112" s="46">
        <f t="shared" si="94"/>
        <v>0</v>
      </c>
      <c r="BQ112" s="46">
        <f t="shared" si="94"/>
        <v>0</v>
      </c>
      <c r="BR112" s="46">
        <f t="shared" si="94"/>
        <v>0</v>
      </c>
      <c r="BS112" s="46">
        <f t="shared" si="94"/>
        <v>0</v>
      </c>
      <c r="BT112" s="46">
        <f t="shared" si="94"/>
        <v>0</v>
      </c>
      <c r="BU112" s="46">
        <f t="shared" si="94"/>
        <v>0</v>
      </c>
      <c r="BV112" s="46">
        <f t="shared" ref="BV112:CC112" si="95">+IF(AND(BV$1&gt;=DATE(YEAR($E105), MONTH($E105) + $E111*12, DAY($E105)),BV$1&lt;DATE(YEAR($E105), MONTH($E105) + $E112*12, DAY($E105))),$E110,0)</f>
        <v>0</v>
      </c>
      <c r="BW112" s="46">
        <f t="shared" si="95"/>
        <v>0</v>
      </c>
      <c r="BX112" s="46">
        <f t="shared" si="95"/>
        <v>0</v>
      </c>
      <c r="BY112" s="46">
        <f t="shared" si="95"/>
        <v>0</v>
      </c>
      <c r="BZ112" s="46">
        <f t="shared" si="95"/>
        <v>0</v>
      </c>
      <c r="CA112" s="46">
        <f t="shared" si="95"/>
        <v>0</v>
      </c>
      <c r="CB112" s="46">
        <f t="shared" si="95"/>
        <v>0</v>
      </c>
      <c r="CC112" s="46">
        <f t="shared" si="95"/>
        <v>0</v>
      </c>
      <c r="CD112" s="46">
        <f t="shared" ref="CD112:DY112" si="96">+IF(AND(CD$1&gt;=DATE(YEAR($E105), MONTH($E105) + $E111*12, DAY($E105)),CD$1&lt;DATE(YEAR($E105), MONTH($E105) + $E112*12, DAY($E105))),$E110,0)</f>
        <v>0</v>
      </c>
      <c r="CE112" s="46">
        <f t="shared" si="96"/>
        <v>0</v>
      </c>
      <c r="CF112" s="46">
        <f t="shared" si="96"/>
        <v>0</v>
      </c>
      <c r="CG112" s="46">
        <f t="shared" si="96"/>
        <v>0</v>
      </c>
      <c r="CH112" s="46">
        <f t="shared" si="96"/>
        <v>0</v>
      </c>
      <c r="CI112" s="46">
        <f t="shared" si="96"/>
        <v>0</v>
      </c>
      <c r="CJ112" s="46">
        <f t="shared" si="96"/>
        <v>0</v>
      </c>
      <c r="CK112" s="46">
        <f t="shared" si="96"/>
        <v>0</v>
      </c>
      <c r="CL112" s="46">
        <f t="shared" si="96"/>
        <v>0</v>
      </c>
      <c r="CM112" s="46">
        <f t="shared" si="96"/>
        <v>0</v>
      </c>
      <c r="CN112" s="46">
        <f t="shared" si="96"/>
        <v>0</v>
      </c>
      <c r="CO112" s="46">
        <f t="shared" si="96"/>
        <v>0</v>
      </c>
      <c r="CP112" s="46">
        <f t="shared" si="96"/>
        <v>0</v>
      </c>
      <c r="CQ112" s="46">
        <f t="shared" si="96"/>
        <v>0</v>
      </c>
      <c r="CR112" s="46">
        <f t="shared" si="96"/>
        <v>0</v>
      </c>
      <c r="CS112" s="46">
        <f t="shared" si="96"/>
        <v>0</v>
      </c>
      <c r="CT112" s="46">
        <f t="shared" si="96"/>
        <v>0</v>
      </c>
      <c r="CU112" s="46">
        <f t="shared" si="96"/>
        <v>0</v>
      </c>
      <c r="CV112" s="46">
        <f t="shared" si="96"/>
        <v>18518.518518518518</v>
      </c>
      <c r="CW112" s="46">
        <f t="shared" si="96"/>
        <v>18518.518518518518</v>
      </c>
      <c r="CX112" s="46">
        <f t="shared" si="96"/>
        <v>18518.518518518518</v>
      </c>
      <c r="CY112" s="46">
        <f t="shared" si="96"/>
        <v>18518.518518518518</v>
      </c>
      <c r="CZ112" s="46">
        <f t="shared" si="96"/>
        <v>18518.518518518518</v>
      </c>
      <c r="DA112" s="46">
        <f t="shared" si="96"/>
        <v>18518.518518518518</v>
      </c>
      <c r="DB112" s="46">
        <f t="shared" si="96"/>
        <v>18518.518518518518</v>
      </c>
      <c r="DC112" s="46">
        <f t="shared" si="96"/>
        <v>18518.518518518518</v>
      </c>
      <c r="DD112" s="46">
        <f t="shared" si="96"/>
        <v>18518.518518518518</v>
      </c>
      <c r="DE112" s="46">
        <f t="shared" si="96"/>
        <v>18518.518518518518</v>
      </c>
      <c r="DF112" s="46">
        <f t="shared" si="96"/>
        <v>18518.518518518518</v>
      </c>
      <c r="DG112" s="46">
        <f t="shared" si="96"/>
        <v>18518.518518518518</v>
      </c>
      <c r="DH112" s="46">
        <f t="shared" si="96"/>
        <v>18518.518518518518</v>
      </c>
      <c r="DI112" s="46">
        <f t="shared" si="96"/>
        <v>18518.518518518518</v>
      </c>
      <c r="DJ112" s="46">
        <f t="shared" si="96"/>
        <v>18518.518518518518</v>
      </c>
      <c r="DK112" s="46">
        <f t="shared" si="96"/>
        <v>18518.518518518518</v>
      </c>
      <c r="DL112" s="46">
        <f t="shared" si="96"/>
        <v>18518.518518518518</v>
      </c>
      <c r="DM112" s="46">
        <f t="shared" si="96"/>
        <v>18518.518518518518</v>
      </c>
      <c r="DN112" s="46">
        <f t="shared" si="96"/>
        <v>18518.518518518518</v>
      </c>
      <c r="DO112" s="46">
        <f t="shared" si="96"/>
        <v>18518.518518518518</v>
      </c>
      <c r="DP112" s="46">
        <f t="shared" si="96"/>
        <v>18518.518518518518</v>
      </c>
      <c r="DQ112" s="46">
        <f t="shared" si="96"/>
        <v>18518.518518518518</v>
      </c>
      <c r="DR112" s="46">
        <f t="shared" si="96"/>
        <v>18518.518518518518</v>
      </c>
      <c r="DS112" s="46">
        <f t="shared" si="96"/>
        <v>18518.518518518518</v>
      </c>
      <c r="DT112" s="46">
        <f t="shared" si="96"/>
        <v>18518.518518518518</v>
      </c>
      <c r="DU112" s="46">
        <f t="shared" si="96"/>
        <v>18518.518518518518</v>
      </c>
      <c r="DV112" s="46">
        <f t="shared" si="96"/>
        <v>18518.518518518518</v>
      </c>
      <c r="DW112" s="46">
        <f t="shared" si="96"/>
        <v>18518.518518518518</v>
      </c>
      <c r="DX112" s="46">
        <f t="shared" si="96"/>
        <v>18518.518518518518</v>
      </c>
      <c r="DY112" s="46">
        <f t="shared" si="96"/>
        <v>18518.518518518518</v>
      </c>
    </row>
    <row r="113" spans="2:129" s="43" customFormat="1">
      <c r="C113" s="43" t="s">
        <v>389</v>
      </c>
      <c r="E113" s="527"/>
      <c r="F113" s="130"/>
      <c r="G113" s="130"/>
      <c r="H113" s="130"/>
      <c r="J113" s="491">
        <f>IF($E106="LCY",J112*'Model Assumptions'!$K$135,Financing!J112*Flags!J$30)</f>
        <v>0</v>
      </c>
      <c r="K113" s="491">
        <f>IF($E106="LCY",K112*'Model Assumptions'!$K$135,Financing!K112*Flags!K$30)</f>
        <v>0</v>
      </c>
      <c r="L113" s="491">
        <f>IF($E106="LCY",L112*'Model Assumptions'!$K$135,Financing!L112*Flags!L$30)</f>
        <v>0</v>
      </c>
      <c r="M113" s="491">
        <f>IF($E106="LCY",M112*'Model Assumptions'!$K$135,Financing!M112*Flags!M$30)</f>
        <v>0</v>
      </c>
      <c r="N113" s="491">
        <f>IF($E106="LCY",N112*'Model Assumptions'!$K$135,Financing!N112*Flags!N$30)</f>
        <v>0</v>
      </c>
      <c r="O113" s="491">
        <f>IF($E106="LCY",O112*'Model Assumptions'!$K$135,Financing!O112*Flags!O$30)</f>
        <v>0</v>
      </c>
      <c r="P113" s="491">
        <f>IF($E106="LCY",P112*'Model Assumptions'!$K$135,Financing!P112*Flags!P$30)</f>
        <v>0</v>
      </c>
      <c r="Q113" s="491">
        <f>IF($E106="LCY",Q112*'Model Assumptions'!$K$135,Financing!Q112*Flags!Q$30)</f>
        <v>0</v>
      </c>
      <c r="R113" s="491">
        <f>IF($E106="LCY",R112*'Model Assumptions'!$K$135,Financing!R112*Flags!R$30)</f>
        <v>0</v>
      </c>
      <c r="S113" s="491">
        <f>IF($E106="LCY",S112*'Model Assumptions'!$K$135,Financing!S112*Flags!S$30)</f>
        <v>0</v>
      </c>
      <c r="T113" s="491">
        <f>IF($E106="LCY",T112*'Model Assumptions'!$K$135,Financing!T112*Flags!T$30)</f>
        <v>0</v>
      </c>
      <c r="U113" s="491">
        <f>IF($E106="LCY",U112*'Model Assumptions'!$K$135,Financing!U112*Flags!U$30)</f>
        <v>0</v>
      </c>
      <c r="V113" s="491">
        <f>IF($E106="LCY",V112*'Model Assumptions'!$K$135,Financing!V112*Flags!V$30)</f>
        <v>0</v>
      </c>
      <c r="W113" s="491">
        <f>IF($E106="LCY",W112*'Model Assumptions'!$K$135,Financing!W112*Flags!W$30)</f>
        <v>0</v>
      </c>
      <c r="X113" s="491">
        <f>IF($E106="LCY",X112*'Model Assumptions'!$K$135,Financing!X112*Flags!X$30)</f>
        <v>0</v>
      </c>
      <c r="Y113" s="491">
        <f>IF($E106="LCY",Y112*'Model Assumptions'!$K$135,Financing!Y112*Flags!Y$30)</f>
        <v>0</v>
      </c>
      <c r="Z113" s="491">
        <f>IF($E106="LCY",Z112*'Model Assumptions'!$K$135,Financing!Z112*Flags!Z$30)</f>
        <v>0</v>
      </c>
      <c r="AA113" s="491">
        <f>IF($E106="LCY",AA112*'Model Assumptions'!$K$135,Financing!AA112*Flags!AA$30)</f>
        <v>0</v>
      </c>
      <c r="AB113" s="491">
        <f>IF($E106="LCY",AB112*'Model Assumptions'!$K$135,Financing!AB112*Flags!AB$30)</f>
        <v>0</v>
      </c>
      <c r="AC113" s="491">
        <f>IF($E106="LCY",AC112*'Model Assumptions'!$K$135,Financing!AC112*Flags!AC$30)</f>
        <v>0</v>
      </c>
      <c r="AD113" s="491">
        <f>IF($E106="LCY",AD112*'Model Assumptions'!$K$135,Financing!AD112*Flags!AD$30)</f>
        <v>0</v>
      </c>
      <c r="AE113" s="491">
        <f>IF($E106="LCY",AE112*'Model Assumptions'!$K$135,Financing!AE112*Flags!AE$30)</f>
        <v>0</v>
      </c>
      <c r="AF113" s="491">
        <f>IF($E106="LCY",AF112*'Model Assumptions'!$K$135,Financing!AF112*Flags!AF$30)</f>
        <v>0</v>
      </c>
      <c r="AG113" s="491">
        <f>IF($E106="LCY",AG112*'Model Assumptions'!$K$135,Financing!AG112*Flags!AG$30)</f>
        <v>0</v>
      </c>
      <c r="AH113" s="491">
        <f>IF($E106="LCY",AH112*'Model Assumptions'!$K$135,Financing!AH112*Flags!AH$30)</f>
        <v>0</v>
      </c>
      <c r="AI113" s="491">
        <f>IF($E106="LCY",AI112*'Model Assumptions'!$K$135,Financing!AI112*Flags!AI$30)</f>
        <v>0</v>
      </c>
      <c r="AJ113" s="491">
        <f>IF($E106="LCY",AJ112*'Model Assumptions'!$K$135,Financing!AJ112*Flags!AJ$30)</f>
        <v>0</v>
      </c>
      <c r="AK113" s="491">
        <f>IF($E106="LCY",AK112*'Model Assumptions'!$K$135,Financing!AK112*Flags!AK$30)</f>
        <v>0</v>
      </c>
      <c r="AL113" s="491">
        <f>IF($E106="LCY",AL112*'Model Assumptions'!$K$135,Financing!AL112*Flags!AL$30)</f>
        <v>0</v>
      </c>
      <c r="AM113" s="491">
        <f>IF($E106="LCY",AM112*'Model Assumptions'!$K$135,Financing!AM112*Flags!AM$30)</f>
        <v>0</v>
      </c>
      <c r="AN113" s="491">
        <f>IF($E106="LCY",AN112*'Model Assumptions'!$K$135,Financing!AN112*Flags!AN$30)</f>
        <v>0</v>
      </c>
      <c r="AO113" s="491">
        <f>IF($E106="LCY",AO112*'Model Assumptions'!$K$135,Financing!AO112*Flags!AO$30)</f>
        <v>0</v>
      </c>
      <c r="AP113" s="491">
        <f>IF($E106="LCY",AP112*'Model Assumptions'!$K$135,Financing!AP112*Flags!AP$30)</f>
        <v>0</v>
      </c>
      <c r="AQ113" s="491">
        <f>IF($E106="LCY",AQ112*'Model Assumptions'!$K$135,Financing!AQ112*Flags!AQ$30)</f>
        <v>0</v>
      </c>
      <c r="AR113" s="491">
        <f>IF($E106="LCY",AR112*'Model Assumptions'!$K$135,Financing!AR112*Flags!AR$30)</f>
        <v>0</v>
      </c>
      <c r="AS113" s="491">
        <f>IF($E106="LCY",AS112*'Model Assumptions'!$K$135,Financing!AS112*Flags!AS$30)</f>
        <v>0</v>
      </c>
      <c r="AT113" s="491">
        <f>IF($E106="LCY",AT112*'Model Assumptions'!$K$135,Financing!AT112*Flags!AT$30)</f>
        <v>0</v>
      </c>
      <c r="AU113" s="491">
        <f>IF($E106="LCY",AU112*'Model Assumptions'!$K$135,Financing!AU112*Flags!AU$30)</f>
        <v>0</v>
      </c>
      <c r="AV113" s="491">
        <f>IF($E106="LCY",AV112*'Model Assumptions'!$K$135,Financing!AV112*Flags!AV$30)</f>
        <v>0</v>
      </c>
      <c r="AW113" s="491">
        <f>IF($E106="LCY",AW112*'Model Assumptions'!$K$135,Financing!AW112*Flags!AW$30)</f>
        <v>0</v>
      </c>
      <c r="AX113" s="491">
        <f>IF($E106="LCY",AX112*'Model Assumptions'!$K$135,Financing!AX112*Flags!AX$30)</f>
        <v>0</v>
      </c>
      <c r="AY113" s="491">
        <f>IF($E106="LCY",AY112*'Model Assumptions'!$K$135,Financing!AY112*Flags!AY$30)</f>
        <v>0</v>
      </c>
      <c r="AZ113" s="491">
        <f>IF($E106="LCY",AZ112*'Model Assumptions'!$K$135,Financing!AZ112*Flags!AZ$30)</f>
        <v>0</v>
      </c>
      <c r="BA113" s="491">
        <f>IF($E106="LCY",BA112*'Model Assumptions'!$K$135,Financing!BA112*Flags!BA$30)</f>
        <v>0</v>
      </c>
      <c r="BB113" s="491">
        <f>IF($E106="LCY",BB112*'Model Assumptions'!$K$135,Financing!BB112*Flags!BB$30)</f>
        <v>0</v>
      </c>
      <c r="BC113" s="491">
        <f>IF($E106="LCY",BC112*'Model Assumptions'!$K$135,Financing!BC112*Flags!BC$30)</f>
        <v>0</v>
      </c>
      <c r="BD113" s="491">
        <f>IF($E106="LCY",BD112*'Model Assumptions'!$K$135,Financing!BD112*Flags!BD$30)</f>
        <v>0</v>
      </c>
      <c r="BE113" s="491">
        <f>IF($E106="LCY",BE112*'Model Assumptions'!$K$135,Financing!BE112*Flags!BE$30)</f>
        <v>0</v>
      </c>
      <c r="BF113" s="491">
        <f>IF($E106="LCY",BF112*'Model Assumptions'!$K$135,Financing!BF112*Flags!BF$30)</f>
        <v>0</v>
      </c>
      <c r="BG113" s="491">
        <f>IF($E106="LCY",BG112*'Model Assumptions'!$K$135,Financing!BG112*Flags!BG$30)</f>
        <v>0</v>
      </c>
      <c r="BH113" s="491">
        <f>IF($E106="LCY",BH112*'Model Assumptions'!$K$135,Financing!BH112*Flags!BH$30)</f>
        <v>0</v>
      </c>
      <c r="BI113" s="491">
        <f>IF($E106="LCY",BI112*'Model Assumptions'!$K$135,Financing!BI112*Flags!BI$30)</f>
        <v>0</v>
      </c>
      <c r="BJ113" s="491">
        <f>IF($E106="LCY",BJ112*'Model Assumptions'!$K$135,Financing!BJ112*Flags!BJ$30)</f>
        <v>0</v>
      </c>
      <c r="BK113" s="491">
        <f>IF($E106="LCY",BK112*'Model Assumptions'!$K$135,Financing!BK112*Flags!BK$30)</f>
        <v>0</v>
      </c>
      <c r="BL113" s="491">
        <f>IF($E106="LCY",BL112*'Model Assumptions'!$K$135,Financing!BL112*Flags!BL$30)</f>
        <v>0</v>
      </c>
      <c r="BM113" s="491">
        <f>IF($E106="LCY",BM112*'Model Assumptions'!$K$135,Financing!BM112*Flags!BM$30)</f>
        <v>0</v>
      </c>
      <c r="BN113" s="491">
        <f>IF($E106="LCY",BN112*'Model Assumptions'!$K$135,Financing!BN112*Flags!BN$30)</f>
        <v>0</v>
      </c>
      <c r="BO113" s="491">
        <f>IF($E106="LCY",BO112*'Model Assumptions'!$K$135,Financing!BO112*Flags!BO$30)</f>
        <v>0</v>
      </c>
      <c r="BP113" s="491">
        <f>IF($E106="LCY",BP112*'Model Assumptions'!$K$135,Financing!BP112*Flags!BP$30)</f>
        <v>0</v>
      </c>
      <c r="BQ113" s="491">
        <f>IF($E106="LCY",BQ112*'Model Assumptions'!$K$135,Financing!BQ112*Flags!BQ$30)</f>
        <v>0</v>
      </c>
      <c r="BR113" s="491">
        <f>IF($E106="LCY",BR112*'Model Assumptions'!$K$135,Financing!BR112*Flags!BR$30)</f>
        <v>0</v>
      </c>
      <c r="BS113" s="491">
        <f>IF($E106="LCY",BS112*'Model Assumptions'!$K$135,Financing!BS112*Flags!BS$30)</f>
        <v>0</v>
      </c>
      <c r="BT113" s="491">
        <f>IF($E106="LCY",BT112*'Model Assumptions'!$K$135,Financing!BT112*Flags!BT$30)</f>
        <v>0</v>
      </c>
      <c r="BU113" s="491">
        <f>IF($E106="LCY",BU112*'Model Assumptions'!$K$135,Financing!BU112*Flags!BU$30)</f>
        <v>0</v>
      </c>
      <c r="BV113" s="491">
        <f>IF($E106="LCY",BV112*'Model Assumptions'!$K$135,Financing!BV112*Flags!BV$30)</f>
        <v>0</v>
      </c>
      <c r="BW113" s="491">
        <f>IF($E106="LCY",BW112*'Model Assumptions'!$K$135,Financing!BW112*Flags!BW$30)</f>
        <v>0</v>
      </c>
      <c r="BX113" s="491">
        <f>IF($E106="LCY",BX112*'Model Assumptions'!$K$135,Financing!BX112*Flags!BX$30)</f>
        <v>0</v>
      </c>
      <c r="BY113" s="491">
        <f>IF($E106="LCY",BY112*'Model Assumptions'!$K$135,Financing!BY112*Flags!BY$30)</f>
        <v>0</v>
      </c>
      <c r="BZ113" s="491">
        <f>IF($E106="LCY",BZ112*'Model Assumptions'!$K$135,Financing!BZ112*Flags!BZ$30)</f>
        <v>0</v>
      </c>
      <c r="CA113" s="491">
        <f>IF($E106="LCY",CA112*'Model Assumptions'!$K$135,Financing!CA112*Flags!CA$30)</f>
        <v>0</v>
      </c>
      <c r="CB113" s="491">
        <f>IF($E106="LCY",CB112*'Model Assumptions'!$K$135,Financing!CB112*Flags!CB$30)</f>
        <v>0</v>
      </c>
      <c r="CC113" s="491">
        <f>IF($E106="LCY",CC112*'Model Assumptions'!$K$135,Financing!CC112*Flags!CC$30)</f>
        <v>0</v>
      </c>
      <c r="CD113" s="491">
        <f>IF($E106="LCY",CD112*'Model Assumptions'!$K$135,Financing!CD112*Flags!CD$30)</f>
        <v>0</v>
      </c>
      <c r="CE113" s="491">
        <f>IF($E106="LCY",CE112*'Model Assumptions'!$K$135,Financing!CE112*Flags!CE$30)</f>
        <v>0</v>
      </c>
      <c r="CF113" s="491">
        <f>IF($E106="LCY",CF112*'Model Assumptions'!$K$135,Financing!CF112*Flags!CF$30)</f>
        <v>0</v>
      </c>
      <c r="CG113" s="491">
        <f>IF($E106="LCY",CG112*'Model Assumptions'!$K$135,Financing!CG112*Flags!CG$30)</f>
        <v>0</v>
      </c>
      <c r="CH113" s="491">
        <f>IF($E106="LCY",CH112*'Model Assumptions'!$K$135,Financing!CH112*Flags!CH$30)</f>
        <v>0</v>
      </c>
      <c r="CI113" s="491">
        <f>IF($E106="LCY",CI112*'Model Assumptions'!$K$135,Financing!CI112*Flags!CI$30)</f>
        <v>0</v>
      </c>
      <c r="CJ113" s="491">
        <f>IF($E106="LCY",CJ112*'Model Assumptions'!$K$135,Financing!CJ112*Flags!CJ$30)</f>
        <v>0</v>
      </c>
      <c r="CK113" s="491">
        <f>IF($E106="LCY",CK112*'Model Assumptions'!$K$135,Financing!CK112*Flags!CK$30)</f>
        <v>0</v>
      </c>
      <c r="CL113" s="491">
        <f>IF($E106="LCY",CL112*'Model Assumptions'!$K$135,Financing!CL112*Flags!CL$30)</f>
        <v>0</v>
      </c>
      <c r="CM113" s="491">
        <f>IF($E106="LCY",CM112*'Model Assumptions'!$K$135,Financing!CM112*Flags!CM$30)</f>
        <v>0</v>
      </c>
      <c r="CN113" s="491">
        <f>IF($E106="LCY",CN112*'Model Assumptions'!$K$135,Financing!CN112*Flags!CN$30)</f>
        <v>0</v>
      </c>
      <c r="CO113" s="491">
        <f>IF($E106="LCY",CO112*'Model Assumptions'!$K$135,Financing!CO112*Flags!CO$30)</f>
        <v>0</v>
      </c>
      <c r="CP113" s="491">
        <f>IF($E106="LCY",CP112*'Model Assumptions'!$K$135,Financing!CP112*Flags!CP$30)</f>
        <v>0</v>
      </c>
      <c r="CQ113" s="491">
        <f>IF($E106="LCY",CQ112*'Model Assumptions'!$K$135,Financing!CQ112*Flags!CQ$30)</f>
        <v>0</v>
      </c>
      <c r="CR113" s="491">
        <f>IF($E106="LCY",CR112*'Model Assumptions'!$K$135,Financing!CR112*Flags!CR$30)</f>
        <v>0</v>
      </c>
      <c r="CS113" s="491">
        <f>IF($E106="LCY",CS112*'Model Assumptions'!$K$135,Financing!CS112*Flags!CS$30)</f>
        <v>0</v>
      </c>
      <c r="CT113" s="491">
        <f>IF($E106="LCY",CT112*'Model Assumptions'!$K$135,Financing!CT112*Flags!CT$30)</f>
        <v>0</v>
      </c>
      <c r="CU113" s="491">
        <f>IF($E106="LCY",CU112*'Model Assumptions'!$K$135,Financing!CU112*Flags!CU$30)</f>
        <v>0</v>
      </c>
      <c r="CV113" s="491">
        <f>IF($E106="LCY",CV112*'Model Assumptions'!$K$135,Financing!CV112*Flags!CV$30)</f>
        <v>185185.18518518517</v>
      </c>
      <c r="CW113" s="491">
        <f>IF($E106="LCY",CW112*'Model Assumptions'!$K$135,Financing!CW112*Flags!CW$30)</f>
        <v>185185.18518518517</v>
      </c>
      <c r="CX113" s="491">
        <f>IF($E106="LCY",CX112*'Model Assumptions'!$K$135,Financing!CX112*Flags!CX$30)</f>
        <v>185185.18518518517</v>
      </c>
      <c r="CY113" s="491">
        <f>IF($E106="LCY",CY112*'Model Assumptions'!$K$135,Financing!CY112*Flags!CY$30)</f>
        <v>185185.18518518517</v>
      </c>
      <c r="CZ113" s="491">
        <f>IF($E106="LCY",CZ112*'Model Assumptions'!$K$135,Financing!CZ112*Flags!CZ$30)</f>
        <v>185185.18518518517</v>
      </c>
      <c r="DA113" s="491">
        <f>IF($E106="LCY",DA112*'Model Assumptions'!$K$135,Financing!DA112*Flags!DA$30)</f>
        <v>185185.18518518517</v>
      </c>
      <c r="DB113" s="491">
        <f>IF($E106="LCY",DB112*'Model Assumptions'!$K$135,Financing!DB112*Flags!DB$30)</f>
        <v>185185.18518518517</v>
      </c>
      <c r="DC113" s="491">
        <f>IF($E106="LCY",DC112*'Model Assumptions'!$K$135,Financing!DC112*Flags!DC$30)</f>
        <v>185185.18518518517</v>
      </c>
      <c r="DD113" s="491">
        <f>IF($E106="LCY",DD112*'Model Assumptions'!$K$135,Financing!DD112*Flags!DD$30)</f>
        <v>185185.18518518517</v>
      </c>
      <c r="DE113" s="491">
        <f>IF($E106="LCY",DE112*'Model Assumptions'!$K$135,Financing!DE112*Flags!DE$30)</f>
        <v>185185.18518518517</v>
      </c>
      <c r="DF113" s="491">
        <f>IF($E106="LCY",DF112*'Model Assumptions'!$K$135,Financing!DF112*Flags!DF$30)</f>
        <v>185185.18518518517</v>
      </c>
      <c r="DG113" s="491">
        <f>IF($E106="LCY",DG112*'Model Assumptions'!$K$135,Financing!DG112*Flags!DG$30)</f>
        <v>185185.18518518517</v>
      </c>
      <c r="DH113" s="491">
        <f>IF($E106="LCY",DH112*'Model Assumptions'!$K$135,Financing!DH112*Flags!DH$30)</f>
        <v>185185.18518518517</v>
      </c>
      <c r="DI113" s="491">
        <f>IF($E106="LCY",DI112*'Model Assumptions'!$K$135,Financing!DI112*Flags!DI$30)</f>
        <v>185185.18518518517</v>
      </c>
      <c r="DJ113" s="491">
        <f>IF($E106="LCY",DJ112*'Model Assumptions'!$K$135,Financing!DJ112*Flags!DJ$30)</f>
        <v>185185.18518518517</v>
      </c>
      <c r="DK113" s="491">
        <f>IF($E106="LCY",DK112*'Model Assumptions'!$K$135,Financing!DK112*Flags!DK$30)</f>
        <v>185185.18518518517</v>
      </c>
      <c r="DL113" s="491">
        <f>IF($E106="LCY",DL112*'Model Assumptions'!$K$135,Financing!DL112*Flags!DL$30)</f>
        <v>185185.18518518517</v>
      </c>
      <c r="DM113" s="491">
        <f>IF($E106="LCY",DM112*'Model Assumptions'!$K$135,Financing!DM112*Flags!DM$30)</f>
        <v>185185.18518518517</v>
      </c>
      <c r="DN113" s="491">
        <f>IF($E106="LCY",DN112*'Model Assumptions'!$K$135,Financing!DN112*Flags!DN$30)</f>
        <v>185185.18518518517</v>
      </c>
      <c r="DO113" s="491">
        <f>IF($E106="LCY",DO112*'Model Assumptions'!$K$135,Financing!DO112*Flags!DO$30)</f>
        <v>185185.18518518517</v>
      </c>
      <c r="DP113" s="491">
        <f>IF($E106="LCY",DP112*'Model Assumptions'!$K$135,Financing!DP112*Flags!DP$30)</f>
        <v>185185.18518518517</v>
      </c>
      <c r="DQ113" s="491">
        <f>IF($E106="LCY",DQ112*'Model Assumptions'!$K$135,Financing!DQ112*Flags!DQ$30)</f>
        <v>185185.18518518517</v>
      </c>
      <c r="DR113" s="491">
        <f>IF($E106="LCY",DR112*'Model Assumptions'!$K$135,Financing!DR112*Flags!DR$30)</f>
        <v>185185.18518518517</v>
      </c>
      <c r="DS113" s="491">
        <f>IF($E106="LCY",DS112*'Model Assumptions'!$K$135,Financing!DS112*Flags!DS$30)</f>
        <v>185185.18518518517</v>
      </c>
      <c r="DT113" s="491">
        <f>IF($E106="LCY",DT112*'Model Assumptions'!$K$135,Financing!DT112*Flags!DT$30)</f>
        <v>185185.18518518517</v>
      </c>
      <c r="DU113" s="491">
        <f>IF($E106="LCY",DU112*'Model Assumptions'!$K$135,Financing!DU112*Flags!DU$30)</f>
        <v>185185.18518518517</v>
      </c>
      <c r="DV113" s="491">
        <f>IF($E106="LCY",DV112*'Model Assumptions'!$K$135,Financing!DV112*Flags!DV$30)</f>
        <v>185185.18518518517</v>
      </c>
      <c r="DW113" s="491">
        <f>IF($E106="LCY",DW112*'Model Assumptions'!$K$135,Financing!DW112*Flags!DW$30)</f>
        <v>185185.18518518517</v>
      </c>
      <c r="DX113" s="491">
        <f>IF($E106="LCY",DX112*'Model Assumptions'!$K$135,Financing!DX112*Flags!DX$30)</f>
        <v>185185.18518518517</v>
      </c>
      <c r="DY113" s="491">
        <f>IF($E106="LCY",DY112*'Model Assumptions'!$K$135,Financing!DY112*Flags!DY$30)</f>
        <v>185185.18518518517</v>
      </c>
    </row>
    <row r="114" spans="2:129" s="43" customFormat="1">
      <c r="C114" s="43" t="s">
        <v>396</v>
      </c>
      <c r="E114" s="485">
        <f>+'Model Assumptions'!K141</f>
        <v>0.1</v>
      </c>
      <c r="F114" s="131"/>
      <c r="G114" s="131"/>
      <c r="H114" s="131"/>
      <c r="J114" s="251">
        <f>(SUM(J107:$J107)-SUM(J112:$J112))*$E114/12</f>
        <v>0</v>
      </c>
      <c r="K114" s="251">
        <f>(SUM($J107:K107)-SUM($J112:K112))*$E114/12</f>
        <v>0</v>
      </c>
      <c r="L114" s="251">
        <f>(SUM($J107:L107)-SUM($J112:L112))*$E114/12</f>
        <v>0</v>
      </c>
      <c r="M114" s="251">
        <f>(SUM($J107:M107)-SUM($J112:M112))*$E114/12</f>
        <v>0</v>
      </c>
      <c r="N114" s="251">
        <f>(SUM($J107:N107)-SUM($J112:N112))*$E114/12</f>
        <v>0</v>
      </c>
      <c r="O114" s="251">
        <f>(SUM($J107:O107)-SUM($J112:O112))*$E114/12</f>
        <v>0</v>
      </c>
      <c r="P114" s="251">
        <f>(SUM($J107:P107)-SUM($J112:P112))*$E114/12</f>
        <v>0</v>
      </c>
      <c r="Q114" s="251">
        <f>(SUM($J107:Q107)-SUM($J112:Q112))*$E114/12</f>
        <v>0</v>
      </c>
      <c r="R114" s="251">
        <f>(SUM($J107:R107)-SUM($J112:R112))*$E114/12</f>
        <v>0</v>
      </c>
      <c r="S114" s="251">
        <f>(SUM($J107:S107)-SUM($J112:S112))*$E114/12</f>
        <v>0</v>
      </c>
      <c r="T114" s="251">
        <f>(SUM($J107:T107)-SUM($J112:T112))*$E114/12</f>
        <v>0</v>
      </c>
      <c r="U114" s="251">
        <f>(SUM($J107:U107)-SUM($J112:U112))*$E114/12</f>
        <v>0</v>
      </c>
      <c r="V114" s="251">
        <f>(SUM($J107:V107)-SUM($J112:V112))*$E114/12</f>
        <v>0</v>
      </c>
      <c r="W114" s="251">
        <f>(SUM($J107:W107)-SUM($J112:W112))*$E114/12</f>
        <v>0</v>
      </c>
      <c r="X114" s="251">
        <f>(SUM($J107:X107)-SUM($J112:X112))*$E114/12</f>
        <v>0</v>
      </c>
      <c r="Y114" s="251">
        <f>(SUM($J107:Y107)-SUM($J112:Y112))*$E114/12</f>
        <v>0</v>
      </c>
      <c r="Z114" s="251">
        <f>(SUM($J107:Z107)-SUM($J112:Z112))*$E114/12</f>
        <v>0</v>
      </c>
      <c r="AA114" s="251">
        <f>(SUM($J107:AA107)-SUM($J112:AA112))*$E114/12</f>
        <v>0</v>
      </c>
      <c r="AB114" s="251">
        <f>(SUM($J107:AB107)-SUM($J112:AB112))*$E114/12</f>
        <v>0</v>
      </c>
      <c r="AC114" s="251">
        <f>(SUM($J107:AC107)-SUM($J112:AC112))*$E114/12</f>
        <v>0</v>
      </c>
      <c r="AD114" s="251">
        <f>(SUM($J107:AD107)-SUM($J112:AD112))*$E114/12</f>
        <v>0</v>
      </c>
      <c r="AE114" s="251">
        <f>(SUM($J107:AE107)-SUM($J112:AE112))*$E114/12</f>
        <v>0</v>
      </c>
      <c r="AF114" s="251">
        <f>(SUM($J107:AF107)-SUM($J112:AF112))*$E114/12</f>
        <v>0</v>
      </c>
      <c r="AG114" s="251">
        <f>(SUM($J107:AG107)-SUM($J112:AG112))*$E114/12</f>
        <v>0</v>
      </c>
      <c r="AH114" s="251">
        <f>(SUM($J107:AH107)-SUM($J112:AH112))*$E114/12</f>
        <v>0</v>
      </c>
      <c r="AI114" s="251">
        <f>(SUM($J107:AI107)-SUM($J112:AI112))*$E114/12</f>
        <v>0</v>
      </c>
      <c r="AJ114" s="251">
        <f>(SUM($J107:AJ107)-SUM($J112:AJ112))*$E114/12</f>
        <v>0</v>
      </c>
      <c r="AK114" s="251">
        <f>(SUM($J107:AK107)-SUM($J112:AK112))*$E114/12</f>
        <v>0</v>
      </c>
      <c r="AL114" s="251">
        <f>(SUM($J107:AL107)-SUM($J112:AL112))*$E114/12</f>
        <v>0</v>
      </c>
      <c r="AM114" s="251">
        <f>(SUM($J107:AM107)-SUM($J112:AM112))*$E114/12</f>
        <v>0</v>
      </c>
      <c r="AN114" s="251">
        <f>(SUM($J107:AN107)-SUM($J112:AN112))*$E114/12</f>
        <v>0</v>
      </c>
      <c r="AO114" s="251">
        <f>(SUM($J107:AO107)-SUM($J112:AO112))*$E114/12</f>
        <v>0</v>
      </c>
      <c r="AP114" s="251">
        <f>(SUM($J107:AP107)-SUM($J112:AP112))*$E114/12</f>
        <v>0</v>
      </c>
      <c r="AQ114" s="251">
        <f>(SUM($J107:AQ107)-SUM($J112:AQ112))*$E114/12</f>
        <v>0</v>
      </c>
      <c r="AR114" s="251">
        <f>(SUM($J107:AR107)-SUM($J112:AR112))*$E114/12</f>
        <v>0</v>
      </c>
      <c r="AS114" s="251">
        <f>(SUM($J107:AS107)-SUM($J112:AS112))*$E114/12</f>
        <v>0</v>
      </c>
      <c r="AT114" s="251">
        <f>(SUM($J107:AT107)-SUM($J112:AT112))*$E114/12</f>
        <v>0</v>
      </c>
      <c r="AU114" s="251">
        <f>(SUM($J107:AU107)-SUM($J112:AU112))*$E114/12</f>
        <v>0</v>
      </c>
      <c r="AV114" s="251">
        <f>(SUM($J107:AV107)-SUM($J112:AV112))*$E114/12</f>
        <v>0</v>
      </c>
      <c r="AW114" s="251">
        <f>(SUM($J107:AW107)-SUM($J112:AW112))*$E114/12</f>
        <v>0</v>
      </c>
      <c r="AX114" s="251">
        <f>(SUM($J107:AX107)-SUM($J112:AX112))*$E114/12</f>
        <v>0</v>
      </c>
      <c r="AY114" s="251">
        <f>(SUM($J107:AY107)-SUM($J112:AY112))*$E114/12</f>
        <v>0</v>
      </c>
      <c r="AZ114" s="251">
        <f>(SUM($J107:AZ107)-SUM($J112:AZ112))*$E114/12</f>
        <v>0</v>
      </c>
      <c r="BA114" s="251">
        <f>(SUM($J107:BA107)-SUM($J112:BA112))*$E114/12</f>
        <v>0</v>
      </c>
      <c r="BB114" s="251">
        <f>(SUM($J107:BB107)-SUM($J112:BB112))*$E114/12</f>
        <v>0</v>
      </c>
      <c r="BC114" s="251">
        <f>(SUM($J107:BC107)-SUM($J112:BC112))*$E114/12</f>
        <v>0</v>
      </c>
      <c r="BD114" s="251">
        <f>(SUM($J107:BD107)-SUM($J112:BD112))*$E114/12</f>
        <v>0</v>
      </c>
      <c r="BE114" s="251">
        <f>(SUM($J107:BE107)-SUM($J112:BE112))*$E114/12</f>
        <v>0</v>
      </c>
      <c r="BF114" s="251">
        <f>(SUM($J107:BF107)-SUM($J112:BF112))*$E114/12</f>
        <v>0</v>
      </c>
      <c r="BG114" s="251">
        <f>(SUM($J107:BG107)-SUM($J112:BG112))*$E114/12</f>
        <v>0</v>
      </c>
      <c r="BH114" s="251">
        <f>(SUM($J107:BH107)-SUM($J112:BH112))*$E114/12</f>
        <v>0</v>
      </c>
      <c r="BI114" s="251">
        <f>(SUM($J107:BI107)-SUM($J112:BI112))*$E114/12</f>
        <v>0</v>
      </c>
      <c r="BJ114" s="251">
        <f>(SUM($J107:BJ107)-SUM($J112:BJ112))*$E114/12</f>
        <v>0</v>
      </c>
      <c r="BK114" s="251">
        <f>(SUM($J107:BK107)-SUM($J112:BK112))*$E114/12</f>
        <v>0</v>
      </c>
      <c r="BL114" s="251">
        <f>(SUM($J107:BL107)-SUM($J112:BL112))*$E114/12</f>
        <v>0</v>
      </c>
      <c r="BM114" s="251">
        <f>(SUM($J107:BM107)-SUM($J112:BM112))*$E114/12</f>
        <v>0</v>
      </c>
      <c r="BN114" s="251">
        <f>(SUM($J107:BN107)-SUM($J112:BN112))*$E114/12</f>
        <v>0</v>
      </c>
      <c r="BO114" s="251">
        <f>(SUM($J107:BO107)-SUM($J112:BO112))*$E114/12</f>
        <v>0</v>
      </c>
      <c r="BP114" s="251">
        <f>(SUM($J107:BP107)-SUM($J112:BP112))*$E114/12</f>
        <v>0</v>
      </c>
      <c r="BQ114" s="251">
        <f>(SUM($J107:BQ107)-SUM($J112:BQ112))*$E114/12</f>
        <v>0</v>
      </c>
      <c r="BR114" s="251">
        <f>(SUM($J107:BR107)-SUM($J112:BR112))*$E114/12</f>
        <v>0</v>
      </c>
      <c r="BS114" s="251">
        <f>(SUM($J107:BS107)-SUM($J112:BS112))*$E114/12</f>
        <v>0</v>
      </c>
      <c r="BT114" s="251">
        <f>(SUM($J107:BT107)-SUM($J112:BT112))*$E114/12</f>
        <v>0</v>
      </c>
      <c r="BU114" s="251">
        <f>(SUM($J107:BU107)-SUM($J112:BU112))*$E114/12</f>
        <v>0</v>
      </c>
      <c r="BV114" s="251">
        <f>(SUM($J107:BV107)-SUM($J112:BV112))*$E114/12</f>
        <v>0</v>
      </c>
      <c r="BW114" s="251">
        <f>(SUM($J107:BW107)-SUM($J112:BW112))*$E114/12</f>
        <v>0</v>
      </c>
      <c r="BX114" s="251">
        <f>(SUM($J107:BX107)-SUM($J112:BX112))*$E114/12</f>
        <v>0</v>
      </c>
      <c r="BY114" s="251">
        <f>(SUM($J107:BY107)-SUM($J112:BY112))*$E114/12</f>
        <v>0</v>
      </c>
      <c r="BZ114" s="251">
        <f>(SUM($J107:BZ107)-SUM($J112:BZ112))*$E114/12</f>
        <v>0</v>
      </c>
      <c r="CA114" s="251">
        <f>(SUM($J107:CA107)-SUM($J112:CA112))*$E114/12</f>
        <v>0</v>
      </c>
      <c r="CB114" s="251">
        <f>(SUM($J107:CB107)-SUM($J112:CB112))*$E114/12</f>
        <v>0</v>
      </c>
      <c r="CC114" s="251">
        <f>(SUM($J107:CC107)-SUM($J112:CC112))*$E114/12</f>
        <v>0</v>
      </c>
      <c r="CD114" s="251">
        <f>(SUM($J107:CD107)-SUM($J112:CD112))*$E114/12</f>
        <v>0</v>
      </c>
      <c r="CE114" s="251">
        <f>(SUM($J107:CE107)-SUM($J112:CE112))*$E114/12</f>
        <v>0</v>
      </c>
      <c r="CF114" s="251">
        <f>(SUM($J107:CF107)-SUM($J112:CF112))*$E114/12</f>
        <v>0</v>
      </c>
      <c r="CG114" s="251">
        <f>(SUM($J107:CG107)-SUM($J112:CG112))*$E114/12</f>
        <v>0</v>
      </c>
      <c r="CH114" s="251">
        <f>(SUM($J107:CH107)-SUM($J112:CH112))*$E114/12</f>
        <v>0</v>
      </c>
      <c r="CI114" s="251">
        <f>(SUM($J107:CI107)-SUM($J112:CI112))*$E114/12</f>
        <v>0</v>
      </c>
      <c r="CJ114" s="251">
        <f>(SUM($J107:CJ107)-SUM($J112:CJ112))*$E114/12</f>
        <v>0</v>
      </c>
      <c r="CK114" s="251">
        <f>(SUM($J107:CK107)-SUM($J112:CK112))*$E114/12</f>
        <v>0</v>
      </c>
      <c r="CL114" s="251">
        <f>(SUM($J107:CL107)-SUM($J112:CL112))*$E114/12</f>
        <v>0</v>
      </c>
      <c r="CM114" s="251">
        <f>(SUM($J107:CM107)-SUM($J112:CM112))*$E114/12</f>
        <v>0</v>
      </c>
      <c r="CN114" s="251">
        <f>(SUM($J107:CN107)-SUM($J112:CN112))*$E114/12</f>
        <v>0</v>
      </c>
      <c r="CO114" s="251">
        <f>(SUM($J107:CO107)-SUM($J112:CO112))*$E114/12</f>
        <v>0</v>
      </c>
      <c r="CP114" s="251">
        <f>(SUM($J107:CP107)-SUM($J112:CP112))*$E114/12</f>
        <v>8333.3333333333339</v>
      </c>
      <c r="CQ114" s="251">
        <f>(SUM($J107:CQ107)-SUM($J112:CQ112))*$E114/12</f>
        <v>8333.3333333333339</v>
      </c>
      <c r="CR114" s="251">
        <f>(SUM($J107:CR107)-SUM($J112:CR112))*$E114/12</f>
        <v>8333.3333333333339</v>
      </c>
      <c r="CS114" s="251">
        <f>(SUM($J107:CS107)-SUM($J112:CS112))*$E114/12</f>
        <v>8333.3333333333339</v>
      </c>
      <c r="CT114" s="251">
        <f>(SUM($J107:CT107)-SUM($J112:CT112))*$E114/12</f>
        <v>8333.3333333333339</v>
      </c>
      <c r="CU114" s="251">
        <f>(SUM($J107:CU107)-SUM($J112:CU112))*$E114/12</f>
        <v>8333.3333333333339</v>
      </c>
      <c r="CV114" s="251">
        <f>(SUM($J107:CV107)-SUM($J112:CV112))*$E114/12</f>
        <v>8179.0123456790125</v>
      </c>
      <c r="CW114" s="251">
        <f>(SUM($J107:CW107)-SUM($J112:CW112))*$E114/12</f>
        <v>8024.691358024691</v>
      </c>
      <c r="CX114" s="251">
        <f>(SUM($J107:CX107)-SUM($J112:CX112))*$E114/12</f>
        <v>7870.3703703703713</v>
      </c>
      <c r="CY114" s="251">
        <f>(SUM($J107:CY107)-SUM($J112:CY112))*$E114/12</f>
        <v>7716.0493827160499</v>
      </c>
      <c r="CZ114" s="251">
        <f>(SUM($J107:CZ107)-SUM($J112:CZ112))*$E114/12</f>
        <v>7561.7283950617284</v>
      </c>
      <c r="DA114" s="251">
        <f>(SUM($J107:DA107)-SUM($J112:DA112))*$E114/12</f>
        <v>7407.4074074074078</v>
      </c>
      <c r="DB114" s="251">
        <f>(SUM($J107:DB107)-SUM($J112:DB112))*$E114/12</f>
        <v>7253.0864197530864</v>
      </c>
      <c r="DC114" s="251">
        <f>(SUM($J107:DC107)-SUM($J112:DC112))*$E114/12</f>
        <v>7098.7654320987667</v>
      </c>
      <c r="DD114" s="251">
        <f>(SUM($J107:DD107)-SUM($J112:DD112))*$E114/12</f>
        <v>6944.4444444444453</v>
      </c>
      <c r="DE114" s="251">
        <f>(SUM($J107:DE107)-SUM($J112:DE112))*$E114/12</f>
        <v>6790.1234567901238</v>
      </c>
      <c r="DF114" s="251">
        <f>(SUM($J107:DF107)-SUM($J112:DF112))*$E114/12</f>
        <v>6635.8024691358041</v>
      </c>
      <c r="DG114" s="251">
        <f>(SUM($J107:DG107)-SUM($J112:DG112))*$E114/12</f>
        <v>6481.4814814814827</v>
      </c>
      <c r="DH114" s="251">
        <f>(SUM($J107:DH107)-SUM($J112:DH112))*$E114/12</f>
        <v>6327.1604938271621</v>
      </c>
      <c r="DI114" s="251">
        <f>(SUM($J107:DI107)-SUM($J112:DI112))*$E114/12</f>
        <v>6172.8395061728406</v>
      </c>
      <c r="DJ114" s="251">
        <f>(SUM($J107:DJ107)-SUM($J112:DJ112))*$E114/12</f>
        <v>6018.5185185185192</v>
      </c>
      <c r="DK114" s="251">
        <f>(SUM($J107:DK107)-SUM($J112:DK112))*$E114/12</f>
        <v>5864.1975308641986</v>
      </c>
      <c r="DL114" s="251">
        <f>(SUM($J107:DL107)-SUM($J112:DL112))*$E114/12</f>
        <v>5709.8765432098771</v>
      </c>
      <c r="DM114" s="251">
        <f>(SUM($J107:DM107)-SUM($J112:DM112))*$E114/12</f>
        <v>5555.5555555555557</v>
      </c>
      <c r="DN114" s="251">
        <f>(SUM($J107:DN107)-SUM($J112:DN112))*$E114/12</f>
        <v>5401.2345679012342</v>
      </c>
      <c r="DO114" s="251">
        <f>(SUM($J107:DO107)-SUM($J112:DO112))*$E114/12</f>
        <v>5246.9135802469145</v>
      </c>
      <c r="DP114" s="251">
        <f>(SUM($J107:DP107)-SUM($J112:DP112))*$E114/12</f>
        <v>5092.5925925925922</v>
      </c>
      <c r="DQ114" s="251">
        <f>(SUM($J107:DQ107)-SUM($J112:DQ112))*$E114/12</f>
        <v>4938.2716049382716</v>
      </c>
      <c r="DR114" s="251">
        <f>(SUM($J107:DR107)-SUM($J112:DR112))*$E114/12</f>
        <v>4783.9506172839492</v>
      </c>
      <c r="DS114" s="251">
        <f>(SUM($J107:DS107)-SUM($J112:DS112))*$E114/12</f>
        <v>4629.6296296296296</v>
      </c>
      <c r="DT114" s="251">
        <f>(SUM($J107:DT107)-SUM($J112:DT112))*$E114/12</f>
        <v>4475.3086419753072</v>
      </c>
      <c r="DU114" s="251">
        <f>(SUM($J107:DU107)-SUM($J112:DU112))*$E114/12</f>
        <v>4320.9876543209866</v>
      </c>
      <c r="DV114" s="251">
        <f>(SUM($J107:DV107)-SUM($J112:DV112))*$E114/12</f>
        <v>4166.6666666666652</v>
      </c>
      <c r="DW114" s="251">
        <f>(SUM($J107:DW107)-SUM($J112:DW112))*$E114/12</f>
        <v>4012.3456790123441</v>
      </c>
      <c r="DX114" s="251">
        <f>(SUM($J107:DX107)-SUM($J112:DX112))*$E114/12</f>
        <v>3858.0246913580236</v>
      </c>
      <c r="DY114" s="251">
        <f>(SUM($J107:DY107)-SUM($J112:DY112))*$E114/12</f>
        <v>3703.7037037037026</v>
      </c>
    </row>
    <row r="115" spans="2:129" s="43" customFormat="1">
      <c r="C115" s="43" t="s">
        <v>390</v>
      </c>
      <c r="E115" s="526"/>
      <c r="F115" s="131"/>
      <c r="G115" s="131"/>
      <c r="H115" s="131"/>
      <c r="J115" s="491">
        <f>J109*$E114/12</f>
        <v>0</v>
      </c>
      <c r="K115" s="491">
        <f t="shared" ref="K115:BV115" si="97">K109*$E114/12</f>
        <v>0</v>
      </c>
      <c r="L115" s="491">
        <f t="shared" si="97"/>
        <v>0</v>
      </c>
      <c r="M115" s="491">
        <f t="shared" si="97"/>
        <v>0</v>
      </c>
      <c r="N115" s="491">
        <f t="shared" si="97"/>
        <v>0</v>
      </c>
      <c r="O115" s="491">
        <f t="shared" si="97"/>
        <v>0</v>
      </c>
      <c r="P115" s="491">
        <f t="shared" si="97"/>
        <v>0</v>
      </c>
      <c r="Q115" s="491">
        <f t="shared" si="97"/>
        <v>0</v>
      </c>
      <c r="R115" s="491">
        <f t="shared" si="97"/>
        <v>0</v>
      </c>
      <c r="S115" s="491">
        <f t="shared" si="97"/>
        <v>0</v>
      </c>
      <c r="T115" s="491">
        <f t="shared" si="97"/>
        <v>0</v>
      </c>
      <c r="U115" s="491">
        <f t="shared" si="97"/>
        <v>0</v>
      </c>
      <c r="V115" s="491">
        <f t="shared" si="97"/>
        <v>0</v>
      </c>
      <c r="W115" s="491">
        <f t="shared" si="97"/>
        <v>0</v>
      </c>
      <c r="X115" s="491">
        <f t="shared" si="97"/>
        <v>0</v>
      </c>
      <c r="Y115" s="491">
        <f t="shared" si="97"/>
        <v>0</v>
      </c>
      <c r="Z115" s="491">
        <f t="shared" si="97"/>
        <v>0</v>
      </c>
      <c r="AA115" s="491">
        <f t="shared" si="97"/>
        <v>0</v>
      </c>
      <c r="AB115" s="491">
        <f t="shared" si="97"/>
        <v>0</v>
      </c>
      <c r="AC115" s="491">
        <f t="shared" si="97"/>
        <v>0</v>
      </c>
      <c r="AD115" s="491">
        <f t="shared" si="97"/>
        <v>0</v>
      </c>
      <c r="AE115" s="491">
        <f t="shared" si="97"/>
        <v>0</v>
      </c>
      <c r="AF115" s="491">
        <f t="shared" si="97"/>
        <v>0</v>
      </c>
      <c r="AG115" s="491">
        <f t="shared" si="97"/>
        <v>0</v>
      </c>
      <c r="AH115" s="491">
        <f t="shared" si="97"/>
        <v>0</v>
      </c>
      <c r="AI115" s="491">
        <f t="shared" si="97"/>
        <v>0</v>
      </c>
      <c r="AJ115" s="491">
        <f t="shared" si="97"/>
        <v>0</v>
      </c>
      <c r="AK115" s="491">
        <f t="shared" si="97"/>
        <v>0</v>
      </c>
      <c r="AL115" s="491">
        <f t="shared" si="97"/>
        <v>0</v>
      </c>
      <c r="AM115" s="491">
        <f t="shared" si="97"/>
        <v>0</v>
      </c>
      <c r="AN115" s="491">
        <f t="shared" si="97"/>
        <v>0</v>
      </c>
      <c r="AO115" s="491">
        <f t="shared" si="97"/>
        <v>0</v>
      </c>
      <c r="AP115" s="491">
        <f t="shared" si="97"/>
        <v>0</v>
      </c>
      <c r="AQ115" s="491">
        <f t="shared" si="97"/>
        <v>0</v>
      </c>
      <c r="AR115" s="491">
        <f t="shared" si="97"/>
        <v>0</v>
      </c>
      <c r="AS115" s="491">
        <f t="shared" si="97"/>
        <v>0</v>
      </c>
      <c r="AT115" s="491">
        <f t="shared" si="97"/>
        <v>0</v>
      </c>
      <c r="AU115" s="491">
        <f t="shared" si="97"/>
        <v>0</v>
      </c>
      <c r="AV115" s="491">
        <f t="shared" si="97"/>
        <v>0</v>
      </c>
      <c r="AW115" s="491">
        <f t="shared" si="97"/>
        <v>0</v>
      </c>
      <c r="AX115" s="491">
        <f t="shared" si="97"/>
        <v>0</v>
      </c>
      <c r="AY115" s="491">
        <f t="shared" si="97"/>
        <v>0</v>
      </c>
      <c r="AZ115" s="491">
        <f t="shared" si="97"/>
        <v>0</v>
      </c>
      <c r="BA115" s="491">
        <f t="shared" si="97"/>
        <v>0</v>
      </c>
      <c r="BB115" s="491">
        <f t="shared" si="97"/>
        <v>0</v>
      </c>
      <c r="BC115" s="491">
        <f t="shared" si="97"/>
        <v>0</v>
      </c>
      <c r="BD115" s="491">
        <f t="shared" si="97"/>
        <v>0</v>
      </c>
      <c r="BE115" s="491">
        <f t="shared" si="97"/>
        <v>0</v>
      </c>
      <c r="BF115" s="491">
        <f t="shared" si="97"/>
        <v>0</v>
      </c>
      <c r="BG115" s="491">
        <f t="shared" si="97"/>
        <v>0</v>
      </c>
      <c r="BH115" s="491">
        <f t="shared" si="97"/>
        <v>0</v>
      </c>
      <c r="BI115" s="491">
        <f t="shared" si="97"/>
        <v>0</v>
      </c>
      <c r="BJ115" s="491">
        <f t="shared" si="97"/>
        <v>0</v>
      </c>
      <c r="BK115" s="491">
        <f t="shared" si="97"/>
        <v>0</v>
      </c>
      <c r="BL115" s="491">
        <f t="shared" si="97"/>
        <v>0</v>
      </c>
      <c r="BM115" s="491">
        <f t="shared" si="97"/>
        <v>0</v>
      </c>
      <c r="BN115" s="491">
        <f t="shared" si="97"/>
        <v>0</v>
      </c>
      <c r="BO115" s="491">
        <f t="shared" si="97"/>
        <v>0</v>
      </c>
      <c r="BP115" s="491">
        <f t="shared" si="97"/>
        <v>0</v>
      </c>
      <c r="BQ115" s="491">
        <f t="shared" si="97"/>
        <v>0</v>
      </c>
      <c r="BR115" s="491">
        <f t="shared" si="97"/>
        <v>0</v>
      </c>
      <c r="BS115" s="491">
        <f t="shared" si="97"/>
        <v>0</v>
      </c>
      <c r="BT115" s="491">
        <f t="shared" si="97"/>
        <v>0</v>
      </c>
      <c r="BU115" s="491">
        <f t="shared" si="97"/>
        <v>0</v>
      </c>
      <c r="BV115" s="491">
        <f t="shared" si="97"/>
        <v>0</v>
      </c>
      <c r="BW115" s="491">
        <f t="shared" ref="BW115:CC115" si="98">BW109*$E114/12</f>
        <v>0</v>
      </c>
      <c r="BX115" s="491">
        <f t="shared" si="98"/>
        <v>0</v>
      </c>
      <c r="BY115" s="491">
        <f t="shared" si="98"/>
        <v>0</v>
      </c>
      <c r="BZ115" s="491">
        <f t="shared" si="98"/>
        <v>0</v>
      </c>
      <c r="CA115" s="491">
        <f t="shared" si="98"/>
        <v>0</v>
      </c>
      <c r="CB115" s="491">
        <f t="shared" si="98"/>
        <v>0</v>
      </c>
      <c r="CC115" s="491">
        <f t="shared" si="98"/>
        <v>0</v>
      </c>
      <c r="CD115" s="491">
        <f t="shared" ref="CD115:DY115" si="99">CD109*$E114/12</f>
        <v>0</v>
      </c>
      <c r="CE115" s="491">
        <f t="shared" si="99"/>
        <v>0</v>
      </c>
      <c r="CF115" s="491">
        <f t="shared" si="99"/>
        <v>0</v>
      </c>
      <c r="CG115" s="491">
        <f t="shared" si="99"/>
        <v>0</v>
      </c>
      <c r="CH115" s="491">
        <f t="shared" si="99"/>
        <v>0</v>
      </c>
      <c r="CI115" s="491">
        <f t="shared" si="99"/>
        <v>0</v>
      </c>
      <c r="CJ115" s="491">
        <f t="shared" si="99"/>
        <v>0</v>
      </c>
      <c r="CK115" s="491">
        <f t="shared" si="99"/>
        <v>0</v>
      </c>
      <c r="CL115" s="491">
        <f t="shared" si="99"/>
        <v>0</v>
      </c>
      <c r="CM115" s="491">
        <f t="shared" si="99"/>
        <v>0</v>
      </c>
      <c r="CN115" s="491">
        <f t="shared" si="99"/>
        <v>0</v>
      </c>
      <c r="CO115" s="491">
        <f t="shared" si="99"/>
        <v>0</v>
      </c>
      <c r="CP115" s="491">
        <f t="shared" si="99"/>
        <v>83333.333333333328</v>
      </c>
      <c r="CQ115" s="491">
        <f t="shared" si="99"/>
        <v>83333.333333333328</v>
      </c>
      <c r="CR115" s="491">
        <f t="shared" si="99"/>
        <v>83333.333333333328</v>
      </c>
      <c r="CS115" s="491">
        <f t="shared" si="99"/>
        <v>83333.333333333328</v>
      </c>
      <c r="CT115" s="491">
        <f t="shared" si="99"/>
        <v>83333.333333333328</v>
      </c>
      <c r="CU115" s="491">
        <f t="shared" si="99"/>
        <v>83333.333333333328</v>
      </c>
      <c r="CV115" s="491">
        <f t="shared" si="99"/>
        <v>81790.123456790127</v>
      </c>
      <c r="CW115" s="491">
        <f t="shared" si="99"/>
        <v>80246.913580246925</v>
      </c>
      <c r="CX115" s="491">
        <f t="shared" si="99"/>
        <v>78703.703703703723</v>
      </c>
      <c r="CY115" s="491">
        <f t="shared" si="99"/>
        <v>77160.493827160521</v>
      </c>
      <c r="CZ115" s="491">
        <f t="shared" si="99"/>
        <v>75617.283950617304</v>
      </c>
      <c r="DA115" s="491">
        <f t="shared" si="99"/>
        <v>74074.074074074102</v>
      </c>
      <c r="DB115" s="491">
        <f t="shared" si="99"/>
        <v>72530.8641975309</v>
      </c>
      <c r="DC115" s="491">
        <f t="shared" si="99"/>
        <v>70987.654320987684</v>
      </c>
      <c r="DD115" s="491">
        <f t="shared" si="99"/>
        <v>69444.444444444482</v>
      </c>
      <c r="DE115" s="491">
        <f t="shared" si="99"/>
        <v>67901.23456790128</v>
      </c>
      <c r="DF115" s="491">
        <f t="shared" si="99"/>
        <v>66358.024691358078</v>
      </c>
      <c r="DG115" s="491">
        <f t="shared" si="99"/>
        <v>64814.814814814868</v>
      </c>
      <c r="DH115" s="491">
        <f t="shared" si="99"/>
        <v>63271.604938271659</v>
      </c>
      <c r="DI115" s="491">
        <f t="shared" si="99"/>
        <v>61728.395061728457</v>
      </c>
      <c r="DJ115" s="491">
        <f t="shared" si="99"/>
        <v>60185.185185185248</v>
      </c>
      <c r="DK115" s="491">
        <f t="shared" si="99"/>
        <v>58641.975308642046</v>
      </c>
      <c r="DL115" s="491">
        <f t="shared" si="99"/>
        <v>57098.765432098844</v>
      </c>
      <c r="DM115" s="491">
        <f t="shared" si="99"/>
        <v>55555.555555555628</v>
      </c>
      <c r="DN115" s="491">
        <f t="shared" si="99"/>
        <v>54012.345679012426</v>
      </c>
      <c r="DO115" s="491">
        <f t="shared" si="99"/>
        <v>52469.135802469216</v>
      </c>
      <c r="DP115" s="491">
        <f t="shared" si="99"/>
        <v>50925.925925926014</v>
      </c>
      <c r="DQ115" s="491">
        <f t="shared" si="99"/>
        <v>49382.716049382805</v>
      </c>
      <c r="DR115" s="491">
        <f t="shared" si="99"/>
        <v>47839.506172839603</v>
      </c>
      <c r="DS115" s="491">
        <f t="shared" si="99"/>
        <v>46296.296296296401</v>
      </c>
      <c r="DT115" s="491">
        <f t="shared" si="99"/>
        <v>44753.086419753185</v>
      </c>
      <c r="DU115" s="491">
        <f t="shared" si="99"/>
        <v>43209.876543209983</v>
      </c>
      <c r="DV115" s="491">
        <f t="shared" si="99"/>
        <v>41666.666666666781</v>
      </c>
      <c r="DW115" s="491">
        <f t="shared" si="99"/>
        <v>40123.456790123571</v>
      </c>
      <c r="DX115" s="491">
        <f t="shared" si="99"/>
        <v>38580.246913580362</v>
      </c>
      <c r="DY115" s="491">
        <f t="shared" si="99"/>
        <v>37037.03703703716</v>
      </c>
    </row>
    <row r="116" spans="2:129" s="43" customFormat="1">
      <c r="C116" s="43" t="s">
        <v>392</v>
      </c>
      <c r="E116" s="486"/>
      <c r="F116" s="127"/>
      <c r="G116" s="127"/>
      <c r="H116" s="127"/>
      <c r="J116" s="491">
        <f>IF($E106="USD",J109*(1-Flags!$K$29),0)</f>
        <v>0</v>
      </c>
      <c r="K116" s="491">
        <f>IF($E106="USD",K109*(1-Flags!$K$29),0)</f>
        <v>0</v>
      </c>
      <c r="L116" s="491">
        <f>IF($E106="USD",L109*(1-Flags!$K$29),0)</f>
        <v>0</v>
      </c>
      <c r="M116" s="491">
        <f>IF($E106="USD",M109*(1-Flags!$K$29),0)</f>
        <v>0</v>
      </c>
      <c r="N116" s="491">
        <f>IF($E106="USD",N109*(1-Flags!$K$29),0)</f>
        <v>0</v>
      </c>
      <c r="O116" s="491">
        <f>IF($E106="USD",O109*(1-Flags!$K$29),0)</f>
        <v>0</v>
      </c>
      <c r="P116" s="491">
        <f>IF($E106="USD",P109*(1-Flags!$K$29),0)</f>
        <v>0</v>
      </c>
      <c r="Q116" s="491">
        <f>IF($E106="USD",Q109*(1-Flags!$K$29),0)</f>
        <v>0</v>
      </c>
      <c r="R116" s="491">
        <f>IF($E106="USD",R109*(1-Flags!$K$29),0)</f>
        <v>0</v>
      </c>
      <c r="S116" s="491">
        <f>IF($E106="USD",S109*(1-Flags!$K$29),0)</f>
        <v>0</v>
      </c>
      <c r="T116" s="491">
        <f>IF($E106="USD",T109*(1-Flags!$K$29),0)</f>
        <v>0</v>
      </c>
      <c r="U116" s="491">
        <f>IF($E106="USD",U109*(1-Flags!$K$29),0)</f>
        <v>0</v>
      </c>
      <c r="V116" s="491">
        <f>IF($E106="USD",V109*(1-Flags!$K$29),0)</f>
        <v>0</v>
      </c>
      <c r="W116" s="491">
        <f>IF($E106="USD",W109*(1-Flags!$K$29),0)</f>
        <v>0</v>
      </c>
      <c r="X116" s="491">
        <f>IF($E106="USD",X109*(1-Flags!$K$29),0)</f>
        <v>0</v>
      </c>
      <c r="Y116" s="491">
        <f>IF($E106="USD",Y109*(1-Flags!$K$29),0)</f>
        <v>0</v>
      </c>
      <c r="Z116" s="491">
        <f>IF($E106="USD",Z109*(1-Flags!$K$29),0)</f>
        <v>0</v>
      </c>
      <c r="AA116" s="491">
        <f>IF($E106="USD",AA109*(1-Flags!$K$29),0)</f>
        <v>0</v>
      </c>
      <c r="AB116" s="491">
        <f>IF($E106="USD",AB109*(1-Flags!$K$29),0)</f>
        <v>0</v>
      </c>
      <c r="AC116" s="491">
        <f>IF($E106="USD",AC109*(1-Flags!$K$29),0)</f>
        <v>0</v>
      </c>
      <c r="AD116" s="491">
        <f>IF($E106="USD",AD109*(1-Flags!$K$29),0)</f>
        <v>0</v>
      </c>
      <c r="AE116" s="491">
        <f>IF($E106="USD",AE109*(1-Flags!$K$29),0)</f>
        <v>0</v>
      </c>
      <c r="AF116" s="491">
        <f>IF($E106="USD",AF109*(1-Flags!$K$29),0)</f>
        <v>0</v>
      </c>
      <c r="AG116" s="491">
        <f>IF($E106="USD",AG109*(1-Flags!$K$29),0)</f>
        <v>0</v>
      </c>
      <c r="AH116" s="491">
        <f>IF($E106="USD",AH109*(1-Flags!$K$29),0)</f>
        <v>0</v>
      </c>
      <c r="AI116" s="491">
        <f>IF($E106="USD",AI109*(1-Flags!$K$29),0)</f>
        <v>0</v>
      </c>
      <c r="AJ116" s="491">
        <f>IF($E106="USD",AJ109*(1-Flags!$K$29),0)</f>
        <v>0</v>
      </c>
      <c r="AK116" s="491">
        <f>IF($E106="USD",AK109*(1-Flags!$K$29),0)</f>
        <v>0</v>
      </c>
      <c r="AL116" s="491">
        <f>IF($E106="USD",AL109*(1-Flags!$K$29),0)</f>
        <v>0</v>
      </c>
      <c r="AM116" s="491">
        <f>IF($E106="USD",AM109*(1-Flags!$K$29),0)</f>
        <v>0</v>
      </c>
      <c r="AN116" s="491">
        <f>IF($E106="USD",AN109*(1-Flags!$K$29),0)</f>
        <v>0</v>
      </c>
      <c r="AO116" s="491">
        <f>IF($E106="USD",AO109*(1-Flags!$K$29),0)</f>
        <v>0</v>
      </c>
      <c r="AP116" s="491">
        <f>IF($E106="USD",AP109*(1-Flags!$K$29),0)</f>
        <v>0</v>
      </c>
      <c r="AQ116" s="491">
        <f>IF($E106="USD",AQ109*(1-Flags!$K$29),0)</f>
        <v>0</v>
      </c>
      <c r="AR116" s="491">
        <f>IF($E106="USD",AR109*(1-Flags!$K$29),0)</f>
        <v>0</v>
      </c>
      <c r="AS116" s="491">
        <f>IF($E106="USD",AS109*(1-Flags!$K$29),0)</f>
        <v>0</v>
      </c>
      <c r="AT116" s="491">
        <f>IF($E106="USD",AT109*(1-Flags!$K$29),0)</f>
        <v>0</v>
      </c>
      <c r="AU116" s="491">
        <f>IF($E106="USD",AU109*(1-Flags!$K$29),0)</f>
        <v>0</v>
      </c>
      <c r="AV116" s="491">
        <f>IF($E106="USD",AV109*(1-Flags!$K$29),0)</f>
        <v>0</v>
      </c>
      <c r="AW116" s="491">
        <f>IF($E106="USD",AW109*(1-Flags!$K$29),0)</f>
        <v>0</v>
      </c>
      <c r="AX116" s="491">
        <f>IF($E106="USD",AX109*(1-Flags!$K$29),0)</f>
        <v>0</v>
      </c>
      <c r="AY116" s="491">
        <f>IF($E106="USD",AY109*(1-Flags!$K$29),0)</f>
        <v>0</v>
      </c>
      <c r="AZ116" s="491">
        <f>IF($E106="USD",AZ109*(1-Flags!$K$29),0)</f>
        <v>0</v>
      </c>
      <c r="BA116" s="491">
        <f>IF($E106="USD",BA109*(1-Flags!$K$29),0)</f>
        <v>0</v>
      </c>
      <c r="BB116" s="491">
        <f>IF($E106="USD",BB109*(1-Flags!$K$29),0)</f>
        <v>0</v>
      </c>
      <c r="BC116" s="491">
        <f>IF($E106="USD",BC109*(1-Flags!$K$29),0)</f>
        <v>0</v>
      </c>
      <c r="BD116" s="491">
        <f>IF($E106="USD",BD109*(1-Flags!$K$29),0)</f>
        <v>0</v>
      </c>
      <c r="BE116" s="491">
        <f>IF($E106="USD",BE109*(1-Flags!$K$29),0)</f>
        <v>0</v>
      </c>
      <c r="BF116" s="491">
        <f>IF($E106="USD",BF109*(1-Flags!$K$29),0)</f>
        <v>0</v>
      </c>
      <c r="BG116" s="491">
        <f>IF($E106="USD",BG109*(1-Flags!$K$29),0)</f>
        <v>0</v>
      </c>
      <c r="BH116" s="491">
        <f>IF($E106="USD",BH109*(1-Flags!$K$29),0)</f>
        <v>0</v>
      </c>
      <c r="BI116" s="491">
        <f>IF($E106="USD",BI109*(1-Flags!$K$29),0)</f>
        <v>0</v>
      </c>
      <c r="BJ116" s="491">
        <f>IF($E106="USD",BJ109*(1-Flags!$K$29),0)</f>
        <v>0</v>
      </c>
      <c r="BK116" s="491">
        <f>IF($E106="USD",BK109*(1-Flags!$K$29),0)</f>
        <v>0</v>
      </c>
      <c r="BL116" s="491">
        <f>IF($E106="USD",BL109*(1-Flags!$K$29),0)</f>
        <v>0</v>
      </c>
      <c r="BM116" s="491">
        <f>IF($E106="USD",BM109*(1-Flags!$K$29),0)</f>
        <v>0</v>
      </c>
      <c r="BN116" s="491">
        <f>IF($E106="USD",BN109*(1-Flags!$K$29),0)</f>
        <v>0</v>
      </c>
      <c r="BO116" s="491">
        <f>IF($E106="USD",BO109*(1-Flags!$K$29),0)</f>
        <v>0</v>
      </c>
      <c r="BP116" s="491">
        <f>IF($E106="USD",BP109*(1-Flags!$K$29),0)</f>
        <v>0</v>
      </c>
      <c r="BQ116" s="491">
        <f>IF($E106="USD",BQ109*(1-Flags!$K$29),0)</f>
        <v>0</v>
      </c>
      <c r="BR116" s="491">
        <f>IF($E106="USD",BR109*(1-Flags!$K$29),0)</f>
        <v>0</v>
      </c>
      <c r="BS116" s="491">
        <f>IF($E106="USD",BS109*(1-Flags!$K$29),0)</f>
        <v>0</v>
      </c>
      <c r="BT116" s="491">
        <f>IF($E106="USD",BT109*(1-Flags!$K$29),0)</f>
        <v>0</v>
      </c>
      <c r="BU116" s="491">
        <f>IF($E106="USD",BU109*(1-Flags!$K$29),0)</f>
        <v>0</v>
      </c>
      <c r="BV116" s="491">
        <f>IF($E106="USD",BV109*(1-Flags!$K$29),0)</f>
        <v>0</v>
      </c>
      <c r="BW116" s="491">
        <f>IF($E106="USD",BW109*(1-Flags!$K$29),0)</f>
        <v>0</v>
      </c>
      <c r="BX116" s="491">
        <f>IF($E106="USD",BX109*(1-Flags!$K$29),0)</f>
        <v>0</v>
      </c>
      <c r="BY116" s="491">
        <f>IF($E106="USD",BY109*(1-Flags!$K$29),0)</f>
        <v>0</v>
      </c>
      <c r="BZ116" s="491">
        <f>IF($E106="USD",BZ109*(1-Flags!$K$29),0)</f>
        <v>0</v>
      </c>
      <c r="CA116" s="491">
        <f>IF($E106="USD",CA109*(1-Flags!$K$29),0)</f>
        <v>0</v>
      </c>
      <c r="CB116" s="491">
        <f>IF($E106="USD",CB109*(1-Flags!$K$29),0)</f>
        <v>0</v>
      </c>
      <c r="CC116" s="491">
        <f>IF($E106="USD",CC109*(1-Flags!$K$29),0)</f>
        <v>0</v>
      </c>
      <c r="CD116" s="491">
        <f>IF($E106="USD",CD109*(1-Flags!$K$29),0)</f>
        <v>0</v>
      </c>
      <c r="CE116" s="491">
        <f>IF($E106="USD",CE109*(1-Flags!$K$29),0)</f>
        <v>0</v>
      </c>
      <c r="CF116" s="491">
        <f>IF($E106="USD",CF109*(1-Flags!$K$29),0)</f>
        <v>0</v>
      </c>
      <c r="CG116" s="491">
        <f>IF($E106="USD",CG109*(1-Flags!$K$29),0)</f>
        <v>0</v>
      </c>
      <c r="CH116" s="491">
        <f>IF($E106="USD",CH109*(1-Flags!$K$29),0)</f>
        <v>0</v>
      </c>
      <c r="CI116" s="491">
        <f>IF($E106="USD",CI109*(1-Flags!$K$29),0)</f>
        <v>0</v>
      </c>
      <c r="CJ116" s="491">
        <f>IF($E106="USD",CJ109*(1-Flags!$K$29),0)</f>
        <v>0</v>
      </c>
      <c r="CK116" s="491">
        <f>IF($E106="USD",CK109*(1-Flags!$K$29),0)</f>
        <v>0</v>
      </c>
      <c r="CL116" s="491">
        <f>IF($E106="USD",CL109*(1-Flags!$K$29),0)</f>
        <v>0</v>
      </c>
      <c r="CM116" s="491">
        <f>IF($E106="USD",CM109*(1-Flags!$K$29),0)</f>
        <v>0</v>
      </c>
      <c r="CN116" s="491">
        <f>IF($E106="USD",CN109*(1-Flags!$K$29),0)</f>
        <v>0</v>
      </c>
      <c r="CO116" s="491">
        <f>IF($E106="USD",CO109*(1-Flags!$K$29),0)</f>
        <v>0</v>
      </c>
      <c r="CP116" s="491">
        <f>IF($E106="USD",CP109*(1-Flags!$K$29),0)</f>
        <v>0</v>
      </c>
      <c r="CQ116" s="491">
        <f>IF($E106="USD",CQ109*(1-Flags!$K$29),0)</f>
        <v>0</v>
      </c>
      <c r="CR116" s="491">
        <f>IF($E106="USD",CR109*(1-Flags!$K$29),0)</f>
        <v>0</v>
      </c>
      <c r="CS116" s="491">
        <f>IF($E106="USD",CS109*(1-Flags!$K$29),0)</f>
        <v>0</v>
      </c>
      <c r="CT116" s="491">
        <f>IF($E106="USD",CT109*(1-Flags!$K$29),0)</f>
        <v>0</v>
      </c>
      <c r="CU116" s="491">
        <f>IF($E106="USD",CU109*(1-Flags!$K$29),0)</f>
        <v>0</v>
      </c>
      <c r="CV116" s="491">
        <f>IF($E106="USD",CV109*(1-Flags!$K$29),0)</f>
        <v>0</v>
      </c>
      <c r="CW116" s="491">
        <f>IF($E106="USD",CW109*(1-Flags!$K$29),0)</f>
        <v>0</v>
      </c>
      <c r="CX116" s="491">
        <f>IF($E106="USD",CX109*(1-Flags!$K$29),0)</f>
        <v>0</v>
      </c>
      <c r="CY116" s="491">
        <f>IF($E106="USD",CY109*(1-Flags!$K$29),0)</f>
        <v>0</v>
      </c>
      <c r="CZ116" s="491">
        <f>IF($E106="USD",CZ109*(1-Flags!$K$29),0)</f>
        <v>0</v>
      </c>
      <c r="DA116" s="491">
        <f>IF($E106="USD",DA109*(1-Flags!$K$29),0)</f>
        <v>0</v>
      </c>
      <c r="DB116" s="491">
        <f>IF($E106="USD",DB109*(1-Flags!$K$29),0)</f>
        <v>0</v>
      </c>
      <c r="DC116" s="491">
        <f>IF($E106="USD",DC109*(1-Flags!$K$29),0)</f>
        <v>0</v>
      </c>
      <c r="DD116" s="491">
        <f>IF($E106="USD",DD109*(1-Flags!$K$29),0)</f>
        <v>0</v>
      </c>
      <c r="DE116" s="491">
        <f>IF($E106="USD",DE109*(1-Flags!$K$29),0)</f>
        <v>0</v>
      </c>
      <c r="DF116" s="491">
        <f>IF($E106="USD",DF109*(1-Flags!$K$29),0)</f>
        <v>0</v>
      </c>
      <c r="DG116" s="491">
        <f>IF($E106="USD",DG109*(1-Flags!$K$29),0)</f>
        <v>0</v>
      </c>
      <c r="DH116" s="491">
        <f>IF($E106="USD",DH109*(1-Flags!$K$29),0)</f>
        <v>0</v>
      </c>
      <c r="DI116" s="491">
        <f>IF($E106="USD",DI109*(1-Flags!$K$29),0)</f>
        <v>0</v>
      </c>
      <c r="DJ116" s="491">
        <f>IF($E106="USD",DJ109*(1-Flags!$K$29),0)</f>
        <v>0</v>
      </c>
      <c r="DK116" s="491">
        <f>IF($E106="USD",DK109*(1-Flags!$K$29),0)</f>
        <v>0</v>
      </c>
      <c r="DL116" s="491">
        <f>IF($E106="USD",DL109*(1-Flags!$K$29),0)</f>
        <v>0</v>
      </c>
      <c r="DM116" s="491">
        <f>IF($E106="USD",DM109*(1-Flags!$K$29),0)</f>
        <v>0</v>
      </c>
      <c r="DN116" s="491">
        <f>IF($E106="USD",DN109*(1-Flags!$K$29),0)</f>
        <v>0</v>
      </c>
      <c r="DO116" s="491">
        <f>IF($E106="USD",DO109*(1-Flags!$K$29),0)</f>
        <v>0</v>
      </c>
      <c r="DP116" s="491">
        <f>IF($E106="USD",DP109*(1-Flags!$K$29),0)</f>
        <v>0</v>
      </c>
      <c r="DQ116" s="491">
        <f>IF($E106="USD",DQ109*(1-Flags!$K$29),0)</f>
        <v>0</v>
      </c>
      <c r="DR116" s="491">
        <f>IF($E106="USD",DR109*(1-Flags!$K$29),0)</f>
        <v>0</v>
      </c>
      <c r="DS116" s="491">
        <f>IF($E106="USD",DS109*(1-Flags!$K$29),0)</f>
        <v>0</v>
      </c>
      <c r="DT116" s="491">
        <f>IF($E106="USD",DT109*(1-Flags!$K$29),0)</f>
        <v>0</v>
      </c>
      <c r="DU116" s="491">
        <f>IF($E106="USD",DU109*(1-Flags!$K$29),0)</f>
        <v>0</v>
      </c>
      <c r="DV116" s="491">
        <f>IF($E106="USD",DV109*(1-Flags!$K$29),0)</f>
        <v>0</v>
      </c>
      <c r="DW116" s="491">
        <f>IF($E106="USD",DW109*(1-Flags!$K$29),0)</f>
        <v>0</v>
      </c>
      <c r="DX116" s="491">
        <f>IF($E106="USD",DX109*(1-Flags!$K$29),0)</f>
        <v>0</v>
      </c>
      <c r="DY116" s="491">
        <f>IF($E106="USD",DY109*(1-Flags!$K$29),0)</f>
        <v>0</v>
      </c>
    </row>
    <row r="117" spans="2:129">
      <c r="C117" s="43" t="s">
        <v>637</v>
      </c>
      <c r="E117" s="578">
        <f>'Model Assumptions'!K142</f>
        <v>0.02</v>
      </c>
      <c r="J117" s="159">
        <f>J107*$E$117</f>
        <v>0</v>
      </c>
      <c r="K117" s="159">
        <f t="shared" ref="K117:BV117" si="100">K107*$E$117</f>
        <v>0</v>
      </c>
      <c r="L117" s="159">
        <f t="shared" si="100"/>
        <v>0</v>
      </c>
      <c r="M117" s="159">
        <f t="shared" si="100"/>
        <v>0</v>
      </c>
      <c r="N117" s="159">
        <f t="shared" si="100"/>
        <v>0</v>
      </c>
      <c r="O117" s="159">
        <f t="shared" si="100"/>
        <v>0</v>
      </c>
      <c r="P117" s="159">
        <f t="shared" si="100"/>
        <v>0</v>
      </c>
      <c r="Q117" s="159">
        <f t="shared" si="100"/>
        <v>0</v>
      </c>
      <c r="R117" s="159">
        <f t="shared" si="100"/>
        <v>0</v>
      </c>
      <c r="S117" s="159">
        <f t="shared" si="100"/>
        <v>0</v>
      </c>
      <c r="T117" s="159">
        <f t="shared" si="100"/>
        <v>0</v>
      </c>
      <c r="U117" s="159">
        <f t="shared" si="100"/>
        <v>0</v>
      </c>
      <c r="V117" s="159">
        <f t="shared" si="100"/>
        <v>0</v>
      </c>
      <c r="W117" s="159">
        <f t="shared" si="100"/>
        <v>0</v>
      </c>
      <c r="X117" s="159">
        <f t="shared" si="100"/>
        <v>0</v>
      </c>
      <c r="Y117" s="159">
        <f t="shared" si="100"/>
        <v>0</v>
      </c>
      <c r="Z117" s="159">
        <f t="shared" si="100"/>
        <v>0</v>
      </c>
      <c r="AA117" s="159">
        <f t="shared" si="100"/>
        <v>0</v>
      </c>
      <c r="AB117" s="159">
        <f t="shared" si="100"/>
        <v>0</v>
      </c>
      <c r="AC117" s="159">
        <f t="shared" si="100"/>
        <v>0</v>
      </c>
      <c r="AD117" s="159">
        <f t="shared" si="100"/>
        <v>0</v>
      </c>
      <c r="AE117" s="159">
        <f t="shared" si="100"/>
        <v>0</v>
      </c>
      <c r="AF117" s="159">
        <f t="shared" si="100"/>
        <v>0</v>
      </c>
      <c r="AG117" s="159">
        <f t="shared" si="100"/>
        <v>0</v>
      </c>
      <c r="AH117" s="159">
        <f t="shared" si="100"/>
        <v>0</v>
      </c>
      <c r="AI117" s="159">
        <f t="shared" si="100"/>
        <v>0</v>
      </c>
      <c r="AJ117" s="159">
        <f t="shared" si="100"/>
        <v>0</v>
      </c>
      <c r="AK117" s="159">
        <f t="shared" si="100"/>
        <v>0</v>
      </c>
      <c r="AL117" s="159">
        <f t="shared" si="100"/>
        <v>0</v>
      </c>
      <c r="AM117" s="159">
        <f t="shared" si="100"/>
        <v>0</v>
      </c>
      <c r="AN117" s="159">
        <f t="shared" si="100"/>
        <v>0</v>
      </c>
      <c r="AO117" s="159">
        <f t="shared" si="100"/>
        <v>0</v>
      </c>
      <c r="AP117" s="159">
        <f t="shared" si="100"/>
        <v>0</v>
      </c>
      <c r="AQ117" s="159">
        <f t="shared" si="100"/>
        <v>0</v>
      </c>
      <c r="AR117" s="159">
        <f t="shared" si="100"/>
        <v>0</v>
      </c>
      <c r="AS117" s="159">
        <f t="shared" si="100"/>
        <v>0</v>
      </c>
      <c r="AT117" s="159">
        <f t="shared" si="100"/>
        <v>0</v>
      </c>
      <c r="AU117" s="159">
        <f t="shared" si="100"/>
        <v>0</v>
      </c>
      <c r="AV117" s="159">
        <f t="shared" si="100"/>
        <v>0</v>
      </c>
      <c r="AW117" s="159">
        <f t="shared" si="100"/>
        <v>0</v>
      </c>
      <c r="AX117" s="159">
        <f t="shared" si="100"/>
        <v>0</v>
      </c>
      <c r="AY117" s="159">
        <f t="shared" si="100"/>
        <v>0</v>
      </c>
      <c r="AZ117" s="159">
        <f t="shared" si="100"/>
        <v>0</v>
      </c>
      <c r="BA117" s="159">
        <f t="shared" si="100"/>
        <v>0</v>
      </c>
      <c r="BB117" s="159">
        <f t="shared" si="100"/>
        <v>0</v>
      </c>
      <c r="BC117" s="159">
        <f t="shared" si="100"/>
        <v>0</v>
      </c>
      <c r="BD117" s="159">
        <f t="shared" si="100"/>
        <v>0</v>
      </c>
      <c r="BE117" s="159">
        <f t="shared" si="100"/>
        <v>0</v>
      </c>
      <c r="BF117" s="159">
        <f t="shared" si="100"/>
        <v>0</v>
      </c>
      <c r="BG117" s="159">
        <f t="shared" si="100"/>
        <v>0</v>
      </c>
      <c r="BH117" s="159">
        <f t="shared" si="100"/>
        <v>0</v>
      </c>
      <c r="BI117" s="159">
        <f t="shared" si="100"/>
        <v>0</v>
      </c>
      <c r="BJ117" s="159">
        <f t="shared" si="100"/>
        <v>0</v>
      </c>
      <c r="BK117" s="159">
        <f t="shared" si="100"/>
        <v>0</v>
      </c>
      <c r="BL117" s="159">
        <f t="shared" si="100"/>
        <v>0</v>
      </c>
      <c r="BM117" s="159">
        <f t="shared" si="100"/>
        <v>0</v>
      </c>
      <c r="BN117" s="159">
        <f t="shared" si="100"/>
        <v>0</v>
      </c>
      <c r="BO117" s="159">
        <f t="shared" si="100"/>
        <v>0</v>
      </c>
      <c r="BP117" s="159">
        <f t="shared" si="100"/>
        <v>0</v>
      </c>
      <c r="BQ117" s="159">
        <f t="shared" si="100"/>
        <v>0</v>
      </c>
      <c r="BR117" s="159">
        <f t="shared" si="100"/>
        <v>0</v>
      </c>
      <c r="BS117" s="159">
        <f t="shared" si="100"/>
        <v>0</v>
      </c>
      <c r="BT117" s="159">
        <f t="shared" si="100"/>
        <v>0</v>
      </c>
      <c r="BU117" s="159">
        <f t="shared" si="100"/>
        <v>0</v>
      </c>
      <c r="BV117" s="159">
        <f t="shared" si="100"/>
        <v>0</v>
      </c>
      <c r="BW117" s="159">
        <f t="shared" ref="BW117:DY117" si="101">BW107*$E$117</f>
        <v>0</v>
      </c>
      <c r="BX117" s="159">
        <f t="shared" si="101"/>
        <v>0</v>
      </c>
      <c r="BY117" s="159">
        <f t="shared" si="101"/>
        <v>0</v>
      </c>
      <c r="BZ117" s="159">
        <f t="shared" si="101"/>
        <v>0</v>
      </c>
      <c r="CA117" s="159">
        <f t="shared" si="101"/>
        <v>0</v>
      </c>
      <c r="CB117" s="159">
        <f t="shared" si="101"/>
        <v>0</v>
      </c>
      <c r="CC117" s="159">
        <f t="shared" si="101"/>
        <v>0</v>
      </c>
      <c r="CD117" s="159">
        <f t="shared" si="101"/>
        <v>0</v>
      </c>
      <c r="CE117" s="159">
        <f t="shared" si="101"/>
        <v>0</v>
      </c>
      <c r="CF117" s="159">
        <f t="shared" si="101"/>
        <v>0</v>
      </c>
      <c r="CG117" s="159">
        <f t="shared" si="101"/>
        <v>0</v>
      </c>
      <c r="CH117" s="159">
        <f t="shared" si="101"/>
        <v>0</v>
      </c>
      <c r="CI117" s="159">
        <f t="shared" si="101"/>
        <v>0</v>
      </c>
      <c r="CJ117" s="159">
        <f t="shared" si="101"/>
        <v>0</v>
      </c>
      <c r="CK117" s="159">
        <f t="shared" si="101"/>
        <v>0</v>
      </c>
      <c r="CL117" s="159">
        <f t="shared" si="101"/>
        <v>0</v>
      </c>
      <c r="CM117" s="159">
        <f t="shared" si="101"/>
        <v>0</v>
      </c>
      <c r="CN117" s="159">
        <f t="shared" si="101"/>
        <v>0</v>
      </c>
      <c r="CO117" s="159">
        <f t="shared" si="101"/>
        <v>0</v>
      </c>
      <c r="CP117" s="159">
        <f t="shared" si="101"/>
        <v>20000</v>
      </c>
      <c r="CQ117" s="159">
        <f t="shared" si="101"/>
        <v>0</v>
      </c>
      <c r="CR117" s="159">
        <f t="shared" si="101"/>
        <v>0</v>
      </c>
      <c r="CS117" s="159">
        <f t="shared" si="101"/>
        <v>0</v>
      </c>
      <c r="CT117" s="159">
        <f t="shared" si="101"/>
        <v>0</v>
      </c>
      <c r="CU117" s="159">
        <f t="shared" si="101"/>
        <v>0</v>
      </c>
      <c r="CV117" s="159">
        <f t="shared" si="101"/>
        <v>0</v>
      </c>
      <c r="CW117" s="159">
        <f t="shared" si="101"/>
        <v>0</v>
      </c>
      <c r="CX117" s="159">
        <f t="shared" si="101"/>
        <v>0</v>
      </c>
      <c r="CY117" s="159">
        <f t="shared" si="101"/>
        <v>0</v>
      </c>
      <c r="CZ117" s="159">
        <f t="shared" si="101"/>
        <v>0</v>
      </c>
      <c r="DA117" s="159">
        <f t="shared" si="101"/>
        <v>0</v>
      </c>
      <c r="DB117" s="159">
        <f t="shared" si="101"/>
        <v>0</v>
      </c>
      <c r="DC117" s="159">
        <f t="shared" si="101"/>
        <v>0</v>
      </c>
      <c r="DD117" s="159">
        <f t="shared" si="101"/>
        <v>0</v>
      </c>
      <c r="DE117" s="159">
        <f t="shared" si="101"/>
        <v>0</v>
      </c>
      <c r="DF117" s="159">
        <f t="shared" si="101"/>
        <v>0</v>
      </c>
      <c r="DG117" s="159">
        <f t="shared" si="101"/>
        <v>0</v>
      </c>
      <c r="DH117" s="159">
        <f t="shared" si="101"/>
        <v>0</v>
      </c>
      <c r="DI117" s="159">
        <f t="shared" si="101"/>
        <v>0</v>
      </c>
      <c r="DJ117" s="159">
        <f t="shared" si="101"/>
        <v>0</v>
      </c>
      <c r="DK117" s="159">
        <f t="shared" si="101"/>
        <v>0</v>
      </c>
      <c r="DL117" s="159">
        <f t="shared" si="101"/>
        <v>0</v>
      </c>
      <c r="DM117" s="159">
        <f t="shared" si="101"/>
        <v>0</v>
      </c>
      <c r="DN117" s="159">
        <f t="shared" si="101"/>
        <v>0</v>
      </c>
      <c r="DO117" s="159">
        <f t="shared" si="101"/>
        <v>0</v>
      </c>
      <c r="DP117" s="159">
        <f t="shared" si="101"/>
        <v>0</v>
      </c>
      <c r="DQ117" s="159">
        <f t="shared" si="101"/>
        <v>0</v>
      </c>
      <c r="DR117" s="159">
        <f t="shared" si="101"/>
        <v>0</v>
      </c>
      <c r="DS117" s="159">
        <f t="shared" si="101"/>
        <v>0</v>
      </c>
      <c r="DT117" s="159">
        <f t="shared" si="101"/>
        <v>0</v>
      </c>
      <c r="DU117" s="159">
        <f t="shared" si="101"/>
        <v>0</v>
      </c>
      <c r="DV117" s="159">
        <f t="shared" si="101"/>
        <v>0</v>
      </c>
      <c r="DW117" s="159">
        <f t="shared" si="101"/>
        <v>0</v>
      </c>
      <c r="DX117" s="159">
        <f t="shared" si="101"/>
        <v>0</v>
      </c>
      <c r="DY117" s="159">
        <f t="shared" si="101"/>
        <v>0</v>
      </c>
    </row>
    <row r="118" spans="2:129">
      <c r="C118" s="43" t="s">
        <v>638</v>
      </c>
      <c r="J118" s="579">
        <f>J108*$E$117</f>
        <v>0</v>
      </c>
      <c r="K118" s="579">
        <f t="shared" ref="K118:BV118" si="102">K108*$E$117</f>
        <v>0</v>
      </c>
      <c r="L118" s="579">
        <f t="shared" si="102"/>
        <v>0</v>
      </c>
      <c r="M118" s="579">
        <f t="shared" si="102"/>
        <v>0</v>
      </c>
      <c r="N118" s="579">
        <f t="shared" si="102"/>
        <v>0</v>
      </c>
      <c r="O118" s="579">
        <f t="shared" si="102"/>
        <v>0</v>
      </c>
      <c r="P118" s="579">
        <f t="shared" si="102"/>
        <v>0</v>
      </c>
      <c r="Q118" s="579">
        <f t="shared" si="102"/>
        <v>0</v>
      </c>
      <c r="R118" s="579">
        <f t="shared" si="102"/>
        <v>0</v>
      </c>
      <c r="S118" s="579">
        <f t="shared" si="102"/>
        <v>0</v>
      </c>
      <c r="T118" s="579">
        <f t="shared" si="102"/>
        <v>0</v>
      </c>
      <c r="U118" s="579">
        <f t="shared" si="102"/>
        <v>0</v>
      </c>
      <c r="V118" s="579">
        <f t="shared" si="102"/>
        <v>0</v>
      </c>
      <c r="W118" s="579">
        <f t="shared" si="102"/>
        <v>0</v>
      </c>
      <c r="X118" s="579">
        <f t="shared" si="102"/>
        <v>0</v>
      </c>
      <c r="Y118" s="579">
        <f t="shared" si="102"/>
        <v>0</v>
      </c>
      <c r="Z118" s="579">
        <f t="shared" si="102"/>
        <v>0</v>
      </c>
      <c r="AA118" s="579">
        <f t="shared" si="102"/>
        <v>0</v>
      </c>
      <c r="AB118" s="579">
        <f t="shared" si="102"/>
        <v>0</v>
      </c>
      <c r="AC118" s="579">
        <f t="shared" si="102"/>
        <v>0</v>
      </c>
      <c r="AD118" s="579">
        <f t="shared" si="102"/>
        <v>0</v>
      </c>
      <c r="AE118" s="579">
        <f t="shared" si="102"/>
        <v>0</v>
      </c>
      <c r="AF118" s="579">
        <f t="shared" si="102"/>
        <v>0</v>
      </c>
      <c r="AG118" s="579">
        <f t="shared" si="102"/>
        <v>0</v>
      </c>
      <c r="AH118" s="579">
        <f t="shared" si="102"/>
        <v>0</v>
      </c>
      <c r="AI118" s="579">
        <f t="shared" si="102"/>
        <v>0</v>
      </c>
      <c r="AJ118" s="579">
        <f t="shared" si="102"/>
        <v>0</v>
      </c>
      <c r="AK118" s="579">
        <f t="shared" si="102"/>
        <v>0</v>
      </c>
      <c r="AL118" s="579">
        <f t="shared" si="102"/>
        <v>0</v>
      </c>
      <c r="AM118" s="579">
        <f t="shared" si="102"/>
        <v>0</v>
      </c>
      <c r="AN118" s="579">
        <f t="shared" si="102"/>
        <v>0</v>
      </c>
      <c r="AO118" s="579">
        <f t="shared" si="102"/>
        <v>0</v>
      </c>
      <c r="AP118" s="579">
        <f t="shared" si="102"/>
        <v>0</v>
      </c>
      <c r="AQ118" s="579">
        <f t="shared" si="102"/>
        <v>0</v>
      </c>
      <c r="AR118" s="579">
        <f t="shared" si="102"/>
        <v>0</v>
      </c>
      <c r="AS118" s="579">
        <f t="shared" si="102"/>
        <v>0</v>
      </c>
      <c r="AT118" s="579">
        <f t="shared" si="102"/>
        <v>0</v>
      </c>
      <c r="AU118" s="579">
        <f t="shared" si="102"/>
        <v>0</v>
      </c>
      <c r="AV118" s="579">
        <f t="shared" si="102"/>
        <v>0</v>
      </c>
      <c r="AW118" s="579">
        <f t="shared" si="102"/>
        <v>0</v>
      </c>
      <c r="AX118" s="579">
        <f t="shared" si="102"/>
        <v>0</v>
      </c>
      <c r="AY118" s="579">
        <f t="shared" si="102"/>
        <v>0</v>
      </c>
      <c r="AZ118" s="579">
        <f t="shared" si="102"/>
        <v>0</v>
      </c>
      <c r="BA118" s="579">
        <f t="shared" si="102"/>
        <v>0</v>
      </c>
      <c r="BB118" s="579">
        <f t="shared" si="102"/>
        <v>0</v>
      </c>
      <c r="BC118" s="579">
        <f t="shared" si="102"/>
        <v>0</v>
      </c>
      <c r="BD118" s="579">
        <f t="shared" si="102"/>
        <v>0</v>
      </c>
      <c r="BE118" s="579">
        <f t="shared" si="102"/>
        <v>0</v>
      </c>
      <c r="BF118" s="579">
        <f t="shared" si="102"/>
        <v>0</v>
      </c>
      <c r="BG118" s="579">
        <f t="shared" si="102"/>
        <v>0</v>
      </c>
      <c r="BH118" s="579">
        <f t="shared" si="102"/>
        <v>0</v>
      </c>
      <c r="BI118" s="579">
        <f t="shared" si="102"/>
        <v>0</v>
      </c>
      <c r="BJ118" s="579">
        <f t="shared" si="102"/>
        <v>0</v>
      </c>
      <c r="BK118" s="579">
        <f t="shared" si="102"/>
        <v>0</v>
      </c>
      <c r="BL118" s="579">
        <f t="shared" si="102"/>
        <v>0</v>
      </c>
      <c r="BM118" s="579">
        <f t="shared" si="102"/>
        <v>0</v>
      </c>
      <c r="BN118" s="579">
        <f t="shared" si="102"/>
        <v>0</v>
      </c>
      <c r="BO118" s="579">
        <f t="shared" si="102"/>
        <v>0</v>
      </c>
      <c r="BP118" s="579">
        <f t="shared" si="102"/>
        <v>0</v>
      </c>
      <c r="BQ118" s="579">
        <f t="shared" si="102"/>
        <v>0</v>
      </c>
      <c r="BR118" s="579">
        <f t="shared" si="102"/>
        <v>0</v>
      </c>
      <c r="BS118" s="579">
        <f t="shared" si="102"/>
        <v>0</v>
      </c>
      <c r="BT118" s="579">
        <f t="shared" si="102"/>
        <v>0</v>
      </c>
      <c r="BU118" s="579">
        <f t="shared" si="102"/>
        <v>0</v>
      </c>
      <c r="BV118" s="579">
        <f t="shared" si="102"/>
        <v>0</v>
      </c>
      <c r="BW118" s="579">
        <f t="shared" ref="BW118:DY118" si="103">BW108*$E$117</f>
        <v>0</v>
      </c>
      <c r="BX118" s="579">
        <f t="shared" si="103"/>
        <v>0</v>
      </c>
      <c r="BY118" s="579">
        <f t="shared" si="103"/>
        <v>0</v>
      </c>
      <c r="BZ118" s="579">
        <f t="shared" si="103"/>
        <v>0</v>
      </c>
      <c r="CA118" s="579">
        <f t="shared" si="103"/>
        <v>0</v>
      </c>
      <c r="CB118" s="579">
        <f t="shared" si="103"/>
        <v>0</v>
      </c>
      <c r="CC118" s="579">
        <f t="shared" si="103"/>
        <v>0</v>
      </c>
      <c r="CD118" s="579">
        <f t="shared" si="103"/>
        <v>0</v>
      </c>
      <c r="CE118" s="579">
        <f t="shared" si="103"/>
        <v>0</v>
      </c>
      <c r="CF118" s="579">
        <f t="shared" si="103"/>
        <v>0</v>
      </c>
      <c r="CG118" s="579">
        <f t="shared" si="103"/>
        <v>0</v>
      </c>
      <c r="CH118" s="579">
        <f t="shared" si="103"/>
        <v>0</v>
      </c>
      <c r="CI118" s="579">
        <f t="shared" si="103"/>
        <v>0</v>
      </c>
      <c r="CJ118" s="579">
        <f t="shared" si="103"/>
        <v>0</v>
      </c>
      <c r="CK118" s="579">
        <f t="shared" si="103"/>
        <v>0</v>
      </c>
      <c r="CL118" s="579">
        <f t="shared" si="103"/>
        <v>0</v>
      </c>
      <c r="CM118" s="579">
        <f t="shared" si="103"/>
        <v>0</v>
      </c>
      <c r="CN118" s="579">
        <f t="shared" si="103"/>
        <v>0</v>
      </c>
      <c r="CO118" s="579">
        <f t="shared" si="103"/>
        <v>0</v>
      </c>
      <c r="CP118" s="579">
        <f t="shared" si="103"/>
        <v>200000</v>
      </c>
      <c r="CQ118" s="579">
        <f t="shared" si="103"/>
        <v>0</v>
      </c>
      <c r="CR118" s="579">
        <f t="shared" si="103"/>
        <v>0</v>
      </c>
      <c r="CS118" s="579">
        <f t="shared" si="103"/>
        <v>0</v>
      </c>
      <c r="CT118" s="579">
        <f t="shared" si="103"/>
        <v>0</v>
      </c>
      <c r="CU118" s="579">
        <f t="shared" si="103"/>
        <v>0</v>
      </c>
      <c r="CV118" s="579">
        <f t="shared" si="103"/>
        <v>0</v>
      </c>
      <c r="CW118" s="579">
        <f t="shared" si="103"/>
        <v>0</v>
      </c>
      <c r="CX118" s="579">
        <f t="shared" si="103"/>
        <v>0</v>
      </c>
      <c r="CY118" s="579">
        <f t="shared" si="103"/>
        <v>0</v>
      </c>
      <c r="CZ118" s="579">
        <f t="shared" si="103"/>
        <v>0</v>
      </c>
      <c r="DA118" s="579">
        <f t="shared" si="103"/>
        <v>0</v>
      </c>
      <c r="DB118" s="579">
        <f t="shared" si="103"/>
        <v>0</v>
      </c>
      <c r="DC118" s="579">
        <f t="shared" si="103"/>
        <v>0</v>
      </c>
      <c r="DD118" s="579">
        <f t="shared" si="103"/>
        <v>0</v>
      </c>
      <c r="DE118" s="579">
        <f t="shared" si="103"/>
        <v>0</v>
      </c>
      <c r="DF118" s="579">
        <f t="shared" si="103"/>
        <v>0</v>
      </c>
      <c r="DG118" s="579">
        <f t="shared" si="103"/>
        <v>0</v>
      </c>
      <c r="DH118" s="579">
        <f t="shared" si="103"/>
        <v>0</v>
      </c>
      <c r="DI118" s="579">
        <f t="shared" si="103"/>
        <v>0</v>
      </c>
      <c r="DJ118" s="579">
        <f t="shared" si="103"/>
        <v>0</v>
      </c>
      <c r="DK118" s="579">
        <f t="shared" si="103"/>
        <v>0</v>
      </c>
      <c r="DL118" s="579">
        <f t="shared" si="103"/>
        <v>0</v>
      </c>
      <c r="DM118" s="579">
        <f t="shared" si="103"/>
        <v>0</v>
      </c>
      <c r="DN118" s="579">
        <f t="shared" si="103"/>
        <v>0</v>
      </c>
      <c r="DO118" s="579">
        <f t="shared" si="103"/>
        <v>0</v>
      </c>
      <c r="DP118" s="579">
        <f t="shared" si="103"/>
        <v>0</v>
      </c>
      <c r="DQ118" s="579">
        <f t="shared" si="103"/>
        <v>0</v>
      </c>
      <c r="DR118" s="579">
        <f t="shared" si="103"/>
        <v>0</v>
      </c>
      <c r="DS118" s="579">
        <f t="shared" si="103"/>
        <v>0</v>
      </c>
      <c r="DT118" s="579">
        <f t="shared" si="103"/>
        <v>0</v>
      </c>
      <c r="DU118" s="579">
        <f t="shared" si="103"/>
        <v>0</v>
      </c>
      <c r="DV118" s="579">
        <f t="shared" si="103"/>
        <v>0</v>
      </c>
      <c r="DW118" s="579">
        <f t="shared" si="103"/>
        <v>0</v>
      </c>
      <c r="DX118" s="579">
        <f t="shared" si="103"/>
        <v>0</v>
      </c>
      <c r="DY118" s="579">
        <f t="shared" si="103"/>
        <v>0</v>
      </c>
    </row>
    <row r="119" spans="2:129">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row>
    <row r="120" spans="2:129">
      <c r="B120" s="44" t="s">
        <v>326</v>
      </c>
      <c r="C120" s="43" t="s">
        <v>44</v>
      </c>
      <c r="D120" s="43"/>
      <c r="E120" s="481">
        <f>+'Model Assumptions'!L133</f>
        <v>47849</v>
      </c>
      <c r="F120" s="125"/>
      <c r="G120" s="125"/>
      <c r="H120" s="125"/>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row>
    <row r="121" spans="2:129">
      <c r="B121" s="44"/>
      <c r="C121" s="43" t="s">
        <v>394</v>
      </c>
      <c r="D121" s="43"/>
      <c r="E121" s="482" t="str">
        <f>+'Model Assumptions'!L137</f>
        <v>USD</v>
      </c>
      <c r="F121" s="125"/>
      <c r="G121" s="125"/>
      <c r="H121" s="125"/>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row>
    <row r="122" spans="2:129">
      <c r="B122" s="44"/>
      <c r="C122" s="43" t="s">
        <v>386</v>
      </c>
      <c r="D122" s="43"/>
      <c r="E122" s="482">
        <f>+'Model Assumptions'!L134</f>
        <v>1000000</v>
      </c>
      <c r="F122" s="126"/>
      <c r="G122" s="126"/>
      <c r="H122" s="126"/>
      <c r="I122" s="43"/>
      <c r="J122" s="46">
        <f t="shared" ref="J122:AO122" si="104">+IF(J$1=$E$120,$E$122,0)</f>
        <v>0</v>
      </c>
      <c r="K122" s="46">
        <f t="shared" si="104"/>
        <v>0</v>
      </c>
      <c r="L122" s="46">
        <f t="shared" si="104"/>
        <v>0</v>
      </c>
      <c r="M122" s="46">
        <f t="shared" si="104"/>
        <v>0</v>
      </c>
      <c r="N122" s="46">
        <f t="shared" si="104"/>
        <v>0</v>
      </c>
      <c r="O122" s="46">
        <f t="shared" si="104"/>
        <v>0</v>
      </c>
      <c r="P122" s="46">
        <f t="shared" si="104"/>
        <v>0</v>
      </c>
      <c r="Q122" s="46">
        <f t="shared" si="104"/>
        <v>0</v>
      </c>
      <c r="R122" s="46">
        <f t="shared" si="104"/>
        <v>0</v>
      </c>
      <c r="S122" s="46">
        <f t="shared" si="104"/>
        <v>0</v>
      </c>
      <c r="T122" s="46">
        <f t="shared" si="104"/>
        <v>0</v>
      </c>
      <c r="U122" s="46">
        <f t="shared" si="104"/>
        <v>0</v>
      </c>
      <c r="V122" s="46">
        <f t="shared" si="104"/>
        <v>0</v>
      </c>
      <c r="W122" s="46">
        <f t="shared" si="104"/>
        <v>0</v>
      </c>
      <c r="X122" s="46">
        <f t="shared" si="104"/>
        <v>0</v>
      </c>
      <c r="Y122" s="46">
        <f t="shared" si="104"/>
        <v>0</v>
      </c>
      <c r="Z122" s="46">
        <f t="shared" si="104"/>
        <v>0</v>
      </c>
      <c r="AA122" s="46">
        <f t="shared" si="104"/>
        <v>0</v>
      </c>
      <c r="AB122" s="46">
        <f t="shared" si="104"/>
        <v>0</v>
      </c>
      <c r="AC122" s="46">
        <f t="shared" si="104"/>
        <v>0</v>
      </c>
      <c r="AD122" s="46">
        <f t="shared" si="104"/>
        <v>0</v>
      </c>
      <c r="AE122" s="46">
        <f t="shared" si="104"/>
        <v>0</v>
      </c>
      <c r="AF122" s="46">
        <f t="shared" si="104"/>
        <v>0</v>
      </c>
      <c r="AG122" s="46">
        <f t="shared" si="104"/>
        <v>0</v>
      </c>
      <c r="AH122" s="46">
        <f t="shared" si="104"/>
        <v>0</v>
      </c>
      <c r="AI122" s="46">
        <f t="shared" si="104"/>
        <v>0</v>
      </c>
      <c r="AJ122" s="46">
        <f t="shared" si="104"/>
        <v>0</v>
      </c>
      <c r="AK122" s="46">
        <f t="shared" si="104"/>
        <v>0</v>
      </c>
      <c r="AL122" s="46">
        <f t="shared" si="104"/>
        <v>0</v>
      </c>
      <c r="AM122" s="46">
        <f t="shared" si="104"/>
        <v>0</v>
      </c>
      <c r="AN122" s="46">
        <f t="shared" si="104"/>
        <v>0</v>
      </c>
      <c r="AO122" s="46">
        <f t="shared" si="104"/>
        <v>0</v>
      </c>
      <c r="AP122" s="46">
        <f t="shared" ref="AP122:BU122" si="105">+IF(AP$1=$E$120,$E$122,0)</f>
        <v>0</v>
      </c>
      <c r="AQ122" s="46">
        <f t="shared" si="105"/>
        <v>0</v>
      </c>
      <c r="AR122" s="46">
        <f t="shared" si="105"/>
        <v>0</v>
      </c>
      <c r="AS122" s="46">
        <f t="shared" si="105"/>
        <v>0</v>
      </c>
      <c r="AT122" s="46">
        <f t="shared" si="105"/>
        <v>0</v>
      </c>
      <c r="AU122" s="46">
        <f t="shared" si="105"/>
        <v>0</v>
      </c>
      <c r="AV122" s="46">
        <f t="shared" si="105"/>
        <v>0</v>
      </c>
      <c r="AW122" s="46">
        <f t="shared" si="105"/>
        <v>0</v>
      </c>
      <c r="AX122" s="46">
        <f t="shared" si="105"/>
        <v>0</v>
      </c>
      <c r="AY122" s="46">
        <f t="shared" si="105"/>
        <v>0</v>
      </c>
      <c r="AZ122" s="46">
        <f t="shared" si="105"/>
        <v>0</v>
      </c>
      <c r="BA122" s="46">
        <f t="shared" si="105"/>
        <v>0</v>
      </c>
      <c r="BB122" s="46">
        <f t="shared" si="105"/>
        <v>0</v>
      </c>
      <c r="BC122" s="46">
        <f t="shared" si="105"/>
        <v>0</v>
      </c>
      <c r="BD122" s="46">
        <f t="shared" si="105"/>
        <v>0</v>
      </c>
      <c r="BE122" s="46">
        <f t="shared" si="105"/>
        <v>0</v>
      </c>
      <c r="BF122" s="46">
        <f t="shared" si="105"/>
        <v>0</v>
      </c>
      <c r="BG122" s="46">
        <f t="shared" si="105"/>
        <v>0</v>
      </c>
      <c r="BH122" s="46">
        <f t="shared" si="105"/>
        <v>0</v>
      </c>
      <c r="BI122" s="46">
        <f t="shared" si="105"/>
        <v>0</v>
      </c>
      <c r="BJ122" s="46">
        <f t="shared" si="105"/>
        <v>0</v>
      </c>
      <c r="BK122" s="46">
        <f t="shared" si="105"/>
        <v>0</v>
      </c>
      <c r="BL122" s="46">
        <f t="shared" si="105"/>
        <v>0</v>
      </c>
      <c r="BM122" s="46">
        <f t="shared" si="105"/>
        <v>0</v>
      </c>
      <c r="BN122" s="46">
        <f t="shared" si="105"/>
        <v>0</v>
      </c>
      <c r="BO122" s="46">
        <f t="shared" si="105"/>
        <v>0</v>
      </c>
      <c r="BP122" s="46">
        <f t="shared" si="105"/>
        <v>0</v>
      </c>
      <c r="BQ122" s="46">
        <f t="shared" si="105"/>
        <v>0</v>
      </c>
      <c r="BR122" s="46">
        <f t="shared" si="105"/>
        <v>0</v>
      </c>
      <c r="BS122" s="46">
        <f t="shared" si="105"/>
        <v>0</v>
      </c>
      <c r="BT122" s="46">
        <f t="shared" si="105"/>
        <v>0</v>
      </c>
      <c r="BU122" s="46">
        <f t="shared" si="105"/>
        <v>0</v>
      </c>
      <c r="BV122" s="46">
        <f t="shared" ref="BV122:DY122" si="106">+IF(BV$1=$E$120,$E$122,0)</f>
        <v>0</v>
      </c>
      <c r="BW122" s="46">
        <f t="shared" si="106"/>
        <v>0</v>
      </c>
      <c r="BX122" s="46">
        <f t="shared" si="106"/>
        <v>0</v>
      </c>
      <c r="BY122" s="46">
        <f t="shared" si="106"/>
        <v>0</v>
      </c>
      <c r="BZ122" s="46">
        <f t="shared" si="106"/>
        <v>0</v>
      </c>
      <c r="CA122" s="46">
        <f t="shared" si="106"/>
        <v>0</v>
      </c>
      <c r="CB122" s="46">
        <f t="shared" si="106"/>
        <v>0</v>
      </c>
      <c r="CC122" s="46">
        <f t="shared" si="106"/>
        <v>0</v>
      </c>
      <c r="CD122" s="46">
        <f t="shared" si="106"/>
        <v>0</v>
      </c>
      <c r="CE122" s="46">
        <f t="shared" si="106"/>
        <v>0</v>
      </c>
      <c r="CF122" s="46">
        <f t="shared" si="106"/>
        <v>0</v>
      </c>
      <c r="CG122" s="46">
        <f t="shared" si="106"/>
        <v>0</v>
      </c>
      <c r="CH122" s="46">
        <f t="shared" si="106"/>
        <v>0</v>
      </c>
      <c r="CI122" s="46">
        <f t="shared" si="106"/>
        <v>0</v>
      </c>
      <c r="CJ122" s="46">
        <f t="shared" si="106"/>
        <v>0</v>
      </c>
      <c r="CK122" s="46">
        <f t="shared" si="106"/>
        <v>0</v>
      </c>
      <c r="CL122" s="46">
        <f t="shared" si="106"/>
        <v>0</v>
      </c>
      <c r="CM122" s="46">
        <f t="shared" si="106"/>
        <v>0</v>
      </c>
      <c r="CN122" s="46">
        <f t="shared" si="106"/>
        <v>0</v>
      </c>
      <c r="CO122" s="46">
        <f t="shared" si="106"/>
        <v>0</v>
      </c>
      <c r="CP122" s="46">
        <f t="shared" si="106"/>
        <v>0</v>
      </c>
      <c r="CQ122" s="46">
        <f t="shared" si="106"/>
        <v>0</v>
      </c>
      <c r="CR122" s="46">
        <f t="shared" si="106"/>
        <v>0</v>
      </c>
      <c r="CS122" s="46">
        <f t="shared" si="106"/>
        <v>0</v>
      </c>
      <c r="CT122" s="46">
        <f t="shared" si="106"/>
        <v>0</v>
      </c>
      <c r="CU122" s="46">
        <f t="shared" si="106"/>
        <v>0</v>
      </c>
      <c r="CV122" s="46">
        <f t="shared" si="106"/>
        <v>0</v>
      </c>
      <c r="CW122" s="46">
        <f t="shared" si="106"/>
        <v>0</v>
      </c>
      <c r="CX122" s="46">
        <f t="shared" si="106"/>
        <v>0</v>
      </c>
      <c r="CY122" s="46">
        <f t="shared" si="106"/>
        <v>0</v>
      </c>
      <c r="CZ122" s="46">
        <f t="shared" si="106"/>
        <v>0</v>
      </c>
      <c r="DA122" s="46">
        <f t="shared" si="106"/>
        <v>0</v>
      </c>
      <c r="DB122" s="46">
        <f t="shared" si="106"/>
        <v>1000000</v>
      </c>
      <c r="DC122" s="46">
        <f t="shared" si="106"/>
        <v>0</v>
      </c>
      <c r="DD122" s="46">
        <f t="shared" si="106"/>
        <v>0</v>
      </c>
      <c r="DE122" s="46">
        <f t="shared" si="106"/>
        <v>0</v>
      </c>
      <c r="DF122" s="46">
        <f t="shared" si="106"/>
        <v>0</v>
      </c>
      <c r="DG122" s="46">
        <f t="shared" si="106"/>
        <v>0</v>
      </c>
      <c r="DH122" s="46">
        <f t="shared" si="106"/>
        <v>0</v>
      </c>
      <c r="DI122" s="46">
        <f t="shared" si="106"/>
        <v>0</v>
      </c>
      <c r="DJ122" s="46">
        <f t="shared" si="106"/>
        <v>0</v>
      </c>
      <c r="DK122" s="46">
        <f t="shared" si="106"/>
        <v>0</v>
      </c>
      <c r="DL122" s="46">
        <f t="shared" si="106"/>
        <v>0</v>
      </c>
      <c r="DM122" s="46">
        <f t="shared" si="106"/>
        <v>0</v>
      </c>
      <c r="DN122" s="46">
        <f t="shared" si="106"/>
        <v>0</v>
      </c>
      <c r="DO122" s="46">
        <f t="shared" si="106"/>
        <v>0</v>
      </c>
      <c r="DP122" s="46">
        <f t="shared" si="106"/>
        <v>0</v>
      </c>
      <c r="DQ122" s="46">
        <f t="shared" si="106"/>
        <v>0</v>
      </c>
      <c r="DR122" s="46">
        <f t="shared" si="106"/>
        <v>0</v>
      </c>
      <c r="DS122" s="46">
        <f t="shared" si="106"/>
        <v>0</v>
      </c>
      <c r="DT122" s="46">
        <f t="shared" si="106"/>
        <v>0</v>
      </c>
      <c r="DU122" s="46">
        <f t="shared" si="106"/>
        <v>0</v>
      </c>
      <c r="DV122" s="46">
        <f t="shared" si="106"/>
        <v>0</v>
      </c>
      <c r="DW122" s="46">
        <f t="shared" si="106"/>
        <v>0</v>
      </c>
      <c r="DX122" s="46">
        <f t="shared" si="106"/>
        <v>0</v>
      </c>
      <c r="DY122" s="46">
        <f t="shared" si="106"/>
        <v>0</v>
      </c>
    </row>
    <row r="123" spans="2:129">
      <c r="B123" s="44"/>
      <c r="C123" s="43" t="s">
        <v>387</v>
      </c>
      <c r="D123" s="43"/>
      <c r="E123" s="482">
        <f>+'Model Assumptions'!L136</f>
        <v>10000000</v>
      </c>
      <c r="F123" s="126"/>
      <c r="G123" s="126"/>
      <c r="H123" s="126"/>
      <c r="I123" s="43"/>
      <c r="J123" s="490">
        <f>J122*Flags!J$30</f>
        <v>0</v>
      </c>
      <c r="K123" s="490">
        <f>K122*Flags!K$30</f>
        <v>0</v>
      </c>
      <c r="L123" s="490">
        <f>L122*Flags!L$30</f>
        <v>0</v>
      </c>
      <c r="M123" s="490">
        <f>M122*Flags!M$30</f>
        <v>0</v>
      </c>
      <c r="N123" s="490">
        <f>N122*Flags!N$30</f>
        <v>0</v>
      </c>
      <c r="O123" s="490">
        <f>O122*Flags!O$30</f>
        <v>0</v>
      </c>
      <c r="P123" s="490">
        <f>P122*Flags!P$30</f>
        <v>0</v>
      </c>
      <c r="Q123" s="490">
        <f>Q122*Flags!Q$30</f>
        <v>0</v>
      </c>
      <c r="R123" s="490">
        <f>R122*Flags!R$30</f>
        <v>0</v>
      </c>
      <c r="S123" s="490">
        <f>S122*Flags!S$30</f>
        <v>0</v>
      </c>
      <c r="T123" s="490">
        <f>T122*Flags!T$30</f>
        <v>0</v>
      </c>
      <c r="U123" s="490">
        <f>U122*Flags!U$30</f>
        <v>0</v>
      </c>
      <c r="V123" s="490">
        <f>V122*Flags!V$30</f>
        <v>0</v>
      </c>
      <c r="W123" s="490">
        <f>W122*Flags!W$30</f>
        <v>0</v>
      </c>
      <c r="X123" s="490">
        <f>X122*Flags!X$30</f>
        <v>0</v>
      </c>
      <c r="Y123" s="490">
        <f>Y122*Flags!Y$30</f>
        <v>0</v>
      </c>
      <c r="Z123" s="490">
        <f>Z122*Flags!Z$30</f>
        <v>0</v>
      </c>
      <c r="AA123" s="490">
        <f>AA122*Flags!AA$30</f>
        <v>0</v>
      </c>
      <c r="AB123" s="490">
        <f>AB122*Flags!AB$30</f>
        <v>0</v>
      </c>
      <c r="AC123" s="490">
        <f>AC122*Flags!AC$30</f>
        <v>0</v>
      </c>
      <c r="AD123" s="490">
        <f>AD122*Flags!AD$30</f>
        <v>0</v>
      </c>
      <c r="AE123" s="490">
        <f>AE122*Flags!AE$30</f>
        <v>0</v>
      </c>
      <c r="AF123" s="490">
        <f>AF122*Flags!AF$30</f>
        <v>0</v>
      </c>
      <c r="AG123" s="490">
        <f>AG122*Flags!AG$30</f>
        <v>0</v>
      </c>
      <c r="AH123" s="490">
        <f>AH122*Flags!AH$30</f>
        <v>0</v>
      </c>
      <c r="AI123" s="490">
        <f>AI122*Flags!AI$30</f>
        <v>0</v>
      </c>
      <c r="AJ123" s="490">
        <f>AJ122*Flags!AJ$30</f>
        <v>0</v>
      </c>
      <c r="AK123" s="490">
        <f>AK122*Flags!AK$30</f>
        <v>0</v>
      </c>
      <c r="AL123" s="490">
        <f>AL122*Flags!AL$30</f>
        <v>0</v>
      </c>
      <c r="AM123" s="490">
        <f>AM122*Flags!AM$30</f>
        <v>0</v>
      </c>
      <c r="AN123" s="490">
        <f>AN122*Flags!AN$30</f>
        <v>0</v>
      </c>
      <c r="AO123" s="490">
        <f>AO122*Flags!AO$30</f>
        <v>0</v>
      </c>
      <c r="AP123" s="490">
        <f>AP122*Flags!AP$30</f>
        <v>0</v>
      </c>
      <c r="AQ123" s="490">
        <f>AQ122*Flags!AQ$30</f>
        <v>0</v>
      </c>
      <c r="AR123" s="490">
        <f>AR122*Flags!AR$30</f>
        <v>0</v>
      </c>
      <c r="AS123" s="490">
        <f>AS122*Flags!AS$30</f>
        <v>0</v>
      </c>
      <c r="AT123" s="490">
        <f>AT122*Flags!AT$30</f>
        <v>0</v>
      </c>
      <c r="AU123" s="490">
        <f>AU122*Flags!AU$30</f>
        <v>0</v>
      </c>
      <c r="AV123" s="490">
        <f>AV122*Flags!AV$30</f>
        <v>0</v>
      </c>
      <c r="AW123" s="490">
        <f>AW122*Flags!AW$30</f>
        <v>0</v>
      </c>
      <c r="AX123" s="490">
        <f>AX122*Flags!AX$30</f>
        <v>0</v>
      </c>
      <c r="AY123" s="490">
        <f>AY122*Flags!AY$30</f>
        <v>0</v>
      </c>
      <c r="AZ123" s="490">
        <f>AZ122*Flags!AZ$30</f>
        <v>0</v>
      </c>
      <c r="BA123" s="490">
        <f>BA122*Flags!BA$30</f>
        <v>0</v>
      </c>
      <c r="BB123" s="490">
        <f>BB122*Flags!BB$30</f>
        <v>0</v>
      </c>
      <c r="BC123" s="490">
        <f>BC122*Flags!BC$30</f>
        <v>0</v>
      </c>
      <c r="BD123" s="490">
        <f>BD122*Flags!BD$30</f>
        <v>0</v>
      </c>
      <c r="BE123" s="490">
        <f>BE122*Flags!BE$30</f>
        <v>0</v>
      </c>
      <c r="BF123" s="490">
        <f>BF122*Flags!BF$30</f>
        <v>0</v>
      </c>
      <c r="BG123" s="490">
        <f>BG122*Flags!BG$30</f>
        <v>0</v>
      </c>
      <c r="BH123" s="490">
        <f>BH122*Flags!BH$30</f>
        <v>0</v>
      </c>
      <c r="BI123" s="490">
        <f>BI122*Flags!BI$30</f>
        <v>0</v>
      </c>
      <c r="BJ123" s="490">
        <f>BJ122*Flags!BJ$30</f>
        <v>0</v>
      </c>
      <c r="BK123" s="490">
        <f>BK122*Flags!BK$30</f>
        <v>0</v>
      </c>
      <c r="BL123" s="490">
        <f>BL122*Flags!BL$30</f>
        <v>0</v>
      </c>
      <c r="BM123" s="490">
        <f>BM122*Flags!BM$30</f>
        <v>0</v>
      </c>
      <c r="BN123" s="490">
        <f>BN122*Flags!BN$30</f>
        <v>0</v>
      </c>
      <c r="BO123" s="490">
        <f>BO122*Flags!BO$30</f>
        <v>0</v>
      </c>
      <c r="BP123" s="490">
        <f>BP122*Flags!BP$30</f>
        <v>0</v>
      </c>
      <c r="BQ123" s="490">
        <f>BQ122*Flags!BQ$30</f>
        <v>0</v>
      </c>
      <c r="BR123" s="490">
        <f>BR122*Flags!BR$30</f>
        <v>0</v>
      </c>
      <c r="BS123" s="490">
        <f>BS122*Flags!BS$30</f>
        <v>0</v>
      </c>
      <c r="BT123" s="490">
        <f>BT122*Flags!BT$30</f>
        <v>0</v>
      </c>
      <c r="BU123" s="490">
        <f>BU122*Flags!BU$30</f>
        <v>0</v>
      </c>
      <c r="BV123" s="490">
        <f>BV122*Flags!BV$30</f>
        <v>0</v>
      </c>
      <c r="BW123" s="490">
        <f>BW122*Flags!BW$30</f>
        <v>0</v>
      </c>
      <c r="BX123" s="490">
        <f>BX122*Flags!BX$30</f>
        <v>0</v>
      </c>
      <c r="BY123" s="490">
        <f>BY122*Flags!BY$30</f>
        <v>0</v>
      </c>
      <c r="BZ123" s="490">
        <f>BZ122*Flags!BZ$30</f>
        <v>0</v>
      </c>
      <c r="CA123" s="490">
        <f>CA122*Flags!CA$30</f>
        <v>0</v>
      </c>
      <c r="CB123" s="490">
        <f>CB122*Flags!CB$30</f>
        <v>0</v>
      </c>
      <c r="CC123" s="490">
        <f>CC122*Flags!CC$30</f>
        <v>0</v>
      </c>
      <c r="CD123" s="490">
        <f>CD122*Flags!CD$30</f>
        <v>0</v>
      </c>
      <c r="CE123" s="490">
        <f>CE122*Flags!CE$30</f>
        <v>0</v>
      </c>
      <c r="CF123" s="490">
        <f>CF122*Flags!CF$30</f>
        <v>0</v>
      </c>
      <c r="CG123" s="490">
        <f>CG122*Flags!CG$30</f>
        <v>0</v>
      </c>
      <c r="CH123" s="490">
        <f>CH122*Flags!CH$30</f>
        <v>0</v>
      </c>
      <c r="CI123" s="490">
        <f>CI122*Flags!CI$30</f>
        <v>0</v>
      </c>
      <c r="CJ123" s="490">
        <f>CJ122*Flags!CJ$30</f>
        <v>0</v>
      </c>
      <c r="CK123" s="490">
        <f>CK122*Flags!CK$30</f>
        <v>0</v>
      </c>
      <c r="CL123" s="490">
        <f>CL122*Flags!CL$30</f>
        <v>0</v>
      </c>
      <c r="CM123" s="490">
        <f>CM122*Flags!CM$30</f>
        <v>0</v>
      </c>
      <c r="CN123" s="490">
        <f>CN122*Flags!CN$30</f>
        <v>0</v>
      </c>
      <c r="CO123" s="490">
        <f>CO122*Flags!CO$30</f>
        <v>0</v>
      </c>
      <c r="CP123" s="490">
        <f>CP122*Flags!CP$30</f>
        <v>0</v>
      </c>
      <c r="CQ123" s="490">
        <f>CQ122*Flags!CQ$30</f>
        <v>0</v>
      </c>
      <c r="CR123" s="490">
        <f>CR122*Flags!CR$30</f>
        <v>0</v>
      </c>
      <c r="CS123" s="490">
        <f>CS122*Flags!CS$30</f>
        <v>0</v>
      </c>
      <c r="CT123" s="490">
        <f>CT122*Flags!CT$30</f>
        <v>0</v>
      </c>
      <c r="CU123" s="490">
        <f>CU122*Flags!CU$30</f>
        <v>0</v>
      </c>
      <c r="CV123" s="490">
        <f>CV122*Flags!CV$30</f>
        <v>0</v>
      </c>
      <c r="CW123" s="490">
        <f>CW122*Flags!CW$30</f>
        <v>0</v>
      </c>
      <c r="CX123" s="490">
        <f>CX122*Flags!CX$30</f>
        <v>0</v>
      </c>
      <c r="CY123" s="490">
        <f>CY122*Flags!CY$30</f>
        <v>0</v>
      </c>
      <c r="CZ123" s="490">
        <f>CZ122*Flags!CZ$30</f>
        <v>0</v>
      </c>
      <c r="DA123" s="490">
        <f>DA122*Flags!DA$30</f>
        <v>0</v>
      </c>
      <c r="DB123" s="490">
        <f>DB122*Flags!DB$30</f>
        <v>10000000</v>
      </c>
      <c r="DC123" s="490">
        <f>DC122*Flags!DC$30</f>
        <v>0</v>
      </c>
      <c r="DD123" s="490">
        <f>DD122*Flags!DD$30</f>
        <v>0</v>
      </c>
      <c r="DE123" s="490">
        <f>DE122*Flags!DE$30</f>
        <v>0</v>
      </c>
      <c r="DF123" s="490">
        <f>DF122*Flags!DF$30</f>
        <v>0</v>
      </c>
      <c r="DG123" s="490">
        <f>DG122*Flags!DG$30</f>
        <v>0</v>
      </c>
      <c r="DH123" s="490">
        <f>DH122*Flags!DH$30</f>
        <v>0</v>
      </c>
      <c r="DI123" s="490">
        <f>DI122*Flags!DI$30</f>
        <v>0</v>
      </c>
      <c r="DJ123" s="490">
        <f>DJ122*Flags!DJ$30</f>
        <v>0</v>
      </c>
      <c r="DK123" s="490">
        <f>DK122*Flags!DK$30</f>
        <v>0</v>
      </c>
      <c r="DL123" s="490">
        <f>DL122*Flags!DL$30</f>
        <v>0</v>
      </c>
      <c r="DM123" s="490">
        <f>DM122*Flags!DM$30</f>
        <v>0</v>
      </c>
      <c r="DN123" s="490">
        <f>DN122*Flags!DN$30</f>
        <v>0</v>
      </c>
      <c r="DO123" s="490">
        <f>DO122*Flags!DO$30</f>
        <v>0</v>
      </c>
      <c r="DP123" s="490">
        <f>DP122*Flags!DP$30</f>
        <v>0</v>
      </c>
      <c r="DQ123" s="490">
        <f>DQ122*Flags!DQ$30</f>
        <v>0</v>
      </c>
      <c r="DR123" s="490">
        <f>DR122*Flags!DR$30</f>
        <v>0</v>
      </c>
      <c r="DS123" s="490">
        <f>DS122*Flags!DS$30</f>
        <v>0</v>
      </c>
      <c r="DT123" s="490">
        <f>DT122*Flags!DT$30</f>
        <v>0</v>
      </c>
      <c r="DU123" s="490">
        <f>DU122*Flags!DU$30</f>
        <v>0</v>
      </c>
      <c r="DV123" s="490">
        <f>DV122*Flags!DV$30</f>
        <v>0</v>
      </c>
      <c r="DW123" s="490">
        <f>DW122*Flags!DW$30</f>
        <v>0</v>
      </c>
      <c r="DX123" s="490">
        <f>DX122*Flags!DX$30</f>
        <v>0</v>
      </c>
      <c r="DY123" s="490">
        <f>DY122*Flags!DY$30</f>
        <v>0</v>
      </c>
    </row>
    <row r="124" spans="2:129">
      <c r="B124" s="44"/>
      <c r="C124" s="43" t="s">
        <v>640</v>
      </c>
      <c r="D124" s="43"/>
      <c r="E124"/>
      <c r="F124" s="126"/>
      <c r="G124" s="126"/>
      <c r="H124" s="126"/>
      <c r="I124" s="43"/>
      <c r="J124" s="490">
        <f>IF(J123=0,IF($E121="USD",I124*(1+Flags!$D$31)^(1/12)-J128,I124-J128),J123-J128)</f>
        <v>0</v>
      </c>
      <c r="K124" s="490">
        <f>IF(K123=0,IF($E121="USD",J124*(1+Flags!$D$31)^(1/12)-K128,J124-K128),K123-K128)</f>
        <v>0</v>
      </c>
      <c r="L124" s="490">
        <f>IF(L123=0,IF($E121="USD",K124*(1+Flags!$D$31)^(1/12)-L128,K124-L128),L123-L128)</f>
        <v>0</v>
      </c>
      <c r="M124" s="490">
        <f>IF(M123=0,IF($E121="USD",L124*(1+Flags!$D$31)^(1/12)-M128,L124-M128),M123-M128)</f>
        <v>0</v>
      </c>
      <c r="N124" s="490">
        <f>IF(N123=0,IF($E121="USD",M124*(1+Flags!$D$31)^(1/12)-N128,M124-N128),N123-N128)</f>
        <v>0</v>
      </c>
      <c r="O124" s="490">
        <f>IF(O123=0,IF($E121="USD",N124*(1+Flags!$D$31)^(1/12)-O128,N124-O128),O123-O128)</f>
        <v>0</v>
      </c>
      <c r="P124" s="490">
        <f>IF(P123=0,IF($E121="USD",O124*(1+Flags!$D$31)^(1/12)-P128,O124-P128),P123-P128)</f>
        <v>0</v>
      </c>
      <c r="Q124" s="490">
        <f>IF(Q123=0,IF($E121="USD",P124*(1+Flags!$D$31)^(1/12)-Q128,P124-Q128),Q123-Q128)</f>
        <v>0</v>
      </c>
      <c r="R124" s="490">
        <f>IF(R123=0,IF($E121="USD",Q124*(1+Flags!$D$31)^(1/12)-R128,Q124-R128),R123-R128)</f>
        <v>0</v>
      </c>
      <c r="S124" s="490">
        <f>IF(S123=0,IF($E121="USD",R124*(1+Flags!$D$31)^(1/12)-S128,R124-S128),S123-S128)</f>
        <v>0</v>
      </c>
      <c r="T124" s="490">
        <f>IF(T123=0,IF($E121="USD",S124*(1+Flags!$D$31)^(1/12)-T128,S124-T128),T123-T128)</f>
        <v>0</v>
      </c>
      <c r="U124" s="490">
        <f>IF(U123=0,IF($E121="USD",T124*(1+Flags!$D$31)^(1/12)-U128,T124-U128),U123-U128)</f>
        <v>0</v>
      </c>
      <c r="V124" s="490">
        <f>IF(V123=0,IF($E121="USD",U124*(1+Flags!$D$31)^(1/12)-V128,U124-V128),V123-V128)</f>
        <v>0</v>
      </c>
      <c r="W124" s="490">
        <f>IF(W123=0,IF($E121="USD",V124*(1+Flags!$D$31)^(1/12)-W128,V124-W128),W123-W128)</f>
        <v>0</v>
      </c>
      <c r="X124" s="490">
        <f>IF(X123=0,IF($E121="USD",W124*(1+Flags!$D$31)^(1/12)-X128,W124-X128),X123-X128)</f>
        <v>0</v>
      </c>
      <c r="Y124" s="490">
        <f>IF(Y123=0,IF($E121="USD",X124*(1+Flags!$D$31)^(1/12)-Y128,X124-Y128),Y123-Y128)</f>
        <v>0</v>
      </c>
      <c r="Z124" s="490">
        <f>IF(Z123=0,IF($E121="USD",Y124*(1+Flags!$D$31)^(1/12)-Z128,Y124-Z128),Z123-Z128)</f>
        <v>0</v>
      </c>
      <c r="AA124" s="490">
        <f>IF(AA123=0,IF($E121="USD",Z124*(1+Flags!$D$31)^(1/12)-AA128,Z124-AA128),AA123-AA128)</f>
        <v>0</v>
      </c>
      <c r="AB124" s="490">
        <f>IF(AB123=0,IF($E121="USD",AA124*(1+Flags!$D$31)^(1/12)-AB128,AA124-AB128),AB123-AB128)</f>
        <v>0</v>
      </c>
      <c r="AC124" s="490">
        <f>IF(AC123=0,IF($E121="USD",AB124*(1+Flags!$D$31)^(1/12)-AC128,AB124-AC128),AC123-AC128)</f>
        <v>0</v>
      </c>
      <c r="AD124" s="490">
        <f>IF(AD123=0,IF($E121="USD",AC124*(1+Flags!$D$31)^(1/12)-AD128,AC124-AD128),AD123-AD128)</f>
        <v>0</v>
      </c>
      <c r="AE124" s="490">
        <f>IF(AE123=0,IF($E121="USD",AD124*(1+Flags!$D$31)^(1/12)-AE128,AD124-AE128),AE123-AE128)</f>
        <v>0</v>
      </c>
      <c r="AF124" s="490">
        <f>IF(AF123=0,IF($E121="USD",AE124*(1+Flags!$D$31)^(1/12)-AF128,AE124-AF128),AF123-AF128)</f>
        <v>0</v>
      </c>
      <c r="AG124" s="490">
        <f>IF(AG123=0,IF($E121="USD",AF124*(1+Flags!$D$31)^(1/12)-AG128,AF124-AG128),AG123-AG128)</f>
        <v>0</v>
      </c>
      <c r="AH124" s="490">
        <f>IF(AH123=0,IF($E121="USD",AG124*(1+Flags!$D$31)^(1/12)-AH128,AG124-AH128),AH123-AH128)</f>
        <v>0</v>
      </c>
      <c r="AI124" s="490">
        <f>IF(AI123=0,IF($E121="USD",AH124*(1+Flags!$D$31)^(1/12)-AI128,AH124-AI128),AI123-AI128)</f>
        <v>0</v>
      </c>
      <c r="AJ124" s="490">
        <f>IF(AJ123=0,IF($E121="USD",AI124*(1+Flags!$D$31)^(1/12)-AJ128,AI124-AJ128),AJ123-AJ128)</f>
        <v>0</v>
      </c>
      <c r="AK124" s="490">
        <f>IF(AK123=0,IF($E121="USD",AJ124*(1+Flags!$D$31)^(1/12)-AK128,AJ124-AK128),AK123-AK128)</f>
        <v>0</v>
      </c>
      <c r="AL124" s="490">
        <f>IF(AL123=0,IF($E121="USD",AK124*(1+Flags!$D$31)^(1/12)-AL128,AK124-AL128),AL123-AL128)</f>
        <v>0</v>
      </c>
      <c r="AM124" s="490">
        <f>IF(AM123=0,IF($E121="USD",AL124*(1+Flags!$D$31)^(1/12)-AM128,AL124-AM128),AM123-AM128)</f>
        <v>0</v>
      </c>
      <c r="AN124" s="490">
        <f>IF(AN123=0,IF($E121="USD",AM124*(1+Flags!$D$31)^(1/12)-AN128,AM124-AN128),AN123-AN128)</f>
        <v>0</v>
      </c>
      <c r="AO124" s="490">
        <f>IF(AO123=0,IF($E121="USD",AN124*(1+Flags!$D$31)^(1/12)-AO128,AN124-AO128),AO123-AO128)</f>
        <v>0</v>
      </c>
      <c r="AP124" s="490">
        <f>IF(AP123=0,IF($E121="USD",AO124*(1+Flags!$D$31)^(1/12)-AP128,AO124-AP128),AP123-AP128)</f>
        <v>0</v>
      </c>
      <c r="AQ124" s="490">
        <f>IF(AQ123=0,IF($E121="USD",AP124*(1+Flags!$D$31)^(1/12)-AQ128,AP124-AQ128),AQ123-AQ128)</f>
        <v>0</v>
      </c>
      <c r="AR124" s="490">
        <f>IF(AR123=0,IF($E121="USD",AQ124*(1+Flags!$D$31)^(1/12)-AR128,AQ124-AR128),AR123-AR128)</f>
        <v>0</v>
      </c>
      <c r="AS124" s="490">
        <f>IF(AS123=0,IF($E121="USD",AR124*(1+Flags!$D$31)^(1/12)-AS128,AR124-AS128),AS123-AS128)</f>
        <v>0</v>
      </c>
      <c r="AT124" s="490">
        <f>IF(AT123=0,IF($E121="USD",AS124*(1+Flags!$D$31)^(1/12)-AT128,AS124-AT128),AT123-AT128)</f>
        <v>0</v>
      </c>
      <c r="AU124" s="490">
        <f>IF(AU123=0,IF($E121="USD",AT124*(1+Flags!$D$31)^(1/12)-AU128,AT124-AU128),AU123-AU128)</f>
        <v>0</v>
      </c>
      <c r="AV124" s="490">
        <f>IF(AV123=0,IF($E121="USD",AU124*(1+Flags!$D$31)^(1/12)-AV128,AU124-AV128),AV123-AV128)</f>
        <v>0</v>
      </c>
      <c r="AW124" s="490">
        <f>IF(AW123=0,IF($E121="USD",AV124*(1+Flags!$D$31)^(1/12)-AW128,AV124-AW128),AW123-AW128)</f>
        <v>0</v>
      </c>
      <c r="AX124" s="490">
        <f>IF(AX123=0,IF($E121="USD",AW124*(1+Flags!$D$31)^(1/12)-AX128,AW124-AX128),AX123-AX128)</f>
        <v>0</v>
      </c>
      <c r="AY124" s="490">
        <f>IF(AY123=0,IF($E121="USD",AX124*(1+Flags!$D$31)^(1/12)-AY128,AX124-AY128),AY123-AY128)</f>
        <v>0</v>
      </c>
      <c r="AZ124" s="490">
        <f>IF(AZ123=0,IF($E121="USD",AY124*(1+Flags!$D$31)^(1/12)-AZ128,AY124-AZ128),AZ123-AZ128)</f>
        <v>0</v>
      </c>
      <c r="BA124" s="490">
        <f>IF(BA123=0,IF($E121="USD",AZ124*(1+Flags!$D$31)^(1/12)-BA128,AZ124-BA128),BA123-BA128)</f>
        <v>0</v>
      </c>
      <c r="BB124" s="490">
        <f>IF(BB123=0,IF($E121="USD",BA124*(1+Flags!$D$31)^(1/12)-BB128,BA124-BB128),BB123-BB128)</f>
        <v>0</v>
      </c>
      <c r="BC124" s="490">
        <f>IF(BC123=0,IF($E121="USD",BB124*(1+Flags!$D$31)^(1/12)-BC128,BB124-BC128),BC123-BC128)</f>
        <v>0</v>
      </c>
      <c r="BD124" s="490">
        <f>IF(BD123=0,IF($E121="USD",BC124*(1+Flags!$D$31)^(1/12)-BD128,BC124-BD128),BD123-BD128)</f>
        <v>0</v>
      </c>
      <c r="BE124" s="490">
        <f>IF(BE123=0,IF($E121="USD",BD124*(1+Flags!$D$31)^(1/12)-BE128,BD124-BE128),BE123-BE128)</f>
        <v>0</v>
      </c>
      <c r="BF124" s="490">
        <f>IF(BF123=0,IF($E121="USD",BE124*(1+Flags!$D$31)^(1/12)-BF128,BE124-BF128),BF123-BF128)</f>
        <v>0</v>
      </c>
      <c r="BG124" s="490">
        <f>IF(BG123=0,IF($E121="USD",BF124*(1+Flags!$D$31)^(1/12)-BG128,BF124-BG128),BG123-BG128)</f>
        <v>0</v>
      </c>
      <c r="BH124" s="490">
        <f>IF(BH123=0,IF($E121="USD",BG124*(1+Flags!$D$31)^(1/12)-BH128,BG124-BH128),BH123-BH128)</f>
        <v>0</v>
      </c>
      <c r="BI124" s="490">
        <f>IF(BI123=0,IF($E121="USD",BH124*(1+Flags!$D$31)^(1/12)-BI128,BH124-BI128),BI123-BI128)</f>
        <v>0</v>
      </c>
      <c r="BJ124" s="490">
        <f>IF(BJ123=0,IF($E121="USD",BI124*(1+Flags!$D$31)^(1/12)-BJ128,BI124-BJ128),BJ123-BJ128)</f>
        <v>0</v>
      </c>
      <c r="BK124" s="490">
        <f>IF(BK123=0,IF($E121="USD",BJ124*(1+Flags!$D$31)^(1/12)-BK128,BJ124-BK128),BK123-BK128)</f>
        <v>0</v>
      </c>
      <c r="BL124" s="490">
        <f>IF(BL123=0,IF($E121="USD",BK124*(1+Flags!$D$31)^(1/12)-BL128,BK124-BL128),BL123-BL128)</f>
        <v>0</v>
      </c>
      <c r="BM124" s="490">
        <f>IF(BM123=0,IF($E121="USD",BL124*(1+Flags!$D$31)^(1/12)-BM128,BL124-BM128),BM123-BM128)</f>
        <v>0</v>
      </c>
      <c r="BN124" s="490">
        <f>IF(BN123=0,IF($E121="USD",BM124*(1+Flags!$D$31)^(1/12)-BN128,BM124-BN128),BN123-BN128)</f>
        <v>0</v>
      </c>
      <c r="BO124" s="490">
        <f>IF(BO123=0,IF($E121="USD",BN124*(1+Flags!$D$31)^(1/12)-BO128,BN124-BO128),BO123-BO128)</f>
        <v>0</v>
      </c>
      <c r="BP124" s="490">
        <f>IF(BP123=0,IF($E121="USD",BO124*(1+Flags!$D$31)^(1/12)-BP128,BO124-BP128),BP123-BP128)</f>
        <v>0</v>
      </c>
      <c r="BQ124" s="490">
        <f>IF(BQ123=0,IF($E121="USD",BP124*(1+Flags!$D$31)^(1/12)-BQ128,BP124-BQ128),BQ123-BQ128)</f>
        <v>0</v>
      </c>
      <c r="BR124" s="490">
        <f>IF(BR123=0,IF($E121="USD",BQ124*(1+Flags!$D$31)^(1/12)-BR128,BQ124-BR128),BR123-BR128)</f>
        <v>0</v>
      </c>
      <c r="BS124" s="490">
        <f>IF(BS123=0,IF($E121="USD",BR124*(1+Flags!$D$31)^(1/12)-BS128,BR124-BS128),BS123-BS128)</f>
        <v>0</v>
      </c>
      <c r="BT124" s="490">
        <f>IF(BT123=0,IF($E121="USD",BS124*(1+Flags!$D$31)^(1/12)-BT128,BS124-BT128),BT123-BT128)</f>
        <v>0</v>
      </c>
      <c r="BU124" s="490">
        <f>IF(BU123=0,IF($E121="USD",BT124*(1+Flags!$D$31)^(1/12)-BU128,BT124-BU128),BU123-BU128)</f>
        <v>0</v>
      </c>
      <c r="BV124" s="490">
        <f>IF(BV123=0,IF($E121="USD",BU124*(1+Flags!$D$31)^(1/12)-BV128,BU124-BV128),BV123-BV128)</f>
        <v>0</v>
      </c>
      <c r="BW124" s="490">
        <f>IF(BW123=0,IF($E121="USD",BV124*(1+Flags!$D$31)^(1/12)-BW128,BV124-BW128),BW123-BW128)</f>
        <v>0</v>
      </c>
      <c r="BX124" s="490">
        <f>IF(BX123=0,IF($E121="USD",BW124*(1+Flags!$D$31)^(1/12)-BX128,BW124-BX128),BX123-BX128)</f>
        <v>0</v>
      </c>
      <c r="BY124" s="490">
        <f>IF(BY123=0,IF($E121="USD",BX124*(1+Flags!$D$31)^(1/12)-BY128,BX124-BY128),BY123-BY128)</f>
        <v>0</v>
      </c>
      <c r="BZ124" s="490">
        <f>IF(BZ123=0,IF($E121="USD",BY124*(1+Flags!$D$31)^(1/12)-BZ128,BY124-BZ128),BZ123-BZ128)</f>
        <v>0</v>
      </c>
      <c r="CA124" s="490">
        <f>IF(CA123=0,IF($E121="USD",BZ124*(1+Flags!$D$31)^(1/12)-CA128,BZ124-CA128),CA123-CA128)</f>
        <v>0</v>
      </c>
      <c r="CB124" s="490">
        <f>IF(CB123=0,IF($E121="USD",CA124*(1+Flags!$D$31)^(1/12)-CB128,CA124-CB128),CB123-CB128)</f>
        <v>0</v>
      </c>
      <c r="CC124" s="490">
        <f>IF(CC123=0,IF($E121="USD",CB124*(1+Flags!$D$31)^(1/12)-CC128,CB124-CC128),CC123-CC128)</f>
        <v>0</v>
      </c>
      <c r="CD124" s="490">
        <f>IF(CD123=0,IF($E121="USD",CC124*(1+Flags!$D$31)^(1/12)-CD128,CC124-CD128),CD123-CD128)</f>
        <v>0</v>
      </c>
      <c r="CE124" s="490">
        <f>IF(CE123=0,IF($E121="USD",CD124*(1+Flags!$D$31)^(1/12)-CE128,CD124-CE128),CE123-CE128)</f>
        <v>0</v>
      </c>
      <c r="CF124" s="490">
        <f>IF(CF123=0,IF($E121="USD",CE124*(1+Flags!$D$31)^(1/12)-CF128,CE124-CF128),CF123-CF128)</f>
        <v>0</v>
      </c>
      <c r="CG124" s="490">
        <f>IF(CG123=0,IF($E121="USD",CF124*(1+Flags!$D$31)^(1/12)-CG128,CF124-CG128),CG123-CG128)</f>
        <v>0</v>
      </c>
      <c r="CH124" s="490">
        <f>IF(CH123=0,IF($E121="USD",CG124*(1+Flags!$D$31)^(1/12)-CH128,CG124-CH128),CH123-CH128)</f>
        <v>0</v>
      </c>
      <c r="CI124" s="490">
        <f>IF(CI123=0,IF($E121="USD",CH124*(1+Flags!$D$31)^(1/12)-CI128,CH124-CI128),CI123-CI128)</f>
        <v>0</v>
      </c>
      <c r="CJ124" s="490">
        <f>IF(CJ123=0,IF($E121="USD",CI124*(1+Flags!$D$31)^(1/12)-CJ128,CI124-CJ128),CJ123-CJ128)</f>
        <v>0</v>
      </c>
      <c r="CK124" s="490">
        <f>IF(CK123=0,IF($E121="USD",CJ124*(1+Flags!$D$31)^(1/12)-CK128,CJ124-CK128),CK123-CK128)</f>
        <v>0</v>
      </c>
      <c r="CL124" s="490">
        <f>IF(CL123=0,IF($E121="USD",CK124*(1+Flags!$D$31)^(1/12)-CL128,CK124-CL128),CL123-CL128)</f>
        <v>0</v>
      </c>
      <c r="CM124" s="490">
        <f>IF(CM123=0,IF($E121="USD",CL124*(1+Flags!$D$31)^(1/12)-CM128,CL124-CM128),CM123-CM128)</f>
        <v>0</v>
      </c>
      <c r="CN124" s="490">
        <f>IF(CN123=0,IF($E121="USD",CM124*(1+Flags!$D$31)^(1/12)-CN128,CM124-CN128),CN123-CN128)</f>
        <v>0</v>
      </c>
      <c r="CO124" s="490">
        <f>IF(CO123=0,IF($E121="USD",CN124*(1+Flags!$D$31)^(1/12)-CO128,CN124-CO128),CO123-CO128)</f>
        <v>0</v>
      </c>
      <c r="CP124" s="490">
        <f>IF(CP123=0,IF($E121="USD",CO124*(1+Flags!$D$31)^(1/12)-CP128,CO124-CP128),CP123-CP128)</f>
        <v>0</v>
      </c>
      <c r="CQ124" s="490">
        <f>IF(CQ123=0,IF($E121="USD",CP124*(1+Flags!$D$31)^(1/12)-CQ128,CP124-CQ128),CQ123-CQ128)</f>
        <v>0</v>
      </c>
      <c r="CR124" s="490">
        <f>IF(CR123=0,IF($E121="USD",CQ124*(1+Flags!$D$31)^(1/12)-CR128,CQ124-CR128),CR123-CR128)</f>
        <v>0</v>
      </c>
      <c r="CS124" s="490">
        <f>IF(CS123=0,IF($E121="USD",CR124*(1+Flags!$D$31)^(1/12)-CS128,CR124-CS128),CS123-CS128)</f>
        <v>0</v>
      </c>
      <c r="CT124" s="490">
        <f>IF(CT123=0,IF($E121="USD",CS124*(1+Flags!$D$31)^(1/12)-CT128,CS124-CT128),CT123-CT128)</f>
        <v>0</v>
      </c>
      <c r="CU124" s="490">
        <f>IF(CU123=0,IF($E121="USD",CT124*(1+Flags!$D$31)^(1/12)-CU128,CT124-CU128),CU123-CU128)</f>
        <v>0</v>
      </c>
      <c r="CV124" s="490">
        <f>IF(CV123=0,IF($E121="USD",CU124*(1+Flags!$D$31)^(1/12)-CV128,CU124-CV128),CV123-CV128)</f>
        <v>0</v>
      </c>
      <c r="CW124" s="490">
        <f>IF(CW123=0,IF($E121="USD",CV124*(1+Flags!$D$31)^(1/12)-CW128,CV124-CW128),CW123-CW128)</f>
        <v>0</v>
      </c>
      <c r="CX124" s="490">
        <f>IF(CX123=0,IF($E121="USD",CW124*(1+Flags!$D$31)^(1/12)-CX128,CW124-CX128),CX123-CX128)</f>
        <v>0</v>
      </c>
      <c r="CY124" s="490">
        <f>IF(CY123=0,IF($E121="USD",CX124*(1+Flags!$D$31)^(1/12)-CY128,CX124-CY128),CY123-CY128)</f>
        <v>0</v>
      </c>
      <c r="CZ124" s="490">
        <f>IF(CZ123=0,IF($E121="USD",CY124*(1+Flags!$D$31)^(1/12)-CZ128,CY124-CZ128),CZ123-CZ128)</f>
        <v>0</v>
      </c>
      <c r="DA124" s="490">
        <f>IF(DA123=0,IF($E121="USD",CZ124*(1+Flags!$D$31)^(1/12)-DA128,CZ124-DA128),DA123-DA128)</f>
        <v>0</v>
      </c>
      <c r="DB124" s="490">
        <f>IF(DB123=0,IF($E121="USD",DA124*(1+Flags!$D$31)^(1/12)-DB128,DA124-DB128),DB123-DB128)</f>
        <v>10000000</v>
      </c>
      <c r="DC124" s="490">
        <f>IF(DC123=0,IF($E121="USD",DB124*(1+Flags!$D$31)^(1/12)-DC128,DB124-DC128),DC123-DC128)</f>
        <v>10000000</v>
      </c>
      <c r="DD124" s="490">
        <f>IF(DD123=0,IF($E121="USD",DC124*(1+Flags!$D$31)^(1/12)-DD128,DC124-DD128),DD123-DD128)</f>
        <v>10000000</v>
      </c>
      <c r="DE124" s="490">
        <f>IF(DE123=0,IF($E121="USD",DD124*(1+Flags!$D$31)^(1/12)-DE128,DD124-DE128),DE123-DE128)</f>
        <v>10000000</v>
      </c>
      <c r="DF124" s="490">
        <f>IF(DF123=0,IF($E121="USD",DE124*(1+Flags!$D$31)^(1/12)-DF128,DE124-DF128),DF123-DF128)</f>
        <v>10000000</v>
      </c>
      <c r="DG124" s="490">
        <f>IF(DG123=0,IF($E121="USD",DF124*(1+Flags!$D$31)^(1/12)-DG128,DF124-DG128),DG123-DG128)</f>
        <v>10000000</v>
      </c>
      <c r="DH124" s="490">
        <f>IF(DH123=0,IF($E121="USD",DG124*(1+Flags!$D$31)^(1/12)-DH128,DG124-DH128),DH123-DH128)</f>
        <v>9814814.8148148153</v>
      </c>
      <c r="DI124" s="490">
        <f>IF(DI123=0,IF($E121="USD",DH124*(1+Flags!$D$31)^(1/12)-DI128,DH124-DI128),DI123-DI128)</f>
        <v>9629629.6296296306</v>
      </c>
      <c r="DJ124" s="490">
        <f>IF(DJ123=0,IF($E121="USD",DI124*(1+Flags!$D$31)^(1/12)-DJ128,DI124-DJ128),DJ123-DJ128)</f>
        <v>9444444.4444444459</v>
      </c>
      <c r="DK124" s="490">
        <f>IF(DK123=0,IF($E121="USD",DJ124*(1+Flags!$D$31)^(1/12)-DK128,DJ124-DK128),DK123-DK128)</f>
        <v>9259259.2592592612</v>
      </c>
      <c r="DL124" s="490">
        <f>IF(DL123=0,IF($E121="USD",DK124*(1+Flags!$D$31)^(1/12)-DL128,DK124-DL128),DL123-DL128)</f>
        <v>9074074.0740740765</v>
      </c>
      <c r="DM124" s="490">
        <f>IF(DM123=0,IF($E121="USD",DL124*(1+Flags!$D$31)^(1/12)-DM128,DL124-DM128),DM123-DM128)</f>
        <v>8888888.8888888918</v>
      </c>
      <c r="DN124" s="490">
        <f>IF(DN123=0,IF($E121="USD",DM124*(1+Flags!$D$31)^(1/12)-DN128,DM124-DN128),DN123-DN128)</f>
        <v>8703703.7037037071</v>
      </c>
      <c r="DO124" s="490">
        <f>IF(DO123=0,IF($E121="USD",DN124*(1+Flags!$D$31)^(1/12)-DO128,DN124-DO128),DO123-DO128)</f>
        <v>8518518.5185185224</v>
      </c>
      <c r="DP124" s="490">
        <f>IF(DP123=0,IF($E121="USD",DO124*(1+Flags!$D$31)^(1/12)-DP128,DO124-DP128),DP123-DP128)</f>
        <v>8333333.3333333377</v>
      </c>
      <c r="DQ124" s="490">
        <f>IF(DQ123=0,IF($E121="USD",DP124*(1+Flags!$D$31)^(1/12)-DQ128,DP124-DQ128),DQ123-DQ128)</f>
        <v>8148148.148148153</v>
      </c>
      <c r="DR124" s="490">
        <f>IF(DR123=0,IF($E121="USD",DQ124*(1+Flags!$D$31)^(1/12)-DR128,DQ124-DR128),DR123-DR128)</f>
        <v>7962962.9629629683</v>
      </c>
      <c r="DS124" s="490">
        <f>IF(DS123=0,IF($E121="USD",DR124*(1+Flags!$D$31)^(1/12)-DS128,DR124-DS128),DS123-DS128)</f>
        <v>7777777.7777777836</v>
      </c>
      <c r="DT124" s="490">
        <f>IF(DT123=0,IF($E121="USD",DS124*(1+Flags!$D$31)^(1/12)-DT128,DS124-DT128),DT123-DT128)</f>
        <v>7592592.5925925989</v>
      </c>
      <c r="DU124" s="490">
        <f>IF(DU123=0,IF($E121="USD",DT124*(1+Flags!$D$31)^(1/12)-DU128,DT124-DU128),DU123-DU128)</f>
        <v>7407407.4074074142</v>
      </c>
      <c r="DV124" s="490">
        <f>IF(DV123=0,IF($E121="USD",DU124*(1+Flags!$D$31)^(1/12)-DV128,DU124-DV128),DV123-DV128)</f>
        <v>7222222.2222222295</v>
      </c>
      <c r="DW124" s="490">
        <f>IF(DW123=0,IF($E121="USD",DV124*(1+Flags!$D$31)^(1/12)-DW128,DV124-DW128),DW123-DW128)</f>
        <v>7037037.0370370448</v>
      </c>
      <c r="DX124" s="490">
        <f>IF(DX123=0,IF($E121="USD",DW124*(1+Flags!$D$31)^(1/12)-DX128,DW124-DX128),DX123-DX128)</f>
        <v>6851851.8518518601</v>
      </c>
      <c r="DY124" s="490">
        <f>IF(DY123=0,IF($E121="USD",DX124*(1+Flags!$D$31)^(1/12)-DY128,DX124-DY128),DY123-DY128)</f>
        <v>6666666.6666666754</v>
      </c>
    </row>
    <row r="125" spans="2:129">
      <c r="B125" s="44"/>
      <c r="C125" s="43" t="s">
        <v>388</v>
      </c>
      <c r="D125" s="43"/>
      <c r="E125" s="482">
        <f>+'Model Assumptions'!L138</f>
        <v>18518.518518518518</v>
      </c>
      <c r="F125" s="126"/>
      <c r="G125" s="126"/>
      <c r="H125" s="126"/>
      <c r="I125" s="43"/>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row>
    <row r="126" spans="2:129">
      <c r="B126" s="43"/>
      <c r="C126" s="43" t="s">
        <v>87</v>
      </c>
      <c r="D126" s="43"/>
      <c r="E126" s="483">
        <f>+'Model Assumptions'!L139</f>
        <v>0.5</v>
      </c>
      <c r="F126" s="129"/>
      <c r="G126" s="129"/>
      <c r="H126" s="129"/>
      <c r="I126" s="43"/>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row>
    <row r="127" spans="2:129">
      <c r="B127" s="43"/>
      <c r="C127" s="43" t="s">
        <v>395</v>
      </c>
      <c r="D127" s="43"/>
      <c r="E127" s="484">
        <f>+'Model Assumptions'!L140</f>
        <v>5</v>
      </c>
      <c r="F127" s="130"/>
      <c r="G127" s="130"/>
      <c r="H127" s="130"/>
      <c r="I127" s="43"/>
      <c r="J127" s="46">
        <f t="shared" ref="J127:AO127" si="107">+IF(AND(J$1&gt;=DATE(YEAR($E120), MONTH($E120) + $E126*12, DAY($E120)),J$1&lt;DATE(YEAR($E120), MONTH($E120) + $E127*12, DAY($E120))),$E125,0)</f>
        <v>0</v>
      </c>
      <c r="K127" s="46">
        <f t="shared" si="107"/>
        <v>0</v>
      </c>
      <c r="L127" s="46">
        <f t="shared" si="107"/>
        <v>0</v>
      </c>
      <c r="M127" s="46">
        <f t="shared" si="107"/>
        <v>0</v>
      </c>
      <c r="N127" s="46">
        <f t="shared" si="107"/>
        <v>0</v>
      </c>
      <c r="O127" s="46">
        <f t="shared" si="107"/>
        <v>0</v>
      </c>
      <c r="P127" s="46">
        <f t="shared" si="107"/>
        <v>0</v>
      </c>
      <c r="Q127" s="46">
        <f t="shared" si="107"/>
        <v>0</v>
      </c>
      <c r="R127" s="46">
        <f t="shared" si="107"/>
        <v>0</v>
      </c>
      <c r="S127" s="46">
        <f t="shared" si="107"/>
        <v>0</v>
      </c>
      <c r="T127" s="46">
        <f t="shared" si="107"/>
        <v>0</v>
      </c>
      <c r="U127" s="46">
        <f t="shared" si="107"/>
        <v>0</v>
      </c>
      <c r="V127" s="46">
        <f t="shared" si="107"/>
        <v>0</v>
      </c>
      <c r="W127" s="46">
        <f t="shared" si="107"/>
        <v>0</v>
      </c>
      <c r="X127" s="46">
        <f t="shared" si="107"/>
        <v>0</v>
      </c>
      <c r="Y127" s="46">
        <f t="shared" si="107"/>
        <v>0</v>
      </c>
      <c r="Z127" s="46">
        <f t="shared" si="107"/>
        <v>0</v>
      </c>
      <c r="AA127" s="46">
        <f t="shared" si="107"/>
        <v>0</v>
      </c>
      <c r="AB127" s="46">
        <f t="shared" si="107"/>
        <v>0</v>
      </c>
      <c r="AC127" s="46">
        <f t="shared" si="107"/>
        <v>0</v>
      </c>
      <c r="AD127" s="46">
        <f t="shared" si="107"/>
        <v>0</v>
      </c>
      <c r="AE127" s="46">
        <f t="shared" si="107"/>
        <v>0</v>
      </c>
      <c r="AF127" s="46">
        <f t="shared" si="107"/>
        <v>0</v>
      </c>
      <c r="AG127" s="46">
        <f t="shared" si="107"/>
        <v>0</v>
      </c>
      <c r="AH127" s="46">
        <f t="shared" si="107"/>
        <v>0</v>
      </c>
      <c r="AI127" s="46">
        <f t="shared" si="107"/>
        <v>0</v>
      </c>
      <c r="AJ127" s="46">
        <f t="shared" si="107"/>
        <v>0</v>
      </c>
      <c r="AK127" s="46">
        <f t="shared" si="107"/>
        <v>0</v>
      </c>
      <c r="AL127" s="46">
        <f t="shared" si="107"/>
        <v>0</v>
      </c>
      <c r="AM127" s="46">
        <f t="shared" si="107"/>
        <v>0</v>
      </c>
      <c r="AN127" s="46">
        <f t="shared" si="107"/>
        <v>0</v>
      </c>
      <c r="AO127" s="46">
        <f t="shared" si="107"/>
        <v>0</v>
      </c>
      <c r="AP127" s="46">
        <f t="shared" ref="AP127:BU127" si="108">+IF(AND(AP$1&gt;=DATE(YEAR($E120), MONTH($E120) + $E126*12, DAY($E120)),AP$1&lt;DATE(YEAR($E120), MONTH($E120) + $E127*12, DAY($E120))),$E125,0)</f>
        <v>0</v>
      </c>
      <c r="AQ127" s="46">
        <f t="shared" si="108"/>
        <v>0</v>
      </c>
      <c r="AR127" s="46">
        <f t="shared" si="108"/>
        <v>0</v>
      </c>
      <c r="AS127" s="46">
        <f t="shared" si="108"/>
        <v>0</v>
      </c>
      <c r="AT127" s="46">
        <f t="shared" si="108"/>
        <v>0</v>
      </c>
      <c r="AU127" s="46">
        <f t="shared" si="108"/>
        <v>0</v>
      </c>
      <c r="AV127" s="46">
        <f t="shared" si="108"/>
        <v>0</v>
      </c>
      <c r="AW127" s="46">
        <f t="shared" si="108"/>
        <v>0</v>
      </c>
      <c r="AX127" s="46">
        <f t="shared" si="108"/>
        <v>0</v>
      </c>
      <c r="AY127" s="46">
        <f t="shared" si="108"/>
        <v>0</v>
      </c>
      <c r="AZ127" s="46">
        <f t="shared" si="108"/>
        <v>0</v>
      </c>
      <c r="BA127" s="46">
        <f t="shared" si="108"/>
        <v>0</v>
      </c>
      <c r="BB127" s="46">
        <f t="shared" si="108"/>
        <v>0</v>
      </c>
      <c r="BC127" s="46">
        <f t="shared" si="108"/>
        <v>0</v>
      </c>
      <c r="BD127" s="46">
        <f t="shared" si="108"/>
        <v>0</v>
      </c>
      <c r="BE127" s="46">
        <f t="shared" si="108"/>
        <v>0</v>
      </c>
      <c r="BF127" s="46">
        <f t="shared" si="108"/>
        <v>0</v>
      </c>
      <c r="BG127" s="46">
        <f t="shared" si="108"/>
        <v>0</v>
      </c>
      <c r="BH127" s="46">
        <f t="shared" si="108"/>
        <v>0</v>
      </c>
      <c r="BI127" s="46">
        <f t="shared" si="108"/>
        <v>0</v>
      </c>
      <c r="BJ127" s="46">
        <f t="shared" si="108"/>
        <v>0</v>
      </c>
      <c r="BK127" s="46">
        <f t="shared" si="108"/>
        <v>0</v>
      </c>
      <c r="BL127" s="46">
        <f t="shared" si="108"/>
        <v>0</v>
      </c>
      <c r="BM127" s="46">
        <f t="shared" si="108"/>
        <v>0</v>
      </c>
      <c r="BN127" s="46">
        <f t="shared" si="108"/>
        <v>0</v>
      </c>
      <c r="BO127" s="46">
        <f t="shared" si="108"/>
        <v>0</v>
      </c>
      <c r="BP127" s="46">
        <f t="shared" si="108"/>
        <v>0</v>
      </c>
      <c r="BQ127" s="46">
        <f t="shared" si="108"/>
        <v>0</v>
      </c>
      <c r="BR127" s="46">
        <f t="shared" si="108"/>
        <v>0</v>
      </c>
      <c r="BS127" s="46">
        <f t="shared" si="108"/>
        <v>0</v>
      </c>
      <c r="BT127" s="46">
        <f t="shared" si="108"/>
        <v>0</v>
      </c>
      <c r="BU127" s="46">
        <f t="shared" si="108"/>
        <v>0</v>
      </c>
      <c r="BV127" s="46">
        <f t="shared" ref="BV127:CC127" si="109">+IF(AND(BV$1&gt;=DATE(YEAR($E120), MONTH($E120) + $E126*12, DAY($E120)),BV$1&lt;DATE(YEAR($E120), MONTH($E120) + $E127*12, DAY($E120))),$E125,0)</f>
        <v>0</v>
      </c>
      <c r="BW127" s="46">
        <f t="shared" si="109"/>
        <v>0</v>
      </c>
      <c r="BX127" s="46">
        <f t="shared" si="109"/>
        <v>0</v>
      </c>
      <c r="BY127" s="46">
        <f t="shared" si="109"/>
        <v>0</v>
      </c>
      <c r="BZ127" s="46">
        <f t="shared" si="109"/>
        <v>0</v>
      </c>
      <c r="CA127" s="46">
        <f t="shared" si="109"/>
        <v>0</v>
      </c>
      <c r="CB127" s="46">
        <f t="shared" si="109"/>
        <v>0</v>
      </c>
      <c r="CC127" s="46">
        <f t="shared" si="109"/>
        <v>0</v>
      </c>
      <c r="CD127" s="46">
        <f t="shared" ref="CD127:DY127" si="110">+IF(AND(CD$1&gt;=DATE(YEAR($E120), MONTH($E120) + $E126*12, DAY($E120)),CD$1&lt;DATE(YEAR($E120), MONTH($E120) + $E127*12, DAY($E120))),$E125,0)</f>
        <v>0</v>
      </c>
      <c r="CE127" s="46">
        <f t="shared" si="110"/>
        <v>0</v>
      </c>
      <c r="CF127" s="46">
        <f t="shared" si="110"/>
        <v>0</v>
      </c>
      <c r="CG127" s="46">
        <f t="shared" si="110"/>
        <v>0</v>
      </c>
      <c r="CH127" s="46">
        <f t="shared" si="110"/>
        <v>0</v>
      </c>
      <c r="CI127" s="46">
        <f t="shared" si="110"/>
        <v>0</v>
      </c>
      <c r="CJ127" s="46">
        <f t="shared" si="110"/>
        <v>0</v>
      </c>
      <c r="CK127" s="46">
        <f t="shared" si="110"/>
        <v>0</v>
      </c>
      <c r="CL127" s="46">
        <f t="shared" si="110"/>
        <v>0</v>
      </c>
      <c r="CM127" s="46">
        <f t="shared" si="110"/>
        <v>0</v>
      </c>
      <c r="CN127" s="46">
        <f t="shared" si="110"/>
        <v>0</v>
      </c>
      <c r="CO127" s="46">
        <f t="shared" si="110"/>
        <v>0</v>
      </c>
      <c r="CP127" s="46">
        <f t="shared" si="110"/>
        <v>0</v>
      </c>
      <c r="CQ127" s="46">
        <f t="shared" si="110"/>
        <v>0</v>
      </c>
      <c r="CR127" s="46">
        <f t="shared" si="110"/>
        <v>0</v>
      </c>
      <c r="CS127" s="46">
        <f t="shared" si="110"/>
        <v>0</v>
      </c>
      <c r="CT127" s="46">
        <f t="shared" si="110"/>
        <v>0</v>
      </c>
      <c r="CU127" s="46">
        <f t="shared" si="110"/>
        <v>0</v>
      </c>
      <c r="CV127" s="46">
        <f t="shared" si="110"/>
        <v>0</v>
      </c>
      <c r="CW127" s="46">
        <f t="shared" si="110"/>
        <v>0</v>
      </c>
      <c r="CX127" s="46">
        <f t="shared" si="110"/>
        <v>0</v>
      </c>
      <c r="CY127" s="46">
        <f t="shared" si="110"/>
        <v>0</v>
      </c>
      <c r="CZ127" s="46">
        <f t="shared" si="110"/>
        <v>0</v>
      </c>
      <c r="DA127" s="46">
        <f t="shared" si="110"/>
        <v>0</v>
      </c>
      <c r="DB127" s="46">
        <f t="shared" si="110"/>
        <v>0</v>
      </c>
      <c r="DC127" s="46">
        <f t="shared" si="110"/>
        <v>0</v>
      </c>
      <c r="DD127" s="46">
        <f t="shared" si="110"/>
        <v>0</v>
      </c>
      <c r="DE127" s="46">
        <f t="shared" si="110"/>
        <v>0</v>
      </c>
      <c r="DF127" s="46">
        <f t="shared" si="110"/>
        <v>0</v>
      </c>
      <c r="DG127" s="46">
        <f t="shared" si="110"/>
        <v>0</v>
      </c>
      <c r="DH127" s="46">
        <f t="shared" si="110"/>
        <v>18518.518518518518</v>
      </c>
      <c r="DI127" s="46">
        <f t="shared" si="110"/>
        <v>18518.518518518518</v>
      </c>
      <c r="DJ127" s="46">
        <f t="shared" si="110"/>
        <v>18518.518518518518</v>
      </c>
      <c r="DK127" s="46">
        <f t="shared" si="110"/>
        <v>18518.518518518518</v>
      </c>
      <c r="DL127" s="46">
        <f t="shared" si="110"/>
        <v>18518.518518518518</v>
      </c>
      <c r="DM127" s="46">
        <f t="shared" si="110"/>
        <v>18518.518518518518</v>
      </c>
      <c r="DN127" s="46">
        <f t="shared" si="110"/>
        <v>18518.518518518518</v>
      </c>
      <c r="DO127" s="46">
        <f t="shared" si="110"/>
        <v>18518.518518518518</v>
      </c>
      <c r="DP127" s="46">
        <f t="shared" si="110"/>
        <v>18518.518518518518</v>
      </c>
      <c r="DQ127" s="46">
        <f t="shared" si="110"/>
        <v>18518.518518518518</v>
      </c>
      <c r="DR127" s="46">
        <f t="shared" si="110"/>
        <v>18518.518518518518</v>
      </c>
      <c r="DS127" s="46">
        <f t="shared" si="110"/>
        <v>18518.518518518518</v>
      </c>
      <c r="DT127" s="46">
        <f t="shared" si="110"/>
        <v>18518.518518518518</v>
      </c>
      <c r="DU127" s="46">
        <f t="shared" si="110"/>
        <v>18518.518518518518</v>
      </c>
      <c r="DV127" s="46">
        <f t="shared" si="110"/>
        <v>18518.518518518518</v>
      </c>
      <c r="DW127" s="46">
        <f t="shared" si="110"/>
        <v>18518.518518518518</v>
      </c>
      <c r="DX127" s="46">
        <f t="shared" si="110"/>
        <v>18518.518518518518</v>
      </c>
      <c r="DY127" s="46">
        <f t="shared" si="110"/>
        <v>18518.518518518518</v>
      </c>
    </row>
    <row r="128" spans="2:129">
      <c r="B128" s="43"/>
      <c r="C128" s="43" t="s">
        <v>389</v>
      </c>
      <c r="D128" s="43"/>
      <c r="E128" s="527"/>
      <c r="F128" s="130"/>
      <c r="G128" s="130"/>
      <c r="H128" s="130"/>
      <c r="I128" s="43"/>
      <c r="J128" s="491">
        <f>IF($E121="LCY",J127*'Model Assumptions'!$L$135,Financing!J127*Flags!J$30)</f>
        <v>0</v>
      </c>
      <c r="K128" s="491">
        <f>IF($E121="LCY",K127*'Model Assumptions'!$L$135,Financing!K127*Flags!K$30)</f>
        <v>0</v>
      </c>
      <c r="L128" s="491">
        <f>IF($E121="LCY",L127*'Model Assumptions'!$L$135,Financing!L127*Flags!L$30)</f>
        <v>0</v>
      </c>
      <c r="M128" s="491">
        <f>IF($E121="LCY",M127*'Model Assumptions'!$L$135,Financing!M127*Flags!M$30)</f>
        <v>0</v>
      </c>
      <c r="N128" s="491">
        <f>IF($E121="LCY",N127*'Model Assumptions'!$L$135,Financing!N127*Flags!N$30)</f>
        <v>0</v>
      </c>
      <c r="O128" s="491">
        <f>IF($E121="LCY",O127*'Model Assumptions'!$L$135,Financing!O127*Flags!O$30)</f>
        <v>0</v>
      </c>
      <c r="P128" s="491">
        <f>IF($E121="LCY",P127*'Model Assumptions'!$L$135,Financing!P127*Flags!P$30)</f>
        <v>0</v>
      </c>
      <c r="Q128" s="491">
        <f>IF($E121="LCY",Q127*'Model Assumptions'!$L$135,Financing!Q127*Flags!Q$30)</f>
        <v>0</v>
      </c>
      <c r="R128" s="491">
        <f>IF($E121="LCY",R127*'Model Assumptions'!$L$135,Financing!R127*Flags!R$30)</f>
        <v>0</v>
      </c>
      <c r="S128" s="491">
        <f>IF($E121="LCY",S127*'Model Assumptions'!$L$135,Financing!S127*Flags!S$30)</f>
        <v>0</v>
      </c>
      <c r="T128" s="491">
        <f>IF($E121="LCY",T127*'Model Assumptions'!$L$135,Financing!T127*Flags!T$30)</f>
        <v>0</v>
      </c>
      <c r="U128" s="491">
        <f>IF($E121="LCY",U127*'Model Assumptions'!$L$135,Financing!U127*Flags!U$30)</f>
        <v>0</v>
      </c>
      <c r="V128" s="491">
        <f>IF($E121="LCY",V127*'Model Assumptions'!$L$135,Financing!V127*Flags!V$30)</f>
        <v>0</v>
      </c>
      <c r="W128" s="491">
        <f>IF($E121="LCY",W127*'Model Assumptions'!$L$135,Financing!W127*Flags!W$30)</f>
        <v>0</v>
      </c>
      <c r="X128" s="491">
        <f>IF($E121="LCY",X127*'Model Assumptions'!$L$135,Financing!X127*Flags!X$30)</f>
        <v>0</v>
      </c>
      <c r="Y128" s="491">
        <f>IF($E121="LCY",Y127*'Model Assumptions'!$L$135,Financing!Y127*Flags!Y$30)</f>
        <v>0</v>
      </c>
      <c r="Z128" s="491">
        <f>IF($E121="LCY",Z127*'Model Assumptions'!$L$135,Financing!Z127*Flags!Z$30)</f>
        <v>0</v>
      </c>
      <c r="AA128" s="491">
        <f>IF($E121="LCY",AA127*'Model Assumptions'!$L$135,Financing!AA127*Flags!AA$30)</f>
        <v>0</v>
      </c>
      <c r="AB128" s="491">
        <f>IF($E121="LCY",AB127*'Model Assumptions'!$L$135,Financing!AB127*Flags!AB$30)</f>
        <v>0</v>
      </c>
      <c r="AC128" s="491">
        <f>IF($E121="LCY",AC127*'Model Assumptions'!$L$135,Financing!AC127*Flags!AC$30)</f>
        <v>0</v>
      </c>
      <c r="AD128" s="491">
        <f>IF($E121="LCY",AD127*'Model Assumptions'!$L$135,Financing!AD127*Flags!AD$30)</f>
        <v>0</v>
      </c>
      <c r="AE128" s="491">
        <f>IF($E121="LCY",AE127*'Model Assumptions'!$L$135,Financing!AE127*Flags!AE$30)</f>
        <v>0</v>
      </c>
      <c r="AF128" s="491">
        <f>IF($E121="LCY",AF127*'Model Assumptions'!$L$135,Financing!AF127*Flags!AF$30)</f>
        <v>0</v>
      </c>
      <c r="AG128" s="491">
        <f>IF($E121="LCY",AG127*'Model Assumptions'!$L$135,Financing!AG127*Flags!AG$30)</f>
        <v>0</v>
      </c>
      <c r="AH128" s="491">
        <f>IF($E121="LCY",AH127*'Model Assumptions'!$L$135,Financing!AH127*Flags!AH$30)</f>
        <v>0</v>
      </c>
      <c r="AI128" s="491">
        <f>IF($E121="LCY",AI127*'Model Assumptions'!$L$135,Financing!AI127*Flags!AI$30)</f>
        <v>0</v>
      </c>
      <c r="AJ128" s="491">
        <f>IF($E121="LCY",AJ127*'Model Assumptions'!$L$135,Financing!AJ127*Flags!AJ$30)</f>
        <v>0</v>
      </c>
      <c r="AK128" s="491">
        <f>IF($E121="LCY",AK127*'Model Assumptions'!$L$135,Financing!AK127*Flags!AK$30)</f>
        <v>0</v>
      </c>
      <c r="AL128" s="491">
        <f>IF($E121="LCY",AL127*'Model Assumptions'!$L$135,Financing!AL127*Flags!AL$30)</f>
        <v>0</v>
      </c>
      <c r="AM128" s="491">
        <f>IF($E121="LCY",AM127*'Model Assumptions'!$L$135,Financing!AM127*Flags!AM$30)</f>
        <v>0</v>
      </c>
      <c r="AN128" s="491">
        <f>IF($E121="LCY",AN127*'Model Assumptions'!$L$135,Financing!AN127*Flags!AN$30)</f>
        <v>0</v>
      </c>
      <c r="AO128" s="491">
        <f>IF($E121="LCY",AO127*'Model Assumptions'!$L$135,Financing!AO127*Flags!AO$30)</f>
        <v>0</v>
      </c>
      <c r="AP128" s="491">
        <f>IF($E121="LCY",AP127*'Model Assumptions'!$L$135,Financing!AP127*Flags!AP$30)</f>
        <v>0</v>
      </c>
      <c r="AQ128" s="491">
        <f>IF($E121="LCY",AQ127*'Model Assumptions'!$L$135,Financing!AQ127*Flags!AQ$30)</f>
        <v>0</v>
      </c>
      <c r="AR128" s="491">
        <f>IF($E121="LCY",AR127*'Model Assumptions'!$L$135,Financing!AR127*Flags!AR$30)</f>
        <v>0</v>
      </c>
      <c r="AS128" s="491">
        <f>IF($E121="LCY",AS127*'Model Assumptions'!$L$135,Financing!AS127*Flags!AS$30)</f>
        <v>0</v>
      </c>
      <c r="AT128" s="491">
        <f>IF($E121="LCY",AT127*'Model Assumptions'!$L$135,Financing!AT127*Flags!AT$30)</f>
        <v>0</v>
      </c>
      <c r="AU128" s="491">
        <f>IF($E121="LCY",AU127*'Model Assumptions'!$L$135,Financing!AU127*Flags!AU$30)</f>
        <v>0</v>
      </c>
      <c r="AV128" s="491">
        <f>IF($E121="LCY",AV127*'Model Assumptions'!$L$135,Financing!AV127*Flags!AV$30)</f>
        <v>0</v>
      </c>
      <c r="AW128" s="491">
        <f>IF($E121="LCY",AW127*'Model Assumptions'!$L$135,Financing!AW127*Flags!AW$30)</f>
        <v>0</v>
      </c>
      <c r="AX128" s="491">
        <f>IF($E121="LCY",AX127*'Model Assumptions'!$L$135,Financing!AX127*Flags!AX$30)</f>
        <v>0</v>
      </c>
      <c r="AY128" s="491">
        <f>IF($E121="LCY",AY127*'Model Assumptions'!$L$135,Financing!AY127*Flags!AY$30)</f>
        <v>0</v>
      </c>
      <c r="AZ128" s="491">
        <f>IF($E121="LCY",AZ127*'Model Assumptions'!$L$135,Financing!AZ127*Flags!AZ$30)</f>
        <v>0</v>
      </c>
      <c r="BA128" s="491">
        <f>IF($E121="LCY",BA127*'Model Assumptions'!$L$135,Financing!BA127*Flags!BA$30)</f>
        <v>0</v>
      </c>
      <c r="BB128" s="491">
        <f>IF($E121="LCY",BB127*'Model Assumptions'!$L$135,Financing!BB127*Flags!BB$30)</f>
        <v>0</v>
      </c>
      <c r="BC128" s="491">
        <f>IF($E121="LCY",BC127*'Model Assumptions'!$L$135,Financing!BC127*Flags!BC$30)</f>
        <v>0</v>
      </c>
      <c r="BD128" s="491">
        <f>IF($E121="LCY",BD127*'Model Assumptions'!$L$135,Financing!BD127*Flags!BD$30)</f>
        <v>0</v>
      </c>
      <c r="BE128" s="491">
        <f>IF($E121="LCY",BE127*'Model Assumptions'!$L$135,Financing!BE127*Flags!BE$30)</f>
        <v>0</v>
      </c>
      <c r="BF128" s="491">
        <f>IF($E121="LCY",BF127*'Model Assumptions'!$L$135,Financing!BF127*Flags!BF$30)</f>
        <v>0</v>
      </c>
      <c r="BG128" s="491">
        <f>IF($E121="LCY",BG127*'Model Assumptions'!$L$135,Financing!BG127*Flags!BG$30)</f>
        <v>0</v>
      </c>
      <c r="BH128" s="491">
        <f>IF($E121="LCY",BH127*'Model Assumptions'!$L$135,Financing!BH127*Flags!BH$30)</f>
        <v>0</v>
      </c>
      <c r="BI128" s="491">
        <f>IF($E121="LCY",BI127*'Model Assumptions'!$L$135,Financing!BI127*Flags!BI$30)</f>
        <v>0</v>
      </c>
      <c r="BJ128" s="491">
        <f>IF($E121="LCY",BJ127*'Model Assumptions'!$L$135,Financing!BJ127*Flags!BJ$30)</f>
        <v>0</v>
      </c>
      <c r="BK128" s="491">
        <f>IF($E121="LCY",BK127*'Model Assumptions'!$L$135,Financing!BK127*Flags!BK$30)</f>
        <v>0</v>
      </c>
      <c r="BL128" s="491">
        <f>IF($E121="LCY",BL127*'Model Assumptions'!$L$135,Financing!BL127*Flags!BL$30)</f>
        <v>0</v>
      </c>
      <c r="BM128" s="491">
        <f>IF($E121="LCY",BM127*'Model Assumptions'!$L$135,Financing!BM127*Flags!BM$30)</f>
        <v>0</v>
      </c>
      <c r="BN128" s="491">
        <f>IF($E121="LCY",BN127*'Model Assumptions'!$L$135,Financing!BN127*Flags!BN$30)</f>
        <v>0</v>
      </c>
      <c r="BO128" s="491">
        <f>IF($E121="LCY",BO127*'Model Assumptions'!$L$135,Financing!BO127*Flags!BO$30)</f>
        <v>0</v>
      </c>
      <c r="BP128" s="491">
        <f>IF($E121="LCY",BP127*'Model Assumptions'!$L$135,Financing!BP127*Flags!BP$30)</f>
        <v>0</v>
      </c>
      <c r="BQ128" s="491">
        <f>IF($E121="LCY",BQ127*'Model Assumptions'!$L$135,Financing!BQ127*Flags!BQ$30)</f>
        <v>0</v>
      </c>
      <c r="BR128" s="491">
        <f>IF($E121="LCY",BR127*'Model Assumptions'!$L$135,Financing!BR127*Flags!BR$30)</f>
        <v>0</v>
      </c>
      <c r="BS128" s="491">
        <f>IF($E121="LCY",BS127*'Model Assumptions'!$L$135,Financing!BS127*Flags!BS$30)</f>
        <v>0</v>
      </c>
      <c r="BT128" s="491">
        <f>IF($E121="LCY",BT127*'Model Assumptions'!$L$135,Financing!BT127*Flags!BT$30)</f>
        <v>0</v>
      </c>
      <c r="BU128" s="491">
        <f>IF($E121="LCY",BU127*'Model Assumptions'!$L$135,Financing!BU127*Flags!BU$30)</f>
        <v>0</v>
      </c>
      <c r="BV128" s="491">
        <f>IF($E121="LCY",BV127*'Model Assumptions'!$L$135,Financing!BV127*Flags!BV$30)</f>
        <v>0</v>
      </c>
      <c r="BW128" s="491">
        <f>IF($E121="LCY",BW127*'Model Assumptions'!$L$135,Financing!BW127*Flags!BW$30)</f>
        <v>0</v>
      </c>
      <c r="BX128" s="491">
        <f>IF($E121="LCY",BX127*'Model Assumptions'!$L$135,Financing!BX127*Flags!BX$30)</f>
        <v>0</v>
      </c>
      <c r="BY128" s="491">
        <f>IF($E121="LCY",BY127*'Model Assumptions'!$L$135,Financing!BY127*Flags!BY$30)</f>
        <v>0</v>
      </c>
      <c r="BZ128" s="491">
        <f>IF($E121="LCY",BZ127*'Model Assumptions'!$L$135,Financing!BZ127*Flags!BZ$30)</f>
        <v>0</v>
      </c>
      <c r="CA128" s="491">
        <f>IF($E121="LCY",CA127*'Model Assumptions'!$L$135,Financing!CA127*Flags!CA$30)</f>
        <v>0</v>
      </c>
      <c r="CB128" s="491">
        <f>IF($E121="LCY",CB127*'Model Assumptions'!$L$135,Financing!CB127*Flags!CB$30)</f>
        <v>0</v>
      </c>
      <c r="CC128" s="491">
        <f>IF($E121="LCY",CC127*'Model Assumptions'!$L$135,Financing!CC127*Flags!CC$30)</f>
        <v>0</v>
      </c>
      <c r="CD128" s="491">
        <f>IF($E121="LCY",CD127*'Model Assumptions'!$L$135,Financing!CD127*Flags!CD$30)</f>
        <v>0</v>
      </c>
      <c r="CE128" s="491">
        <f>IF($E121="LCY",CE127*'Model Assumptions'!$L$135,Financing!CE127*Flags!CE$30)</f>
        <v>0</v>
      </c>
      <c r="CF128" s="491">
        <f>IF($E121="LCY",CF127*'Model Assumptions'!$L$135,Financing!CF127*Flags!CF$30)</f>
        <v>0</v>
      </c>
      <c r="CG128" s="491">
        <f>IF($E121="LCY",CG127*'Model Assumptions'!$L$135,Financing!CG127*Flags!CG$30)</f>
        <v>0</v>
      </c>
      <c r="CH128" s="491">
        <f>IF($E121="LCY",CH127*'Model Assumptions'!$L$135,Financing!CH127*Flags!CH$30)</f>
        <v>0</v>
      </c>
      <c r="CI128" s="491">
        <f>IF($E121="LCY",CI127*'Model Assumptions'!$L$135,Financing!CI127*Flags!CI$30)</f>
        <v>0</v>
      </c>
      <c r="CJ128" s="491">
        <f>IF($E121="LCY",CJ127*'Model Assumptions'!$L$135,Financing!CJ127*Flags!CJ$30)</f>
        <v>0</v>
      </c>
      <c r="CK128" s="491">
        <f>IF($E121="LCY",CK127*'Model Assumptions'!$L$135,Financing!CK127*Flags!CK$30)</f>
        <v>0</v>
      </c>
      <c r="CL128" s="491">
        <f>IF($E121="LCY",CL127*'Model Assumptions'!$L$135,Financing!CL127*Flags!CL$30)</f>
        <v>0</v>
      </c>
      <c r="CM128" s="491">
        <f>IF($E121="LCY",CM127*'Model Assumptions'!$L$135,Financing!CM127*Flags!CM$30)</f>
        <v>0</v>
      </c>
      <c r="CN128" s="491">
        <f>IF($E121="LCY",CN127*'Model Assumptions'!$L$135,Financing!CN127*Flags!CN$30)</f>
        <v>0</v>
      </c>
      <c r="CO128" s="491">
        <f>IF($E121="LCY",CO127*'Model Assumptions'!$L$135,Financing!CO127*Flags!CO$30)</f>
        <v>0</v>
      </c>
      <c r="CP128" s="491">
        <f>IF($E121="LCY",CP127*'Model Assumptions'!$L$135,Financing!CP127*Flags!CP$30)</f>
        <v>0</v>
      </c>
      <c r="CQ128" s="491">
        <f>IF($E121="LCY",CQ127*'Model Assumptions'!$L$135,Financing!CQ127*Flags!CQ$30)</f>
        <v>0</v>
      </c>
      <c r="CR128" s="491">
        <f>IF($E121="LCY",CR127*'Model Assumptions'!$L$135,Financing!CR127*Flags!CR$30)</f>
        <v>0</v>
      </c>
      <c r="CS128" s="491">
        <f>IF($E121="LCY",CS127*'Model Assumptions'!$L$135,Financing!CS127*Flags!CS$30)</f>
        <v>0</v>
      </c>
      <c r="CT128" s="491">
        <f>IF($E121="LCY",CT127*'Model Assumptions'!$L$135,Financing!CT127*Flags!CT$30)</f>
        <v>0</v>
      </c>
      <c r="CU128" s="491">
        <f>IF($E121="LCY",CU127*'Model Assumptions'!$L$135,Financing!CU127*Flags!CU$30)</f>
        <v>0</v>
      </c>
      <c r="CV128" s="491">
        <f>IF($E121="LCY",CV127*'Model Assumptions'!$L$135,Financing!CV127*Flags!CV$30)</f>
        <v>0</v>
      </c>
      <c r="CW128" s="491">
        <f>IF($E121="LCY",CW127*'Model Assumptions'!$L$135,Financing!CW127*Flags!CW$30)</f>
        <v>0</v>
      </c>
      <c r="CX128" s="491">
        <f>IF($E121="LCY",CX127*'Model Assumptions'!$L$135,Financing!CX127*Flags!CX$30)</f>
        <v>0</v>
      </c>
      <c r="CY128" s="491">
        <f>IF($E121="LCY",CY127*'Model Assumptions'!$L$135,Financing!CY127*Flags!CY$30)</f>
        <v>0</v>
      </c>
      <c r="CZ128" s="491">
        <f>IF($E121="LCY",CZ127*'Model Assumptions'!$L$135,Financing!CZ127*Flags!CZ$30)</f>
        <v>0</v>
      </c>
      <c r="DA128" s="491">
        <f>IF($E121="LCY",DA127*'Model Assumptions'!$L$135,Financing!DA127*Flags!DA$30)</f>
        <v>0</v>
      </c>
      <c r="DB128" s="491">
        <f>IF($E121="LCY",DB127*'Model Assumptions'!$L$135,Financing!DB127*Flags!DB$30)</f>
        <v>0</v>
      </c>
      <c r="DC128" s="491">
        <f>IF($E121="LCY",DC127*'Model Assumptions'!$L$135,Financing!DC127*Flags!DC$30)</f>
        <v>0</v>
      </c>
      <c r="DD128" s="491">
        <f>IF($E121="LCY",DD127*'Model Assumptions'!$L$135,Financing!DD127*Flags!DD$30)</f>
        <v>0</v>
      </c>
      <c r="DE128" s="491">
        <f>IF($E121="LCY",DE127*'Model Assumptions'!$L$135,Financing!DE127*Flags!DE$30)</f>
        <v>0</v>
      </c>
      <c r="DF128" s="491">
        <f>IF($E121="LCY",DF127*'Model Assumptions'!$L$135,Financing!DF127*Flags!DF$30)</f>
        <v>0</v>
      </c>
      <c r="DG128" s="491">
        <f>IF($E121="LCY",DG127*'Model Assumptions'!$L$135,Financing!DG127*Flags!DG$30)</f>
        <v>0</v>
      </c>
      <c r="DH128" s="491">
        <f>IF($E121="LCY",DH127*'Model Assumptions'!$L$135,Financing!DH127*Flags!DH$30)</f>
        <v>185185.18518518517</v>
      </c>
      <c r="DI128" s="491">
        <f>IF($E121="LCY",DI127*'Model Assumptions'!$L$135,Financing!DI127*Flags!DI$30)</f>
        <v>185185.18518518517</v>
      </c>
      <c r="DJ128" s="491">
        <f>IF($E121="LCY",DJ127*'Model Assumptions'!$L$135,Financing!DJ127*Flags!DJ$30)</f>
        <v>185185.18518518517</v>
      </c>
      <c r="DK128" s="491">
        <f>IF($E121="LCY",DK127*'Model Assumptions'!$L$135,Financing!DK127*Flags!DK$30)</f>
        <v>185185.18518518517</v>
      </c>
      <c r="DL128" s="491">
        <f>IF($E121="LCY",DL127*'Model Assumptions'!$L$135,Financing!DL127*Flags!DL$30)</f>
        <v>185185.18518518517</v>
      </c>
      <c r="DM128" s="491">
        <f>IF($E121="LCY",DM127*'Model Assumptions'!$L$135,Financing!DM127*Flags!DM$30)</f>
        <v>185185.18518518517</v>
      </c>
      <c r="DN128" s="491">
        <f>IF($E121="LCY",DN127*'Model Assumptions'!$L$135,Financing!DN127*Flags!DN$30)</f>
        <v>185185.18518518517</v>
      </c>
      <c r="DO128" s="491">
        <f>IF($E121="LCY",DO127*'Model Assumptions'!$L$135,Financing!DO127*Flags!DO$30)</f>
        <v>185185.18518518517</v>
      </c>
      <c r="DP128" s="491">
        <f>IF($E121="LCY",DP127*'Model Assumptions'!$L$135,Financing!DP127*Flags!DP$30)</f>
        <v>185185.18518518517</v>
      </c>
      <c r="DQ128" s="491">
        <f>IF($E121="LCY",DQ127*'Model Assumptions'!$L$135,Financing!DQ127*Flags!DQ$30)</f>
        <v>185185.18518518517</v>
      </c>
      <c r="DR128" s="491">
        <f>IF($E121="LCY",DR127*'Model Assumptions'!$L$135,Financing!DR127*Flags!DR$30)</f>
        <v>185185.18518518517</v>
      </c>
      <c r="DS128" s="491">
        <f>IF($E121="LCY",DS127*'Model Assumptions'!$L$135,Financing!DS127*Flags!DS$30)</f>
        <v>185185.18518518517</v>
      </c>
      <c r="DT128" s="491">
        <f>IF($E121="LCY",DT127*'Model Assumptions'!$L$135,Financing!DT127*Flags!DT$30)</f>
        <v>185185.18518518517</v>
      </c>
      <c r="DU128" s="491">
        <f>IF($E121="LCY",DU127*'Model Assumptions'!$L$135,Financing!DU127*Flags!DU$30)</f>
        <v>185185.18518518517</v>
      </c>
      <c r="DV128" s="491">
        <f>IF($E121="LCY",DV127*'Model Assumptions'!$L$135,Financing!DV127*Flags!DV$30)</f>
        <v>185185.18518518517</v>
      </c>
      <c r="DW128" s="491">
        <f>IF($E121="LCY",DW127*'Model Assumptions'!$L$135,Financing!DW127*Flags!DW$30)</f>
        <v>185185.18518518517</v>
      </c>
      <c r="DX128" s="491">
        <f>IF($E121="LCY",DX127*'Model Assumptions'!$L$135,Financing!DX127*Flags!DX$30)</f>
        <v>185185.18518518517</v>
      </c>
      <c r="DY128" s="491">
        <f>IF($E121="LCY",DY127*'Model Assumptions'!$L$135,Financing!DY127*Flags!DY$30)</f>
        <v>185185.18518518517</v>
      </c>
    </row>
    <row r="129" spans="2:129">
      <c r="B129" s="43"/>
      <c r="C129" s="43" t="s">
        <v>396</v>
      </c>
      <c r="D129" s="43"/>
      <c r="E129" s="485">
        <f>+'Model Assumptions'!L141</f>
        <v>0.1</v>
      </c>
      <c r="F129" s="131"/>
      <c r="G129" s="131"/>
      <c r="H129" s="131"/>
      <c r="I129" s="43"/>
      <c r="J129" s="251">
        <f>(SUM(J122:$J122)-SUM(J127:$J127))*$E129/12</f>
        <v>0</v>
      </c>
      <c r="K129" s="251">
        <f>(SUM($J122:K122)-SUM($J127:K127))*$E129/12</f>
        <v>0</v>
      </c>
      <c r="L129" s="251">
        <f>(SUM($J122:L122)-SUM($J127:L127))*$E129/12</f>
        <v>0</v>
      </c>
      <c r="M129" s="251">
        <f>(SUM($J122:M122)-SUM($J127:M127))*$E129/12</f>
        <v>0</v>
      </c>
      <c r="N129" s="251">
        <f>(SUM($J122:N122)-SUM($J127:N127))*$E129/12</f>
        <v>0</v>
      </c>
      <c r="O129" s="251">
        <f>(SUM($J122:O122)-SUM($J127:O127))*$E129/12</f>
        <v>0</v>
      </c>
      <c r="P129" s="251">
        <f>(SUM($J122:P122)-SUM($J127:P127))*$E129/12</f>
        <v>0</v>
      </c>
      <c r="Q129" s="251">
        <f>(SUM($J122:Q122)-SUM($J127:Q127))*$E129/12</f>
        <v>0</v>
      </c>
      <c r="R129" s="251">
        <f>(SUM($J122:R122)-SUM($J127:R127))*$E129/12</f>
        <v>0</v>
      </c>
      <c r="S129" s="251">
        <f>(SUM($J122:S122)-SUM($J127:S127))*$E129/12</f>
        <v>0</v>
      </c>
      <c r="T129" s="251">
        <f>(SUM($J122:T122)-SUM($J127:T127))*$E129/12</f>
        <v>0</v>
      </c>
      <c r="U129" s="251">
        <f>(SUM($J122:U122)-SUM($J127:U127))*$E129/12</f>
        <v>0</v>
      </c>
      <c r="V129" s="251">
        <f>(SUM($J122:V122)-SUM($J127:V127))*$E129/12</f>
        <v>0</v>
      </c>
      <c r="W129" s="251">
        <f>(SUM($J122:W122)-SUM($J127:W127))*$E129/12</f>
        <v>0</v>
      </c>
      <c r="X129" s="251">
        <f>(SUM($J122:X122)-SUM($J127:X127))*$E129/12</f>
        <v>0</v>
      </c>
      <c r="Y129" s="251">
        <f>(SUM($J122:Y122)-SUM($J127:Y127))*$E129/12</f>
        <v>0</v>
      </c>
      <c r="Z129" s="251">
        <f>(SUM($J122:Z122)-SUM($J127:Z127))*$E129/12</f>
        <v>0</v>
      </c>
      <c r="AA129" s="251">
        <f>(SUM($J122:AA122)-SUM($J127:AA127))*$E129/12</f>
        <v>0</v>
      </c>
      <c r="AB129" s="251">
        <f>(SUM($J122:AB122)-SUM($J127:AB127))*$E129/12</f>
        <v>0</v>
      </c>
      <c r="AC129" s="251">
        <f>(SUM($J122:AC122)-SUM($J127:AC127))*$E129/12</f>
        <v>0</v>
      </c>
      <c r="AD129" s="251">
        <f>(SUM($J122:AD122)-SUM($J127:AD127))*$E129/12</f>
        <v>0</v>
      </c>
      <c r="AE129" s="251">
        <f>(SUM($J122:AE122)-SUM($J127:AE127))*$E129/12</f>
        <v>0</v>
      </c>
      <c r="AF129" s="251">
        <f>(SUM($J122:AF122)-SUM($J127:AF127))*$E129/12</f>
        <v>0</v>
      </c>
      <c r="AG129" s="251">
        <f>(SUM($J122:AG122)-SUM($J127:AG127))*$E129/12</f>
        <v>0</v>
      </c>
      <c r="AH129" s="251">
        <f>(SUM($J122:AH122)-SUM($J127:AH127))*$E129/12</f>
        <v>0</v>
      </c>
      <c r="AI129" s="251">
        <f>(SUM($J122:AI122)-SUM($J127:AI127))*$E129/12</f>
        <v>0</v>
      </c>
      <c r="AJ129" s="251">
        <f>(SUM($J122:AJ122)-SUM($J127:AJ127))*$E129/12</f>
        <v>0</v>
      </c>
      <c r="AK129" s="251">
        <f>(SUM($J122:AK122)-SUM($J127:AK127))*$E129/12</f>
        <v>0</v>
      </c>
      <c r="AL129" s="251">
        <f>(SUM($J122:AL122)-SUM($J127:AL127))*$E129/12</f>
        <v>0</v>
      </c>
      <c r="AM129" s="251">
        <f>(SUM($J122:AM122)-SUM($J127:AM127))*$E129/12</f>
        <v>0</v>
      </c>
      <c r="AN129" s="251">
        <f>(SUM($J122:AN122)-SUM($J127:AN127))*$E129/12</f>
        <v>0</v>
      </c>
      <c r="AO129" s="251">
        <f>(SUM($J122:AO122)-SUM($J127:AO127))*$E129/12</f>
        <v>0</v>
      </c>
      <c r="AP129" s="251">
        <f>(SUM($J122:AP122)-SUM($J127:AP127))*$E129/12</f>
        <v>0</v>
      </c>
      <c r="AQ129" s="251">
        <f>(SUM($J122:AQ122)-SUM($J127:AQ127))*$E129/12</f>
        <v>0</v>
      </c>
      <c r="AR129" s="251">
        <f>(SUM($J122:AR122)-SUM($J127:AR127))*$E129/12</f>
        <v>0</v>
      </c>
      <c r="AS129" s="251">
        <f>(SUM($J122:AS122)-SUM($J127:AS127))*$E129/12</f>
        <v>0</v>
      </c>
      <c r="AT129" s="251">
        <f>(SUM($J122:AT122)-SUM($J127:AT127))*$E129/12</f>
        <v>0</v>
      </c>
      <c r="AU129" s="251">
        <f>(SUM($J122:AU122)-SUM($J127:AU127))*$E129/12</f>
        <v>0</v>
      </c>
      <c r="AV129" s="251">
        <f>(SUM($J122:AV122)-SUM($J127:AV127))*$E129/12</f>
        <v>0</v>
      </c>
      <c r="AW129" s="251">
        <f>(SUM($J122:AW122)-SUM($J127:AW127))*$E129/12</f>
        <v>0</v>
      </c>
      <c r="AX129" s="251">
        <f>(SUM($J122:AX122)-SUM($J127:AX127))*$E129/12</f>
        <v>0</v>
      </c>
      <c r="AY129" s="251">
        <f>(SUM($J122:AY122)-SUM($J127:AY127))*$E129/12</f>
        <v>0</v>
      </c>
      <c r="AZ129" s="251">
        <f>(SUM($J122:AZ122)-SUM($J127:AZ127))*$E129/12</f>
        <v>0</v>
      </c>
      <c r="BA129" s="251">
        <f>(SUM($J122:BA122)-SUM($J127:BA127))*$E129/12</f>
        <v>0</v>
      </c>
      <c r="BB129" s="251">
        <f>(SUM($J122:BB122)-SUM($J127:BB127))*$E129/12</f>
        <v>0</v>
      </c>
      <c r="BC129" s="251">
        <f>(SUM($J122:BC122)-SUM($J127:BC127))*$E129/12</f>
        <v>0</v>
      </c>
      <c r="BD129" s="251">
        <f>(SUM($J122:BD122)-SUM($J127:BD127))*$E129/12</f>
        <v>0</v>
      </c>
      <c r="BE129" s="251">
        <f>(SUM($J122:BE122)-SUM($J127:BE127))*$E129/12</f>
        <v>0</v>
      </c>
      <c r="BF129" s="251">
        <f>(SUM($J122:BF122)-SUM($J127:BF127))*$E129/12</f>
        <v>0</v>
      </c>
      <c r="BG129" s="251">
        <f>(SUM($J122:BG122)-SUM($J127:BG127))*$E129/12</f>
        <v>0</v>
      </c>
      <c r="BH129" s="251">
        <f>(SUM($J122:BH122)-SUM($J127:BH127))*$E129/12</f>
        <v>0</v>
      </c>
      <c r="BI129" s="251">
        <f>(SUM($J122:BI122)-SUM($J127:BI127))*$E129/12</f>
        <v>0</v>
      </c>
      <c r="BJ129" s="251">
        <f>(SUM($J122:BJ122)-SUM($J127:BJ127))*$E129/12</f>
        <v>0</v>
      </c>
      <c r="BK129" s="251">
        <f>(SUM($J122:BK122)-SUM($J127:BK127))*$E129/12</f>
        <v>0</v>
      </c>
      <c r="BL129" s="251">
        <f>(SUM($J122:BL122)-SUM($J127:BL127))*$E129/12</f>
        <v>0</v>
      </c>
      <c r="BM129" s="251">
        <f>(SUM($J122:BM122)-SUM($J127:BM127))*$E129/12</f>
        <v>0</v>
      </c>
      <c r="BN129" s="251">
        <f>(SUM($J122:BN122)-SUM($J127:BN127))*$E129/12</f>
        <v>0</v>
      </c>
      <c r="BO129" s="251">
        <f>(SUM($J122:BO122)-SUM($J127:BO127))*$E129/12</f>
        <v>0</v>
      </c>
      <c r="BP129" s="251">
        <f>(SUM($J122:BP122)-SUM($J127:BP127))*$E129/12</f>
        <v>0</v>
      </c>
      <c r="BQ129" s="251">
        <f>(SUM($J122:BQ122)-SUM($J127:BQ127))*$E129/12</f>
        <v>0</v>
      </c>
      <c r="BR129" s="251">
        <f>(SUM($J122:BR122)-SUM($J127:BR127))*$E129/12</f>
        <v>0</v>
      </c>
      <c r="BS129" s="251">
        <f>(SUM($J122:BS122)-SUM($J127:BS127))*$E129/12</f>
        <v>0</v>
      </c>
      <c r="BT129" s="251">
        <f>(SUM($J122:BT122)-SUM($J127:BT127))*$E129/12</f>
        <v>0</v>
      </c>
      <c r="BU129" s="251">
        <f>(SUM($J122:BU122)-SUM($J127:BU127))*$E129/12</f>
        <v>0</v>
      </c>
      <c r="BV129" s="251">
        <f>(SUM($J122:BV122)-SUM($J127:BV127))*$E129/12</f>
        <v>0</v>
      </c>
      <c r="BW129" s="251">
        <f>(SUM($J122:BW122)-SUM($J127:BW127))*$E129/12</f>
        <v>0</v>
      </c>
      <c r="BX129" s="251">
        <f>(SUM($J122:BX122)-SUM($J127:BX127))*$E129/12</f>
        <v>0</v>
      </c>
      <c r="BY129" s="251">
        <f>(SUM($J122:BY122)-SUM($J127:BY127))*$E129/12</f>
        <v>0</v>
      </c>
      <c r="BZ129" s="251">
        <f>(SUM($J122:BZ122)-SUM($J127:BZ127))*$E129/12</f>
        <v>0</v>
      </c>
      <c r="CA129" s="251">
        <f>(SUM($J122:CA122)-SUM($J127:CA127))*$E129/12</f>
        <v>0</v>
      </c>
      <c r="CB129" s="251">
        <f>(SUM($J122:CB122)-SUM($J127:CB127))*$E129/12</f>
        <v>0</v>
      </c>
      <c r="CC129" s="251">
        <f>(SUM($J122:CC122)-SUM($J127:CC127))*$E129/12</f>
        <v>0</v>
      </c>
      <c r="CD129" s="251">
        <f>(SUM($J122:CD122)-SUM($J127:CD127))*$E129/12</f>
        <v>0</v>
      </c>
      <c r="CE129" s="251">
        <f>(SUM($J122:CE122)-SUM($J127:CE127))*$E129/12</f>
        <v>0</v>
      </c>
      <c r="CF129" s="251">
        <f>(SUM($J122:CF122)-SUM($J127:CF127))*$E129/12</f>
        <v>0</v>
      </c>
      <c r="CG129" s="251">
        <f>(SUM($J122:CG122)-SUM($J127:CG127))*$E129/12</f>
        <v>0</v>
      </c>
      <c r="CH129" s="251">
        <f>(SUM($J122:CH122)-SUM($J127:CH127))*$E129/12</f>
        <v>0</v>
      </c>
      <c r="CI129" s="251">
        <f>(SUM($J122:CI122)-SUM($J127:CI127))*$E129/12</f>
        <v>0</v>
      </c>
      <c r="CJ129" s="251">
        <f>(SUM($J122:CJ122)-SUM($J127:CJ127))*$E129/12</f>
        <v>0</v>
      </c>
      <c r="CK129" s="251">
        <f>(SUM($J122:CK122)-SUM($J127:CK127))*$E129/12</f>
        <v>0</v>
      </c>
      <c r="CL129" s="251">
        <f>(SUM($J122:CL122)-SUM($J127:CL127))*$E129/12</f>
        <v>0</v>
      </c>
      <c r="CM129" s="251">
        <f>(SUM($J122:CM122)-SUM($J127:CM127))*$E129/12</f>
        <v>0</v>
      </c>
      <c r="CN129" s="251">
        <f>(SUM($J122:CN122)-SUM($J127:CN127))*$E129/12</f>
        <v>0</v>
      </c>
      <c r="CO129" s="251">
        <f>(SUM($J122:CO122)-SUM($J127:CO127))*$E129/12</f>
        <v>0</v>
      </c>
      <c r="CP129" s="251">
        <f>(SUM($J122:CP122)-SUM($J127:CP127))*$E129/12</f>
        <v>0</v>
      </c>
      <c r="CQ129" s="251">
        <f>(SUM($J122:CQ122)-SUM($J127:CQ127))*$E129/12</f>
        <v>0</v>
      </c>
      <c r="CR129" s="251">
        <f>(SUM($J122:CR122)-SUM($J127:CR127))*$E129/12</f>
        <v>0</v>
      </c>
      <c r="CS129" s="251">
        <f>(SUM($J122:CS122)-SUM($J127:CS127))*$E129/12</f>
        <v>0</v>
      </c>
      <c r="CT129" s="251">
        <f>(SUM($J122:CT122)-SUM($J127:CT127))*$E129/12</f>
        <v>0</v>
      </c>
      <c r="CU129" s="251">
        <f>(SUM($J122:CU122)-SUM($J127:CU127))*$E129/12</f>
        <v>0</v>
      </c>
      <c r="CV129" s="251">
        <f>(SUM($J122:CV122)-SUM($J127:CV127))*$E129/12</f>
        <v>0</v>
      </c>
      <c r="CW129" s="251">
        <f>(SUM($J122:CW122)-SUM($J127:CW127))*$E129/12</f>
        <v>0</v>
      </c>
      <c r="CX129" s="251">
        <f>(SUM($J122:CX122)-SUM($J127:CX127))*$E129/12</f>
        <v>0</v>
      </c>
      <c r="CY129" s="251">
        <f>(SUM($J122:CY122)-SUM($J127:CY127))*$E129/12</f>
        <v>0</v>
      </c>
      <c r="CZ129" s="251">
        <f>(SUM($J122:CZ122)-SUM($J127:CZ127))*$E129/12</f>
        <v>0</v>
      </c>
      <c r="DA129" s="251">
        <f>(SUM($J122:DA122)-SUM($J127:DA127))*$E129/12</f>
        <v>0</v>
      </c>
      <c r="DB129" s="251">
        <f>(SUM($J122:DB122)-SUM($J127:DB127))*$E129/12</f>
        <v>8333.3333333333339</v>
      </c>
      <c r="DC129" s="251">
        <f>(SUM($J122:DC122)-SUM($J127:DC127))*$E129/12</f>
        <v>8333.3333333333339</v>
      </c>
      <c r="DD129" s="251">
        <f>(SUM($J122:DD122)-SUM($J127:DD127))*$E129/12</f>
        <v>8333.3333333333339</v>
      </c>
      <c r="DE129" s="251">
        <f>(SUM($J122:DE122)-SUM($J127:DE127))*$E129/12</f>
        <v>8333.3333333333339</v>
      </c>
      <c r="DF129" s="251">
        <f>(SUM($J122:DF122)-SUM($J127:DF127))*$E129/12</f>
        <v>8333.3333333333339</v>
      </c>
      <c r="DG129" s="251">
        <f>(SUM($J122:DG122)-SUM($J127:DG127))*$E129/12</f>
        <v>8333.3333333333339</v>
      </c>
      <c r="DH129" s="251">
        <f>(SUM($J122:DH122)-SUM($J127:DH127))*$E129/12</f>
        <v>8179.0123456790125</v>
      </c>
      <c r="DI129" s="251">
        <f>(SUM($J122:DI122)-SUM($J127:DI127))*$E129/12</f>
        <v>8024.691358024691</v>
      </c>
      <c r="DJ129" s="251">
        <f>(SUM($J122:DJ122)-SUM($J127:DJ127))*$E129/12</f>
        <v>7870.3703703703713</v>
      </c>
      <c r="DK129" s="251">
        <f>(SUM($J122:DK122)-SUM($J127:DK127))*$E129/12</f>
        <v>7716.0493827160499</v>
      </c>
      <c r="DL129" s="251">
        <f>(SUM($J122:DL122)-SUM($J127:DL127))*$E129/12</f>
        <v>7561.7283950617284</v>
      </c>
      <c r="DM129" s="251">
        <f>(SUM($J122:DM122)-SUM($J127:DM127))*$E129/12</f>
        <v>7407.4074074074078</v>
      </c>
      <c r="DN129" s="251">
        <f>(SUM($J122:DN122)-SUM($J127:DN127))*$E129/12</f>
        <v>7253.0864197530864</v>
      </c>
      <c r="DO129" s="251">
        <f>(SUM($J122:DO122)-SUM($J127:DO127))*$E129/12</f>
        <v>7098.7654320987667</v>
      </c>
      <c r="DP129" s="251">
        <f>(SUM($J122:DP122)-SUM($J127:DP127))*$E129/12</f>
        <v>6944.4444444444453</v>
      </c>
      <c r="DQ129" s="251">
        <f>(SUM($J122:DQ122)-SUM($J127:DQ127))*$E129/12</f>
        <v>6790.1234567901238</v>
      </c>
      <c r="DR129" s="251">
        <f>(SUM($J122:DR122)-SUM($J127:DR127))*$E129/12</f>
        <v>6635.8024691358041</v>
      </c>
      <c r="DS129" s="251">
        <f>(SUM($J122:DS122)-SUM($J127:DS127))*$E129/12</f>
        <v>6481.4814814814827</v>
      </c>
      <c r="DT129" s="251">
        <f>(SUM($J122:DT122)-SUM($J127:DT127))*$E129/12</f>
        <v>6327.1604938271621</v>
      </c>
      <c r="DU129" s="251">
        <f>(SUM($J122:DU122)-SUM($J127:DU127))*$E129/12</f>
        <v>6172.8395061728406</v>
      </c>
      <c r="DV129" s="251">
        <f>(SUM($J122:DV122)-SUM($J127:DV127))*$E129/12</f>
        <v>6018.5185185185192</v>
      </c>
      <c r="DW129" s="251">
        <f>(SUM($J122:DW122)-SUM($J127:DW127))*$E129/12</f>
        <v>5864.1975308641986</v>
      </c>
      <c r="DX129" s="251">
        <f>(SUM($J122:DX122)-SUM($J127:DX127))*$E129/12</f>
        <v>5709.8765432098771</v>
      </c>
      <c r="DY129" s="251">
        <f>(SUM($J122:DY122)-SUM($J127:DY127))*$E129/12</f>
        <v>5555.5555555555557</v>
      </c>
    </row>
    <row r="130" spans="2:129">
      <c r="B130" s="43"/>
      <c r="C130" s="43" t="s">
        <v>390</v>
      </c>
      <c r="D130" s="43"/>
      <c r="E130" s="526"/>
      <c r="F130" s="131"/>
      <c r="G130" s="131"/>
      <c r="H130" s="131"/>
      <c r="I130" s="43"/>
      <c r="J130" s="491">
        <f>J124*$E129/12</f>
        <v>0</v>
      </c>
      <c r="K130" s="491">
        <f t="shared" ref="K130:BV130" si="111">K124*$E129/12</f>
        <v>0</v>
      </c>
      <c r="L130" s="491">
        <f t="shared" si="111"/>
        <v>0</v>
      </c>
      <c r="M130" s="491">
        <f t="shared" si="111"/>
        <v>0</v>
      </c>
      <c r="N130" s="491">
        <f t="shared" si="111"/>
        <v>0</v>
      </c>
      <c r="O130" s="491">
        <f t="shared" si="111"/>
        <v>0</v>
      </c>
      <c r="P130" s="491">
        <f t="shared" si="111"/>
        <v>0</v>
      </c>
      <c r="Q130" s="491">
        <f t="shared" si="111"/>
        <v>0</v>
      </c>
      <c r="R130" s="491">
        <f t="shared" si="111"/>
        <v>0</v>
      </c>
      <c r="S130" s="491">
        <f t="shared" si="111"/>
        <v>0</v>
      </c>
      <c r="T130" s="491">
        <f t="shared" si="111"/>
        <v>0</v>
      </c>
      <c r="U130" s="491">
        <f t="shared" si="111"/>
        <v>0</v>
      </c>
      <c r="V130" s="491">
        <f t="shared" si="111"/>
        <v>0</v>
      </c>
      <c r="W130" s="491">
        <f t="shared" si="111"/>
        <v>0</v>
      </c>
      <c r="X130" s="491">
        <f t="shared" si="111"/>
        <v>0</v>
      </c>
      <c r="Y130" s="491">
        <f t="shared" si="111"/>
        <v>0</v>
      </c>
      <c r="Z130" s="491">
        <f t="shared" si="111"/>
        <v>0</v>
      </c>
      <c r="AA130" s="491">
        <f t="shared" si="111"/>
        <v>0</v>
      </c>
      <c r="AB130" s="491">
        <f t="shared" si="111"/>
        <v>0</v>
      </c>
      <c r="AC130" s="491">
        <f t="shared" si="111"/>
        <v>0</v>
      </c>
      <c r="AD130" s="491">
        <f t="shared" si="111"/>
        <v>0</v>
      </c>
      <c r="AE130" s="491">
        <f t="shared" si="111"/>
        <v>0</v>
      </c>
      <c r="AF130" s="491">
        <f t="shared" si="111"/>
        <v>0</v>
      </c>
      <c r="AG130" s="491">
        <f t="shared" si="111"/>
        <v>0</v>
      </c>
      <c r="AH130" s="491">
        <f t="shared" si="111"/>
        <v>0</v>
      </c>
      <c r="AI130" s="491">
        <f t="shared" si="111"/>
        <v>0</v>
      </c>
      <c r="AJ130" s="491">
        <f t="shared" si="111"/>
        <v>0</v>
      </c>
      <c r="AK130" s="491">
        <f t="shared" si="111"/>
        <v>0</v>
      </c>
      <c r="AL130" s="491">
        <f t="shared" si="111"/>
        <v>0</v>
      </c>
      <c r="AM130" s="491">
        <f t="shared" si="111"/>
        <v>0</v>
      </c>
      <c r="AN130" s="491">
        <f t="shared" si="111"/>
        <v>0</v>
      </c>
      <c r="AO130" s="491">
        <f t="shared" si="111"/>
        <v>0</v>
      </c>
      <c r="AP130" s="491">
        <f t="shared" si="111"/>
        <v>0</v>
      </c>
      <c r="AQ130" s="491">
        <f t="shared" si="111"/>
        <v>0</v>
      </c>
      <c r="AR130" s="491">
        <f t="shared" si="111"/>
        <v>0</v>
      </c>
      <c r="AS130" s="491">
        <f t="shared" si="111"/>
        <v>0</v>
      </c>
      <c r="AT130" s="491">
        <f t="shared" si="111"/>
        <v>0</v>
      </c>
      <c r="AU130" s="491">
        <f t="shared" si="111"/>
        <v>0</v>
      </c>
      <c r="AV130" s="491">
        <f t="shared" si="111"/>
        <v>0</v>
      </c>
      <c r="AW130" s="491">
        <f t="shared" si="111"/>
        <v>0</v>
      </c>
      <c r="AX130" s="491">
        <f t="shared" si="111"/>
        <v>0</v>
      </c>
      <c r="AY130" s="491">
        <f t="shared" si="111"/>
        <v>0</v>
      </c>
      <c r="AZ130" s="491">
        <f t="shared" si="111"/>
        <v>0</v>
      </c>
      <c r="BA130" s="491">
        <f t="shared" si="111"/>
        <v>0</v>
      </c>
      <c r="BB130" s="491">
        <f t="shared" si="111"/>
        <v>0</v>
      </c>
      <c r="BC130" s="491">
        <f t="shared" si="111"/>
        <v>0</v>
      </c>
      <c r="BD130" s="491">
        <f t="shared" si="111"/>
        <v>0</v>
      </c>
      <c r="BE130" s="491">
        <f t="shared" si="111"/>
        <v>0</v>
      </c>
      <c r="BF130" s="491">
        <f t="shared" si="111"/>
        <v>0</v>
      </c>
      <c r="BG130" s="491">
        <f t="shared" si="111"/>
        <v>0</v>
      </c>
      <c r="BH130" s="491">
        <f t="shared" si="111"/>
        <v>0</v>
      </c>
      <c r="BI130" s="491">
        <f t="shared" si="111"/>
        <v>0</v>
      </c>
      <c r="BJ130" s="491">
        <f t="shared" si="111"/>
        <v>0</v>
      </c>
      <c r="BK130" s="491">
        <f t="shared" si="111"/>
        <v>0</v>
      </c>
      <c r="BL130" s="491">
        <f t="shared" si="111"/>
        <v>0</v>
      </c>
      <c r="BM130" s="491">
        <f t="shared" si="111"/>
        <v>0</v>
      </c>
      <c r="BN130" s="491">
        <f t="shared" si="111"/>
        <v>0</v>
      </c>
      <c r="BO130" s="491">
        <f t="shared" si="111"/>
        <v>0</v>
      </c>
      <c r="BP130" s="491">
        <f t="shared" si="111"/>
        <v>0</v>
      </c>
      <c r="BQ130" s="491">
        <f t="shared" si="111"/>
        <v>0</v>
      </c>
      <c r="BR130" s="491">
        <f t="shared" si="111"/>
        <v>0</v>
      </c>
      <c r="BS130" s="491">
        <f t="shared" si="111"/>
        <v>0</v>
      </c>
      <c r="BT130" s="491">
        <f t="shared" si="111"/>
        <v>0</v>
      </c>
      <c r="BU130" s="491">
        <f t="shared" si="111"/>
        <v>0</v>
      </c>
      <c r="BV130" s="491">
        <f t="shared" si="111"/>
        <v>0</v>
      </c>
      <c r="BW130" s="491">
        <f t="shared" ref="BW130:CC130" si="112">BW124*$E129/12</f>
        <v>0</v>
      </c>
      <c r="BX130" s="491">
        <f t="shared" si="112"/>
        <v>0</v>
      </c>
      <c r="BY130" s="491">
        <f t="shared" si="112"/>
        <v>0</v>
      </c>
      <c r="BZ130" s="491">
        <f t="shared" si="112"/>
        <v>0</v>
      </c>
      <c r="CA130" s="491">
        <f t="shared" si="112"/>
        <v>0</v>
      </c>
      <c r="CB130" s="491">
        <f t="shared" si="112"/>
        <v>0</v>
      </c>
      <c r="CC130" s="491">
        <f t="shared" si="112"/>
        <v>0</v>
      </c>
      <c r="CD130" s="491">
        <f t="shared" ref="CD130:DY130" si="113">CD124*$E129/12</f>
        <v>0</v>
      </c>
      <c r="CE130" s="491">
        <f t="shared" si="113"/>
        <v>0</v>
      </c>
      <c r="CF130" s="491">
        <f t="shared" si="113"/>
        <v>0</v>
      </c>
      <c r="CG130" s="491">
        <f t="shared" si="113"/>
        <v>0</v>
      </c>
      <c r="CH130" s="491">
        <f t="shared" si="113"/>
        <v>0</v>
      </c>
      <c r="CI130" s="491">
        <f t="shared" si="113"/>
        <v>0</v>
      </c>
      <c r="CJ130" s="491">
        <f t="shared" si="113"/>
        <v>0</v>
      </c>
      <c r="CK130" s="491">
        <f t="shared" si="113"/>
        <v>0</v>
      </c>
      <c r="CL130" s="491">
        <f t="shared" si="113"/>
        <v>0</v>
      </c>
      <c r="CM130" s="491">
        <f t="shared" si="113"/>
        <v>0</v>
      </c>
      <c r="CN130" s="491">
        <f t="shared" si="113"/>
        <v>0</v>
      </c>
      <c r="CO130" s="491">
        <f t="shared" si="113"/>
        <v>0</v>
      </c>
      <c r="CP130" s="491">
        <f t="shared" si="113"/>
        <v>0</v>
      </c>
      <c r="CQ130" s="491">
        <f t="shared" si="113"/>
        <v>0</v>
      </c>
      <c r="CR130" s="491">
        <f t="shared" si="113"/>
        <v>0</v>
      </c>
      <c r="CS130" s="491">
        <f t="shared" si="113"/>
        <v>0</v>
      </c>
      <c r="CT130" s="491">
        <f t="shared" si="113"/>
        <v>0</v>
      </c>
      <c r="CU130" s="491">
        <f t="shared" si="113"/>
        <v>0</v>
      </c>
      <c r="CV130" s="491">
        <f t="shared" si="113"/>
        <v>0</v>
      </c>
      <c r="CW130" s="491">
        <f t="shared" si="113"/>
        <v>0</v>
      </c>
      <c r="CX130" s="491">
        <f t="shared" si="113"/>
        <v>0</v>
      </c>
      <c r="CY130" s="491">
        <f t="shared" si="113"/>
        <v>0</v>
      </c>
      <c r="CZ130" s="491">
        <f t="shared" si="113"/>
        <v>0</v>
      </c>
      <c r="DA130" s="491">
        <f t="shared" si="113"/>
        <v>0</v>
      </c>
      <c r="DB130" s="491">
        <f t="shared" si="113"/>
        <v>83333.333333333328</v>
      </c>
      <c r="DC130" s="491">
        <f t="shared" si="113"/>
        <v>83333.333333333328</v>
      </c>
      <c r="DD130" s="491">
        <f t="shared" si="113"/>
        <v>83333.333333333328</v>
      </c>
      <c r="DE130" s="491">
        <f t="shared" si="113"/>
        <v>83333.333333333328</v>
      </c>
      <c r="DF130" s="491">
        <f t="shared" si="113"/>
        <v>83333.333333333328</v>
      </c>
      <c r="DG130" s="491">
        <f t="shared" si="113"/>
        <v>83333.333333333328</v>
      </c>
      <c r="DH130" s="491">
        <f t="shared" si="113"/>
        <v>81790.123456790127</v>
      </c>
      <c r="DI130" s="491">
        <f t="shared" si="113"/>
        <v>80246.913580246925</v>
      </c>
      <c r="DJ130" s="491">
        <f t="shared" si="113"/>
        <v>78703.703703703723</v>
      </c>
      <c r="DK130" s="491">
        <f t="shared" si="113"/>
        <v>77160.493827160521</v>
      </c>
      <c r="DL130" s="491">
        <f t="shared" si="113"/>
        <v>75617.283950617304</v>
      </c>
      <c r="DM130" s="491">
        <f t="shared" si="113"/>
        <v>74074.074074074102</v>
      </c>
      <c r="DN130" s="491">
        <f t="shared" si="113"/>
        <v>72530.8641975309</v>
      </c>
      <c r="DO130" s="491">
        <f t="shared" si="113"/>
        <v>70987.654320987684</v>
      </c>
      <c r="DP130" s="491">
        <f t="shared" si="113"/>
        <v>69444.444444444482</v>
      </c>
      <c r="DQ130" s="491">
        <f t="shared" si="113"/>
        <v>67901.23456790128</v>
      </c>
      <c r="DR130" s="491">
        <f t="shared" si="113"/>
        <v>66358.024691358078</v>
      </c>
      <c r="DS130" s="491">
        <f t="shared" si="113"/>
        <v>64814.814814814868</v>
      </c>
      <c r="DT130" s="491">
        <f t="shared" si="113"/>
        <v>63271.604938271659</v>
      </c>
      <c r="DU130" s="491">
        <f t="shared" si="113"/>
        <v>61728.395061728457</v>
      </c>
      <c r="DV130" s="491">
        <f t="shared" si="113"/>
        <v>60185.185185185248</v>
      </c>
      <c r="DW130" s="491">
        <f t="shared" si="113"/>
        <v>58641.975308642046</v>
      </c>
      <c r="DX130" s="491">
        <f t="shared" si="113"/>
        <v>57098.765432098844</v>
      </c>
      <c r="DY130" s="491">
        <f t="shared" si="113"/>
        <v>55555.555555555628</v>
      </c>
    </row>
    <row r="131" spans="2:129">
      <c r="B131" s="43"/>
      <c r="C131" s="43" t="s">
        <v>392</v>
      </c>
      <c r="D131" s="43"/>
      <c r="E131" s="486"/>
      <c r="F131" s="127"/>
      <c r="G131" s="127"/>
      <c r="H131" s="127"/>
      <c r="I131" s="43"/>
      <c r="J131" s="491">
        <f>IF($E121="USD",J124*(1-Flags!$K$29),0)</f>
        <v>0</v>
      </c>
      <c r="K131" s="491">
        <f>IF($E121="USD",K124*(1-Flags!$K$29),0)</f>
        <v>0</v>
      </c>
      <c r="L131" s="491">
        <f>IF($E121="USD",L124*(1-Flags!$K$29),0)</f>
        <v>0</v>
      </c>
      <c r="M131" s="491">
        <f>IF($E121="USD",M124*(1-Flags!$K$29),0)</f>
        <v>0</v>
      </c>
      <c r="N131" s="491">
        <f>IF($E121="USD",N124*(1-Flags!$K$29),0)</f>
        <v>0</v>
      </c>
      <c r="O131" s="491">
        <f>IF($E121="USD",O124*(1-Flags!$K$29),0)</f>
        <v>0</v>
      </c>
      <c r="P131" s="491">
        <f>IF($E121="USD",P124*(1-Flags!$K$29),0)</f>
        <v>0</v>
      </c>
      <c r="Q131" s="491">
        <f>IF($E121="USD",Q124*(1-Flags!$K$29),0)</f>
        <v>0</v>
      </c>
      <c r="R131" s="491">
        <f>IF($E121="USD",R124*(1-Flags!$K$29),0)</f>
        <v>0</v>
      </c>
      <c r="S131" s="491">
        <f>IF($E121="USD",S124*(1-Flags!$K$29),0)</f>
        <v>0</v>
      </c>
      <c r="T131" s="491">
        <f>IF($E121="USD",T124*(1-Flags!$K$29),0)</f>
        <v>0</v>
      </c>
      <c r="U131" s="491">
        <f>IF($E121="USD",U124*(1-Flags!$K$29),0)</f>
        <v>0</v>
      </c>
      <c r="V131" s="491">
        <f>IF($E121="USD",V124*(1-Flags!$K$29),0)</f>
        <v>0</v>
      </c>
      <c r="W131" s="491">
        <f>IF($E121="USD",W124*(1-Flags!$K$29),0)</f>
        <v>0</v>
      </c>
      <c r="X131" s="491">
        <f>IF($E121="USD",X124*(1-Flags!$K$29),0)</f>
        <v>0</v>
      </c>
      <c r="Y131" s="491">
        <f>IF($E121="USD",Y124*(1-Flags!$K$29),0)</f>
        <v>0</v>
      </c>
      <c r="Z131" s="491">
        <f>IF($E121="USD",Z124*(1-Flags!$K$29),0)</f>
        <v>0</v>
      </c>
      <c r="AA131" s="491">
        <f>IF($E121="USD",AA124*(1-Flags!$K$29),0)</f>
        <v>0</v>
      </c>
      <c r="AB131" s="491">
        <f>IF($E121="USD",AB124*(1-Flags!$K$29),0)</f>
        <v>0</v>
      </c>
      <c r="AC131" s="491">
        <f>IF($E121="USD",AC124*(1-Flags!$K$29),0)</f>
        <v>0</v>
      </c>
      <c r="AD131" s="491">
        <f>IF($E121="USD",AD124*(1-Flags!$K$29),0)</f>
        <v>0</v>
      </c>
      <c r="AE131" s="491">
        <f>IF($E121="USD",AE124*(1-Flags!$K$29),0)</f>
        <v>0</v>
      </c>
      <c r="AF131" s="491">
        <f>IF($E121="USD",AF124*(1-Flags!$K$29),0)</f>
        <v>0</v>
      </c>
      <c r="AG131" s="491">
        <f>IF($E121="USD",AG124*(1-Flags!$K$29),0)</f>
        <v>0</v>
      </c>
      <c r="AH131" s="491">
        <f>IF($E121="USD",AH124*(1-Flags!$K$29),0)</f>
        <v>0</v>
      </c>
      <c r="AI131" s="491">
        <f>IF($E121="USD",AI124*(1-Flags!$K$29),0)</f>
        <v>0</v>
      </c>
      <c r="AJ131" s="491">
        <f>IF($E121="USD",AJ124*(1-Flags!$K$29),0)</f>
        <v>0</v>
      </c>
      <c r="AK131" s="491">
        <f>IF($E121="USD",AK124*(1-Flags!$K$29),0)</f>
        <v>0</v>
      </c>
      <c r="AL131" s="491">
        <f>IF($E121="USD",AL124*(1-Flags!$K$29),0)</f>
        <v>0</v>
      </c>
      <c r="AM131" s="491">
        <f>IF($E121="USD",AM124*(1-Flags!$K$29),0)</f>
        <v>0</v>
      </c>
      <c r="AN131" s="491">
        <f>IF($E121="USD",AN124*(1-Flags!$K$29),0)</f>
        <v>0</v>
      </c>
      <c r="AO131" s="491">
        <f>IF($E121="USD",AO124*(1-Flags!$K$29),0)</f>
        <v>0</v>
      </c>
      <c r="AP131" s="491">
        <f>IF($E121="USD",AP124*(1-Flags!$K$29),0)</f>
        <v>0</v>
      </c>
      <c r="AQ131" s="491">
        <f>IF($E121="USD",AQ124*(1-Flags!$K$29),0)</f>
        <v>0</v>
      </c>
      <c r="AR131" s="491">
        <f>IF($E121="USD",AR124*(1-Flags!$K$29),0)</f>
        <v>0</v>
      </c>
      <c r="AS131" s="491">
        <f>IF($E121="USD",AS124*(1-Flags!$K$29),0)</f>
        <v>0</v>
      </c>
      <c r="AT131" s="491">
        <f>IF($E121="USD",AT124*(1-Flags!$K$29),0)</f>
        <v>0</v>
      </c>
      <c r="AU131" s="491">
        <f>IF($E121="USD",AU124*(1-Flags!$K$29),0)</f>
        <v>0</v>
      </c>
      <c r="AV131" s="491">
        <f>IF($E121="USD",AV124*(1-Flags!$K$29),0)</f>
        <v>0</v>
      </c>
      <c r="AW131" s="491">
        <f>IF($E121="USD",AW124*(1-Flags!$K$29),0)</f>
        <v>0</v>
      </c>
      <c r="AX131" s="491">
        <f>IF($E121="USD",AX124*(1-Flags!$K$29),0)</f>
        <v>0</v>
      </c>
      <c r="AY131" s="491">
        <f>IF($E121="USD",AY124*(1-Flags!$K$29),0)</f>
        <v>0</v>
      </c>
      <c r="AZ131" s="491">
        <f>IF($E121="USD",AZ124*(1-Flags!$K$29),0)</f>
        <v>0</v>
      </c>
      <c r="BA131" s="491">
        <f>IF($E121="USD",BA124*(1-Flags!$K$29),0)</f>
        <v>0</v>
      </c>
      <c r="BB131" s="491">
        <f>IF($E121="USD",BB124*(1-Flags!$K$29),0)</f>
        <v>0</v>
      </c>
      <c r="BC131" s="491">
        <f>IF($E121="USD",BC124*(1-Flags!$K$29),0)</f>
        <v>0</v>
      </c>
      <c r="BD131" s="491">
        <f>IF($E121="USD",BD124*(1-Flags!$K$29),0)</f>
        <v>0</v>
      </c>
      <c r="BE131" s="491">
        <f>IF($E121="USD",BE124*(1-Flags!$K$29),0)</f>
        <v>0</v>
      </c>
      <c r="BF131" s="491">
        <f>IF($E121="USD",BF124*(1-Flags!$K$29),0)</f>
        <v>0</v>
      </c>
      <c r="BG131" s="491">
        <f>IF($E121="USD",BG124*(1-Flags!$K$29),0)</f>
        <v>0</v>
      </c>
      <c r="BH131" s="491">
        <f>IF($E121="USD",BH124*(1-Flags!$K$29),0)</f>
        <v>0</v>
      </c>
      <c r="BI131" s="491">
        <f>IF($E121="USD",BI124*(1-Flags!$K$29),0)</f>
        <v>0</v>
      </c>
      <c r="BJ131" s="491">
        <f>IF($E121="USD",BJ124*(1-Flags!$K$29),0)</f>
        <v>0</v>
      </c>
      <c r="BK131" s="491">
        <f>IF($E121="USD",BK124*(1-Flags!$K$29),0)</f>
        <v>0</v>
      </c>
      <c r="BL131" s="491">
        <f>IF($E121="USD",BL124*(1-Flags!$K$29),0)</f>
        <v>0</v>
      </c>
      <c r="BM131" s="491">
        <f>IF($E121="USD",BM124*(1-Flags!$K$29),0)</f>
        <v>0</v>
      </c>
      <c r="BN131" s="491">
        <f>IF($E121="USD",BN124*(1-Flags!$K$29),0)</f>
        <v>0</v>
      </c>
      <c r="BO131" s="491">
        <f>IF($E121="USD",BO124*(1-Flags!$K$29),0)</f>
        <v>0</v>
      </c>
      <c r="BP131" s="491">
        <f>IF($E121="USD",BP124*(1-Flags!$K$29),0)</f>
        <v>0</v>
      </c>
      <c r="BQ131" s="491">
        <f>IF($E121="USD",BQ124*(1-Flags!$K$29),0)</f>
        <v>0</v>
      </c>
      <c r="BR131" s="491">
        <f>IF($E121="USD",BR124*(1-Flags!$K$29),0)</f>
        <v>0</v>
      </c>
      <c r="BS131" s="491">
        <f>IF($E121="USD",BS124*(1-Flags!$K$29),0)</f>
        <v>0</v>
      </c>
      <c r="BT131" s="491">
        <f>IF($E121="USD",BT124*(1-Flags!$K$29),0)</f>
        <v>0</v>
      </c>
      <c r="BU131" s="491">
        <f>IF($E121="USD",BU124*(1-Flags!$K$29),0)</f>
        <v>0</v>
      </c>
      <c r="BV131" s="491">
        <f>IF($E121="USD",BV124*(1-Flags!$K$29),0)</f>
        <v>0</v>
      </c>
      <c r="BW131" s="491">
        <f>IF($E121="USD",BW124*(1-Flags!$K$29),0)</f>
        <v>0</v>
      </c>
      <c r="BX131" s="491">
        <f>IF($E121="USD",BX124*(1-Flags!$K$29),0)</f>
        <v>0</v>
      </c>
      <c r="BY131" s="491">
        <f>IF($E121="USD",BY124*(1-Flags!$K$29),0)</f>
        <v>0</v>
      </c>
      <c r="BZ131" s="491">
        <f>IF($E121="USD",BZ124*(1-Flags!$K$29),0)</f>
        <v>0</v>
      </c>
      <c r="CA131" s="491">
        <f>IF($E121="USD",CA124*(1-Flags!$K$29),0)</f>
        <v>0</v>
      </c>
      <c r="CB131" s="491">
        <f>IF($E121="USD",CB124*(1-Flags!$K$29),0)</f>
        <v>0</v>
      </c>
      <c r="CC131" s="491">
        <f>IF($E121="USD",CC124*(1-Flags!$K$29),0)</f>
        <v>0</v>
      </c>
      <c r="CD131" s="491">
        <f>IF($E121="USD",CD124*(1-Flags!$K$29),0)</f>
        <v>0</v>
      </c>
      <c r="CE131" s="491">
        <f>IF($E121="USD",CE124*(1-Flags!$K$29),0)</f>
        <v>0</v>
      </c>
      <c r="CF131" s="491">
        <f>IF($E121="USD",CF124*(1-Flags!$K$29),0)</f>
        <v>0</v>
      </c>
      <c r="CG131" s="491">
        <f>IF($E121="USD",CG124*(1-Flags!$K$29),0)</f>
        <v>0</v>
      </c>
      <c r="CH131" s="491">
        <f>IF($E121="USD",CH124*(1-Flags!$K$29),0)</f>
        <v>0</v>
      </c>
      <c r="CI131" s="491">
        <f>IF($E121="USD",CI124*(1-Flags!$K$29),0)</f>
        <v>0</v>
      </c>
      <c r="CJ131" s="491">
        <f>IF($E121="USD",CJ124*(1-Flags!$K$29),0)</f>
        <v>0</v>
      </c>
      <c r="CK131" s="491">
        <f>IF($E121="USD",CK124*(1-Flags!$K$29),0)</f>
        <v>0</v>
      </c>
      <c r="CL131" s="491">
        <f>IF($E121="USD",CL124*(1-Flags!$K$29),0)</f>
        <v>0</v>
      </c>
      <c r="CM131" s="491">
        <f>IF($E121="USD",CM124*(1-Flags!$K$29),0)</f>
        <v>0</v>
      </c>
      <c r="CN131" s="491">
        <f>IF($E121="USD",CN124*(1-Flags!$K$29),0)</f>
        <v>0</v>
      </c>
      <c r="CO131" s="491">
        <f>IF($E121="USD",CO124*(1-Flags!$K$29),0)</f>
        <v>0</v>
      </c>
      <c r="CP131" s="491">
        <f>IF($E121="USD",CP124*(1-Flags!$K$29),0)</f>
        <v>0</v>
      </c>
      <c r="CQ131" s="491">
        <f>IF($E121="USD",CQ124*(1-Flags!$K$29),0)</f>
        <v>0</v>
      </c>
      <c r="CR131" s="491">
        <f>IF($E121="USD",CR124*(1-Flags!$K$29),0)</f>
        <v>0</v>
      </c>
      <c r="CS131" s="491">
        <f>IF($E121="USD",CS124*(1-Flags!$K$29),0)</f>
        <v>0</v>
      </c>
      <c r="CT131" s="491">
        <f>IF($E121="USD",CT124*(1-Flags!$K$29),0)</f>
        <v>0</v>
      </c>
      <c r="CU131" s="491">
        <f>IF($E121="USD",CU124*(1-Flags!$K$29),0)</f>
        <v>0</v>
      </c>
      <c r="CV131" s="491">
        <f>IF($E121="USD",CV124*(1-Flags!$K$29),0)</f>
        <v>0</v>
      </c>
      <c r="CW131" s="491">
        <f>IF($E121="USD",CW124*(1-Flags!$K$29),0)</f>
        <v>0</v>
      </c>
      <c r="CX131" s="491">
        <f>IF($E121="USD",CX124*(1-Flags!$K$29),0)</f>
        <v>0</v>
      </c>
      <c r="CY131" s="491">
        <f>IF($E121="USD",CY124*(1-Flags!$K$29),0)</f>
        <v>0</v>
      </c>
      <c r="CZ131" s="491">
        <f>IF($E121="USD",CZ124*(1-Flags!$K$29),0)</f>
        <v>0</v>
      </c>
      <c r="DA131" s="491">
        <f>IF($E121="USD",DA124*(1-Flags!$K$29),0)</f>
        <v>0</v>
      </c>
      <c r="DB131" s="491">
        <f>IF($E121="USD",DB124*(1-Flags!$K$29),0)</f>
        <v>0</v>
      </c>
      <c r="DC131" s="491">
        <f>IF($E121="USD",DC124*(1-Flags!$K$29),0)</f>
        <v>0</v>
      </c>
      <c r="DD131" s="491">
        <f>IF($E121="USD",DD124*(1-Flags!$K$29),0)</f>
        <v>0</v>
      </c>
      <c r="DE131" s="491">
        <f>IF($E121="USD",DE124*(1-Flags!$K$29),0)</f>
        <v>0</v>
      </c>
      <c r="DF131" s="491">
        <f>IF($E121="USD",DF124*(1-Flags!$K$29),0)</f>
        <v>0</v>
      </c>
      <c r="DG131" s="491">
        <f>IF($E121="USD",DG124*(1-Flags!$K$29),0)</f>
        <v>0</v>
      </c>
      <c r="DH131" s="491">
        <f>IF($E121="USD",DH124*(1-Flags!$K$29),0)</f>
        <v>0</v>
      </c>
      <c r="DI131" s="491">
        <f>IF($E121="USD",DI124*(1-Flags!$K$29),0)</f>
        <v>0</v>
      </c>
      <c r="DJ131" s="491">
        <f>IF($E121="USD",DJ124*(1-Flags!$K$29),0)</f>
        <v>0</v>
      </c>
      <c r="DK131" s="491">
        <f>IF($E121="USD",DK124*(1-Flags!$K$29),0)</f>
        <v>0</v>
      </c>
      <c r="DL131" s="491">
        <f>IF($E121="USD",DL124*(1-Flags!$K$29),0)</f>
        <v>0</v>
      </c>
      <c r="DM131" s="491">
        <f>IF($E121="USD",DM124*(1-Flags!$K$29),0)</f>
        <v>0</v>
      </c>
      <c r="DN131" s="491">
        <f>IF($E121="USD",DN124*(1-Flags!$K$29),0)</f>
        <v>0</v>
      </c>
      <c r="DO131" s="491">
        <f>IF($E121="USD",DO124*(1-Flags!$K$29),0)</f>
        <v>0</v>
      </c>
      <c r="DP131" s="491">
        <f>IF($E121="USD",DP124*(1-Flags!$K$29),0)</f>
        <v>0</v>
      </c>
      <c r="DQ131" s="491">
        <f>IF($E121="USD",DQ124*(1-Flags!$K$29),0)</f>
        <v>0</v>
      </c>
      <c r="DR131" s="491">
        <f>IF($E121="USD",DR124*(1-Flags!$K$29),0)</f>
        <v>0</v>
      </c>
      <c r="DS131" s="491">
        <f>IF($E121="USD",DS124*(1-Flags!$K$29),0)</f>
        <v>0</v>
      </c>
      <c r="DT131" s="491">
        <f>IF($E121="USD",DT124*(1-Flags!$K$29),0)</f>
        <v>0</v>
      </c>
      <c r="DU131" s="491">
        <f>IF($E121="USD",DU124*(1-Flags!$K$29),0)</f>
        <v>0</v>
      </c>
      <c r="DV131" s="491">
        <f>IF($E121="USD",DV124*(1-Flags!$K$29),0)</f>
        <v>0</v>
      </c>
      <c r="DW131" s="491">
        <f>IF($E121="USD",DW124*(1-Flags!$K$29),0)</f>
        <v>0</v>
      </c>
      <c r="DX131" s="491">
        <f>IF($E121="USD",DX124*(1-Flags!$K$29),0)</f>
        <v>0</v>
      </c>
      <c r="DY131" s="491">
        <f>IF($E121="USD",DY124*(1-Flags!$K$29),0)</f>
        <v>0</v>
      </c>
    </row>
    <row r="132" spans="2:129">
      <c r="C132" s="43" t="s">
        <v>637</v>
      </c>
      <c r="E132" s="578">
        <f>'Model Assumptions'!L142</f>
        <v>0.02</v>
      </c>
      <c r="J132" s="159">
        <f>J122*$E$132</f>
        <v>0</v>
      </c>
      <c r="K132" s="159">
        <f t="shared" ref="K132:BV132" si="114">K122*$E$132</f>
        <v>0</v>
      </c>
      <c r="L132" s="159">
        <f t="shared" si="114"/>
        <v>0</v>
      </c>
      <c r="M132" s="159">
        <f t="shared" si="114"/>
        <v>0</v>
      </c>
      <c r="N132" s="159">
        <f t="shared" si="114"/>
        <v>0</v>
      </c>
      <c r="O132" s="159">
        <f t="shared" si="114"/>
        <v>0</v>
      </c>
      <c r="P132" s="159">
        <f t="shared" si="114"/>
        <v>0</v>
      </c>
      <c r="Q132" s="159">
        <f t="shared" si="114"/>
        <v>0</v>
      </c>
      <c r="R132" s="159">
        <f t="shared" si="114"/>
        <v>0</v>
      </c>
      <c r="S132" s="159">
        <f t="shared" si="114"/>
        <v>0</v>
      </c>
      <c r="T132" s="159">
        <f t="shared" si="114"/>
        <v>0</v>
      </c>
      <c r="U132" s="159">
        <f t="shared" si="114"/>
        <v>0</v>
      </c>
      <c r="V132" s="159">
        <f t="shared" si="114"/>
        <v>0</v>
      </c>
      <c r="W132" s="159">
        <f t="shared" si="114"/>
        <v>0</v>
      </c>
      <c r="X132" s="159">
        <f t="shared" si="114"/>
        <v>0</v>
      </c>
      <c r="Y132" s="159">
        <f t="shared" si="114"/>
        <v>0</v>
      </c>
      <c r="Z132" s="159">
        <f t="shared" si="114"/>
        <v>0</v>
      </c>
      <c r="AA132" s="159">
        <f t="shared" si="114"/>
        <v>0</v>
      </c>
      <c r="AB132" s="159">
        <f t="shared" si="114"/>
        <v>0</v>
      </c>
      <c r="AC132" s="159">
        <f t="shared" si="114"/>
        <v>0</v>
      </c>
      <c r="AD132" s="159">
        <f t="shared" si="114"/>
        <v>0</v>
      </c>
      <c r="AE132" s="159">
        <f t="shared" si="114"/>
        <v>0</v>
      </c>
      <c r="AF132" s="159">
        <f t="shared" si="114"/>
        <v>0</v>
      </c>
      <c r="AG132" s="159">
        <f t="shared" si="114"/>
        <v>0</v>
      </c>
      <c r="AH132" s="159">
        <f t="shared" si="114"/>
        <v>0</v>
      </c>
      <c r="AI132" s="159">
        <f t="shared" si="114"/>
        <v>0</v>
      </c>
      <c r="AJ132" s="159">
        <f t="shared" si="114"/>
        <v>0</v>
      </c>
      <c r="AK132" s="159">
        <f t="shared" si="114"/>
        <v>0</v>
      </c>
      <c r="AL132" s="159">
        <f t="shared" si="114"/>
        <v>0</v>
      </c>
      <c r="AM132" s="159">
        <f t="shared" si="114"/>
        <v>0</v>
      </c>
      <c r="AN132" s="159">
        <f t="shared" si="114"/>
        <v>0</v>
      </c>
      <c r="AO132" s="159">
        <f t="shared" si="114"/>
        <v>0</v>
      </c>
      <c r="AP132" s="159">
        <f t="shared" si="114"/>
        <v>0</v>
      </c>
      <c r="AQ132" s="159">
        <f t="shared" si="114"/>
        <v>0</v>
      </c>
      <c r="AR132" s="159">
        <f t="shared" si="114"/>
        <v>0</v>
      </c>
      <c r="AS132" s="159">
        <f t="shared" si="114"/>
        <v>0</v>
      </c>
      <c r="AT132" s="159">
        <f t="shared" si="114"/>
        <v>0</v>
      </c>
      <c r="AU132" s="159">
        <f t="shared" si="114"/>
        <v>0</v>
      </c>
      <c r="AV132" s="159">
        <f t="shared" si="114"/>
        <v>0</v>
      </c>
      <c r="AW132" s="159">
        <f t="shared" si="114"/>
        <v>0</v>
      </c>
      <c r="AX132" s="159">
        <f t="shared" si="114"/>
        <v>0</v>
      </c>
      <c r="AY132" s="159">
        <f t="shared" si="114"/>
        <v>0</v>
      </c>
      <c r="AZ132" s="159">
        <f t="shared" si="114"/>
        <v>0</v>
      </c>
      <c r="BA132" s="159">
        <f t="shared" si="114"/>
        <v>0</v>
      </c>
      <c r="BB132" s="159">
        <f t="shared" si="114"/>
        <v>0</v>
      </c>
      <c r="BC132" s="159">
        <f t="shared" si="114"/>
        <v>0</v>
      </c>
      <c r="BD132" s="159">
        <f t="shared" si="114"/>
        <v>0</v>
      </c>
      <c r="BE132" s="159">
        <f t="shared" si="114"/>
        <v>0</v>
      </c>
      <c r="BF132" s="159">
        <f t="shared" si="114"/>
        <v>0</v>
      </c>
      <c r="BG132" s="159">
        <f t="shared" si="114"/>
        <v>0</v>
      </c>
      <c r="BH132" s="159">
        <f t="shared" si="114"/>
        <v>0</v>
      </c>
      <c r="BI132" s="159">
        <f t="shared" si="114"/>
        <v>0</v>
      </c>
      <c r="BJ132" s="159">
        <f t="shared" si="114"/>
        <v>0</v>
      </c>
      <c r="BK132" s="159">
        <f t="shared" si="114"/>
        <v>0</v>
      </c>
      <c r="BL132" s="159">
        <f t="shared" si="114"/>
        <v>0</v>
      </c>
      <c r="BM132" s="159">
        <f t="shared" si="114"/>
        <v>0</v>
      </c>
      <c r="BN132" s="159">
        <f t="shared" si="114"/>
        <v>0</v>
      </c>
      <c r="BO132" s="159">
        <f t="shared" si="114"/>
        <v>0</v>
      </c>
      <c r="BP132" s="159">
        <f t="shared" si="114"/>
        <v>0</v>
      </c>
      <c r="BQ132" s="159">
        <f t="shared" si="114"/>
        <v>0</v>
      </c>
      <c r="BR132" s="159">
        <f t="shared" si="114"/>
        <v>0</v>
      </c>
      <c r="BS132" s="159">
        <f t="shared" si="114"/>
        <v>0</v>
      </c>
      <c r="BT132" s="159">
        <f t="shared" si="114"/>
        <v>0</v>
      </c>
      <c r="BU132" s="159">
        <f t="shared" si="114"/>
        <v>0</v>
      </c>
      <c r="BV132" s="159">
        <f t="shared" si="114"/>
        <v>0</v>
      </c>
      <c r="BW132" s="159">
        <f t="shared" ref="BW132:DY132" si="115">BW122*$E$132</f>
        <v>0</v>
      </c>
      <c r="BX132" s="159">
        <f t="shared" si="115"/>
        <v>0</v>
      </c>
      <c r="BY132" s="159">
        <f t="shared" si="115"/>
        <v>0</v>
      </c>
      <c r="BZ132" s="159">
        <f t="shared" si="115"/>
        <v>0</v>
      </c>
      <c r="CA132" s="159">
        <f t="shared" si="115"/>
        <v>0</v>
      </c>
      <c r="CB132" s="159">
        <f t="shared" si="115"/>
        <v>0</v>
      </c>
      <c r="CC132" s="159">
        <f t="shared" si="115"/>
        <v>0</v>
      </c>
      <c r="CD132" s="159">
        <f t="shared" si="115"/>
        <v>0</v>
      </c>
      <c r="CE132" s="159">
        <f t="shared" si="115"/>
        <v>0</v>
      </c>
      <c r="CF132" s="159">
        <f t="shared" si="115"/>
        <v>0</v>
      </c>
      <c r="CG132" s="159">
        <f t="shared" si="115"/>
        <v>0</v>
      </c>
      <c r="CH132" s="159">
        <f t="shared" si="115"/>
        <v>0</v>
      </c>
      <c r="CI132" s="159">
        <f t="shared" si="115"/>
        <v>0</v>
      </c>
      <c r="CJ132" s="159">
        <f t="shared" si="115"/>
        <v>0</v>
      </c>
      <c r="CK132" s="159">
        <f t="shared" si="115"/>
        <v>0</v>
      </c>
      <c r="CL132" s="159">
        <f t="shared" si="115"/>
        <v>0</v>
      </c>
      <c r="CM132" s="159">
        <f t="shared" si="115"/>
        <v>0</v>
      </c>
      <c r="CN132" s="159">
        <f t="shared" si="115"/>
        <v>0</v>
      </c>
      <c r="CO132" s="159">
        <f t="shared" si="115"/>
        <v>0</v>
      </c>
      <c r="CP132" s="159">
        <f t="shared" si="115"/>
        <v>0</v>
      </c>
      <c r="CQ132" s="159">
        <f t="shared" si="115"/>
        <v>0</v>
      </c>
      <c r="CR132" s="159">
        <f t="shared" si="115"/>
        <v>0</v>
      </c>
      <c r="CS132" s="159">
        <f t="shared" si="115"/>
        <v>0</v>
      </c>
      <c r="CT132" s="159">
        <f t="shared" si="115"/>
        <v>0</v>
      </c>
      <c r="CU132" s="159">
        <f t="shared" si="115"/>
        <v>0</v>
      </c>
      <c r="CV132" s="159">
        <f t="shared" si="115"/>
        <v>0</v>
      </c>
      <c r="CW132" s="159">
        <f t="shared" si="115"/>
        <v>0</v>
      </c>
      <c r="CX132" s="159">
        <f t="shared" si="115"/>
        <v>0</v>
      </c>
      <c r="CY132" s="159">
        <f t="shared" si="115"/>
        <v>0</v>
      </c>
      <c r="CZ132" s="159">
        <f t="shared" si="115"/>
        <v>0</v>
      </c>
      <c r="DA132" s="159">
        <f t="shared" si="115"/>
        <v>0</v>
      </c>
      <c r="DB132" s="159">
        <f t="shared" si="115"/>
        <v>20000</v>
      </c>
      <c r="DC132" s="159">
        <f t="shared" si="115"/>
        <v>0</v>
      </c>
      <c r="DD132" s="159">
        <f t="shared" si="115"/>
        <v>0</v>
      </c>
      <c r="DE132" s="159">
        <f t="shared" si="115"/>
        <v>0</v>
      </c>
      <c r="DF132" s="159">
        <f t="shared" si="115"/>
        <v>0</v>
      </c>
      <c r="DG132" s="159">
        <f t="shared" si="115"/>
        <v>0</v>
      </c>
      <c r="DH132" s="159">
        <f t="shared" si="115"/>
        <v>0</v>
      </c>
      <c r="DI132" s="159">
        <f t="shared" si="115"/>
        <v>0</v>
      </c>
      <c r="DJ132" s="159">
        <f t="shared" si="115"/>
        <v>0</v>
      </c>
      <c r="DK132" s="159">
        <f t="shared" si="115"/>
        <v>0</v>
      </c>
      <c r="DL132" s="159">
        <f t="shared" si="115"/>
        <v>0</v>
      </c>
      <c r="DM132" s="159">
        <f t="shared" si="115"/>
        <v>0</v>
      </c>
      <c r="DN132" s="159">
        <f t="shared" si="115"/>
        <v>0</v>
      </c>
      <c r="DO132" s="159">
        <f t="shared" si="115"/>
        <v>0</v>
      </c>
      <c r="DP132" s="159">
        <f t="shared" si="115"/>
        <v>0</v>
      </c>
      <c r="DQ132" s="159">
        <f t="shared" si="115"/>
        <v>0</v>
      </c>
      <c r="DR132" s="159">
        <f t="shared" si="115"/>
        <v>0</v>
      </c>
      <c r="DS132" s="159">
        <f t="shared" si="115"/>
        <v>0</v>
      </c>
      <c r="DT132" s="159">
        <f t="shared" si="115"/>
        <v>0</v>
      </c>
      <c r="DU132" s="159">
        <f t="shared" si="115"/>
        <v>0</v>
      </c>
      <c r="DV132" s="159">
        <f t="shared" si="115"/>
        <v>0</v>
      </c>
      <c r="DW132" s="159">
        <f t="shared" si="115"/>
        <v>0</v>
      </c>
      <c r="DX132" s="159">
        <f t="shared" si="115"/>
        <v>0</v>
      </c>
      <c r="DY132" s="159">
        <f t="shared" si="115"/>
        <v>0</v>
      </c>
    </row>
    <row r="133" spans="2:129">
      <c r="C133" s="43" t="s">
        <v>638</v>
      </c>
      <c r="J133" s="579">
        <f>J123*$E$132</f>
        <v>0</v>
      </c>
      <c r="K133" s="579">
        <f t="shared" ref="K133:BV133" si="116">K123*$E$132</f>
        <v>0</v>
      </c>
      <c r="L133" s="579">
        <f t="shared" si="116"/>
        <v>0</v>
      </c>
      <c r="M133" s="579">
        <f t="shared" si="116"/>
        <v>0</v>
      </c>
      <c r="N133" s="579">
        <f t="shared" si="116"/>
        <v>0</v>
      </c>
      <c r="O133" s="579">
        <f t="shared" si="116"/>
        <v>0</v>
      </c>
      <c r="P133" s="579">
        <f t="shared" si="116"/>
        <v>0</v>
      </c>
      <c r="Q133" s="579">
        <f t="shared" si="116"/>
        <v>0</v>
      </c>
      <c r="R133" s="579">
        <f t="shared" si="116"/>
        <v>0</v>
      </c>
      <c r="S133" s="579">
        <f t="shared" si="116"/>
        <v>0</v>
      </c>
      <c r="T133" s="579">
        <f t="shared" si="116"/>
        <v>0</v>
      </c>
      <c r="U133" s="579">
        <f t="shared" si="116"/>
        <v>0</v>
      </c>
      <c r="V133" s="579">
        <f t="shared" si="116"/>
        <v>0</v>
      </c>
      <c r="W133" s="579">
        <f t="shared" si="116"/>
        <v>0</v>
      </c>
      <c r="X133" s="579">
        <f t="shared" si="116"/>
        <v>0</v>
      </c>
      <c r="Y133" s="579">
        <f t="shared" si="116"/>
        <v>0</v>
      </c>
      <c r="Z133" s="579">
        <f t="shared" si="116"/>
        <v>0</v>
      </c>
      <c r="AA133" s="579">
        <f t="shared" si="116"/>
        <v>0</v>
      </c>
      <c r="AB133" s="579">
        <f t="shared" si="116"/>
        <v>0</v>
      </c>
      <c r="AC133" s="579">
        <f t="shared" si="116"/>
        <v>0</v>
      </c>
      <c r="AD133" s="579">
        <f t="shared" si="116"/>
        <v>0</v>
      </c>
      <c r="AE133" s="579">
        <f t="shared" si="116"/>
        <v>0</v>
      </c>
      <c r="AF133" s="579">
        <f t="shared" si="116"/>
        <v>0</v>
      </c>
      <c r="AG133" s="579">
        <f t="shared" si="116"/>
        <v>0</v>
      </c>
      <c r="AH133" s="579">
        <f t="shared" si="116"/>
        <v>0</v>
      </c>
      <c r="AI133" s="579">
        <f t="shared" si="116"/>
        <v>0</v>
      </c>
      <c r="AJ133" s="579">
        <f t="shared" si="116"/>
        <v>0</v>
      </c>
      <c r="AK133" s="579">
        <f t="shared" si="116"/>
        <v>0</v>
      </c>
      <c r="AL133" s="579">
        <f t="shared" si="116"/>
        <v>0</v>
      </c>
      <c r="AM133" s="579">
        <f t="shared" si="116"/>
        <v>0</v>
      </c>
      <c r="AN133" s="579">
        <f t="shared" si="116"/>
        <v>0</v>
      </c>
      <c r="AO133" s="579">
        <f t="shared" si="116"/>
        <v>0</v>
      </c>
      <c r="AP133" s="579">
        <f t="shared" si="116"/>
        <v>0</v>
      </c>
      <c r="AQ133" s="579">
        <f t="shared" si="116"/>
        <v>0</v>
      </c>
      <c r="AR133" s="579">
        <f t="shared" si="116"/>
        <v>0</v>
      </c>
      <c r="AS133" s="579">
        <f t="shared" si="116"/>
        <v>0</v>
      </c>
      <c r="AT133" s="579">
        <f t="shared" si="116"/>
        <v>0</v>
      </c>
      <c r="AU133" s="579">
        <f t="shared" si="116"/>
        <v>0</v>
      </c>
      <c r="AV133" s="579">
        <f t="shared" si="116"/>
        <v>0</v>
      </c>
      <c r="AW133" s="579">
        <f t="shared" si="116"/>
        <v>0</v>
      </c>
      <c r="AX133" s="579">
        <f t="shared" si="116"/>
        <v>0</v>
      </c>
      <c r="AY133" s="579">
        <f t="shared" si="116"/>
        <v>0</v>
      </c>
      <c r="AZ133" s="579">
        <f t="shared" si="116"/>
        <v>0</v>
      </c>
      <c r="BA133" s="579">
        <f t="shared" si="116"/>
        <v>0</v>
      </c>
      <c r="BB133" s="579">
        <f t="shared" si="116"/>
        <v>0</v>
      </c>
      <c r="BC133" s="579">
        <f t="shared" si="116"/>
        <v>0</v>
      </c>
      <c r="BD133" s="579">
        <f t="shared" si="116"/>
        <v>0</v>
      </c>
      <c r="BE133" s="579">
        <f t="shared" si="116"/>
        <v>0</v>
      </c>
      <c r="BF133" s="579">
        <f t="shared" si="116"/>
        <v>0</v>
      </c>
      <c r="BG133" s="579">
        <f t="shared" si="116"/>
        <v>0</v>
      </c>
      <c r="BH133" s="579">
        <f t="shared" si="116"/>
        <v>0</v>
      </c>
      <c r="BI133" s="579">
        <f t="shared" si="116"/>
        <v>0</v>
      </c>
      <c r="BJ133" s="579">
        <f t="shared" si="116"/>
        <v>0</v>
      </c>
      <c r="BK133" s="579">
        <f t="shared" si="116"/>
        <v>0</v>
      </c>
      <c r="BL133" s="579">
        <f t="shared" si="116"/>
        <v>0</v>
      </c>
      <c r="BM133" s="579">
        <f t="shared" si="116"/>
        <v>0</v>
      </c>
      <c r="BN133" s="579">
        <f t="shared" si="116"/>
        <v>0</v>
      </c>
      <c r="BO133" s="579">
        <f t="shared" si="116"/>
        <v>0</v>
      </c>
      <c r="BP133" s="579">
        <f t="shared" si="116"/>
        <v>0</v>
      </c>
      <c r="BQ133" s="579">
        <f t="shared" si="116"/>
        <v>0</v>
      </c>
      <c r="BR133" s="579">
        <f t="shared" si="116"/>
        <v>0</v>
      </c>
      <c r="BS133" s="579">
        <f t="shared" si="116"/>
        <v>0</v>
      </c>
      <c r="BT133" s="579">
        <f t="shared" si="116"/>
        <v>0</v>
      </c>
      <c r="BU133" s="579">
        <f t="shared" si="116"/>
        <v>0</v>
      </c>
      <c r="BV133" s="579">
        <f t="shared" si="116"/>
        <v>0</v>
      </c>
      <c r="BW133" s="579">
        <f t="shared" ref="BW133:DY133" si="117">BW123*$E$132</f>
        <v>0</v>
      </c>
      <c r="BX133" s="579">
        <f t="shared" si="117"/>
        <v>0</v>
      </c>
      <c r="BY133" s="579">
        <f t="shared" si="117"/>
        <v>0</v>
      </c>
      <c r="BZ133" s="579">
        <f t="shared" si="117"/>
        <v>0</v>
      </c>
      <c r="CA133" s="579">
        <f t="shared" si="117"/>
        <v>0</v>
      </c>
      <c r="CB133" s="579">
        <f t="shared" si="117"/>
        <v>0</v>
      </c>
      <c r="CC133" s="579">
        <f t="shared" si="117"/>
        <v>0</v>
      </c>
      <c r="CD133" s="579">
        <f t="shared" si="117"/>
        <v>0</v>
      </c>
      <c r="CE133" s="579">
        <f t="shared" si="117"/>
        <v>0</v>
      </c>
      <c r="CF133" s="579">
        <f t="shared" si="117"/>
        <v>0</v>
      </c>
      <c r="CG133" s="579">
        <f t="shared" si="117"/>
        <v>0</v>
      </c>
      <c r="CH133" s="579">
        <f t="shared" si="117"/>
        <v>0</v>
      </c>
      <c r="CI133" s="579">
        <f t="shared" si="117"/>
        <v>0</v>
      </c>
      <c r="CJ133" s="579">
        <f t="shared" si="117"/>
        <v>0</v>
      </c>
      <c r="CK133" s="579">
        <f t="shared" si="117"/>
        <v>0</v>
      </c>
      <c r="CL133" s="579">
        <f t="shared" si="117"/>
        <v>0</v>
      </c>
      <c r="CM133" s="579">
        <f t="shared" si="117"/>
        <v>0</v>
      </c>
      <c r="CN133" s="579">
        <f t="shared" si="117"/>
        <v>0</v>
      </c>
      <c r="CO133" s="579">
        <f t="shared" si="117"/>
        <v>0</v>
      </c>
      <c r="CP133" s="579">
        <f t="shared" si="117"/>
        <v>0</v>
      </c>
      <c r="CQ133" s="579">
        <f t="shared" si="117"/>
        <v>0</v>
      </c>
      <c r="CR133" s="579">
        <f t="shared" si="117"/>
        <v>0</v>
      </c>
      <c r="CS133" s="579">
        <f t="shared" si="117"/>
        <v>0</v>
      </c>
      <c r="CT133" s="579">
        <f t="shared" si="117"/>
        <v>0</v>
      </c>
      <c r="CU133" s="579">
        <f t="shared" si="117"/>
        <v>0</v>
      </c>
      <c r="CV133" s="579">
        <f t="shared" si="117"/>
        <v>0</v>
      </c>
      <c r="CW133" s="579">
        <f t="shared" si="117"/>
        <v>0</v>
      </c>
      <c r="CX133" s="579">
        <f t="shared" si="117"/>
        <v>0</v>
      </c>
      <c r="CY133" s="579">
        <f t="shared" si="117"/>
        <v>0</v>
      </c>
      <c r="CZ133" s="579">
        <f t="shared" si="117"/>
        <v>0</v>
      </c>
      <c r="DA133" s="579">
        <f t="shared" si="117"/>
        <v>0</v>
      </c>
      <c r="DB133" s="579">
        <f t="shared" si="117"/>
        <v>200000</v>
      </c>
      <c r="DC133" s="579">
        <f t="shared" si="117"/>
        <v>0</v>
      </c>
      <c r="DD133" s="579">
        <f t="shared" si="117"/>
        <v>0</v>
      </c>
      <c r="DE133" s="579">
        <f t="shared" si="117"/>
        <v>0</v>
      </c>
      <c r="DF133" s="579">
        <f t="shared" si="117"/>
        <v>0</v>
      </c>
      <c r="DG133" s="579">
        <f t="shared" si="117"/>
        <v>0</v>
      </c>
      <c r="DH133" s="579">
        <f t="shared" si="117"/>
        <v>0</v>
      </c>
      <c r="DI133" s="579">
        <f t="shared" si="117"/>
        <v>0</v>
      </c>
      <c r="DJ133" s="579">
        <f t="shared" si="117"/>
        <v>0</v>
      </c>
      <c r="DK133" s="579">
        <f t="shared" si="117"/>
        <v>0</v>
      </c>
      <c r="DL133" s="579">
        <f t="shared" si="117"/>
        <v>0</v>
      </c>
      <c r="DM133" s="579">
        <f t="shared" si="117"/>
        <v>0</v>
      </c>
      <c r="DN133" s="579">
        <f t="shared" si="117"/>
        <v>0</v>
      </c>
      <c r="DO133" s="579">
        <f t="shared" si="117"/>
        <v>0</v>
      </c>
      <c r="DP133" s="579">
        <f t="shared" si="117"/>
        <v>0</v>
      </c>
      <c r="DQ133" s="579">
        <f t="shared" si="117"/>
        <v>0</v>
      </c>
      <c r="DR133" s="579">
        <f t="shared" si="117"/>
        <v>0</v>
      </c>
      <c r="DS133" s="579">
        <f t="shared" si="117"/>
        <v>0</v>
      </c>
      <c r="DT133" s="579">
        <f t="shared" si="117"/>
        <v>0</v>
      </c>
      <c r="DU133" s="579">
        <f t="shared" si="117"/>
        <v>0</v>
      </c>
      <c r="DV133" s="579">
        <f t="shared" si="117"/>
        <v>0</v>
      </c>
      <c r="DW133" s="579">
        <f t="shared" si="117"/>
        <v>0</v>
      </c>
      <c r="DX133" s="579">
        <f t="shared" si="117"/>
        <v>0</v>
      </c>
      <c r="DY133" s="579">
        <f t="shared" si="117"/>
        <v>0</v>
      </c>
    </row>
    <row r="134" spans="2:129">
      <c r="J134" s="43"/>
      <c r="K134" s="43"/>
      <c r="L134" s="43"/>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row>
    <row r="135" spans="2:129">
      <c r="B135" s="44" t="s">
        <v>327</v>
      </c>
      <c r="C135" s="43" t="s">
        <v>44</v>
      </c>
      <c r="D135" s="43"/>
      <c r="E135" s="481">
        <f>+'Model Assumptions'!M133</f>
        <v>48214</v>
      </c>
      <c r="F135" s="125"/>
      <c r="G135" s="125"/>
      <c r="H135" s="125"/>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row>
    <row r="136" spans="2:129">
      <c r="B136" s="44"/>
      <c r="C136" s="43" t="s">
        <v>394</v>
      </c>
      <c r="D136" s="43"/>
      <c r="E136" s="482" t="str">
        <f>+'Model Assumptions'!M137</f>
        <v>LCY</v>
      </c>
      <c r="F136" s="125"/>
      <c r="G136" s="125"/>
      <c r="H136" s="125"/>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row>
    <row r="137" spans="2:129">
      <c r="B137" s="44"/>
      <c r="C137" s="43" t="s">
        <v>386</v>
      </c>
      <c r="D137" s="43"/>
      <c r="E137" s="482">
        <f>+'Model Assumptions'!M134</f>
        <v>1300000</v>
      </c>
      <c r="F137" s="126"/>
      <c r="G137" s="126"/>
      <c r="H137" s="126"/>
      <c r="I137" s="43"/>
      <c r="J137" s="46">
        <f t="shared" ref="J137:AO137" si="118">+IF(J$1=$E$135,$E$137,0)</f>
        <v>0</v>
      </c>
      <c r="K137" s="46">
        <f t="shared" si="118"/>
        <v>0</v>
      </c>
      <c r="L137" s="46">
        <f t="shared" si="118"/>
        <v>0</v>
      </c>
      <c r="M137" s="46">
        <f t="shared" si="118"/>
        <v>0</v>
      </c>
      <c r="N137" s="46">
        <f t="shared" si="118"/>
        <v>0</v>
      </c>
      <c r="O137" s="46">
        <f t="shared" si="118"/>
        <v>0</v>
      </c>
      <c r="P137" s="46">
        <f t="shared" si="118"/>
        <v>0</v>
      </c>
      <c r="Q137" s="46">
        <f t="shared" si="118"/>
        <v>0</v>
      </c>
      <c r="R137" s="46">
        <f t="shared" si="118"/>
        <v>0</v>
      </c>
      <c r="S137" s="46">
        <f t="shared" si="118"/>
        <v>0</v>
      </c>
      <c r="T137" s="46">
        <f t="shared" si="118"/>
        <v>0</v>
      </c>
      <c r="U137" s="46">
        <f t="shared" si="118"/>
        <v>0</v>
      </c>
      <c r="V137" s="46">
        <f t="shared" si="118"/>
        <v>0</v>
      </c>
      <c r="W137" s="46">
        <f t="shared" si="118"/>
        <v>0</v>
      </c>
      <c r="X137" s="46">
        <f t="shared" si="118"/>
        <v>0</v>
      </c>
      <c r="Y137" s="46">
        <f t="shared" si="118"/>
        <v>0</v>
      </c>
      <c r="Z137" s="46">
        <f t="shared" si="118"/>
        <v>0</v>
      </c>
      <c r="AA137" s="46">
        <f t="shared" si="118"/>
        <v>0</v>
      </c>
      <c r="AB137" s="46">
        <f t="shared" si="118"/>
        <v>0</v>
      </c>
      <c r="AC137" s="46">
        <f t="shared" si="118"/>
        <v>0</v>
      </c>
      <c r="AD137" s="46">
        <f t="shared" si="118"/>
        <v>0</v>
      </c>
      <c r="AE137" s="46">
        <f t="shared" si="118"/>
        <v>0</v>
      </c>
      <c r="AF137" s="46">
        <f t="shared" si="118"/>
        <v>0</v>
      </c>
      <c r="AG137" s="46">
        <f t="shared" si="118"/>
        <v>0</v>
      </c>
      <c r="AH137" s="46">
        <f t="shared" si="118"/>
        <v>0</v>
      </c>
      <c r="AI137" s="46">
        <f t="shared" si="118"/>
        <v>0</v>
      </c>
      <c r="AJ137" s="46">
        <f t="shared" si="118"/>
        <v>0</v>
      </c>
      <c r="AK137" s="46">
        <f t="shared" si="118"/>
        <v>0</v>
      </c>
      <c r="AL137" s="46">
        <f t="shared" si="118"/>
        <v>0</v>
      </c>
      <c r="AM137" s="46">
        <f t="shared" si="118"/>
        <v>0</v>
      </c>
      <c r="AN137" s="46">
        <f t="shared" si="118"/>
        <v>0</v>
      </c>
      <c r="AO137" s="46">
        <f t="shared" si="118"/>
        <v>0</v>
      </c>
      <c r="AP137" s="46">
        <f t="shared" ref="AP137:BU137" si="119">+IF(AP$1=$E$135,$E$137,0)</f>
        <v>0</v>
      </c>
      <c r="AQ137" s="46">
        <f t="shared" si="119"/>
        <v>0</v>
      </c>
      <c r="AR137" s="46">
        <f t="shared" si="119"/>
        <v>0</v>
      </c>
      <c r="AS137" s="46">
        <f t="shared" si="119"/>
        <v>0</v>
      </c>
      <c r="AT137" s="46">
        <f t="shared" si="119"/>
        <v>0</v>
      </c>
      <c r="AU137" s="46">
        <f t="shared" si="119"/>
        <v>0</v>
      </c>
      <c r="AV137" s="46">
        <f t="shared" si="119"/>
        <v>0</v>
      </c>
      <c r="AW137" s="46">
        <f t="shared" si="119"/>
        <v>0</v>
      </c>
      <c r="AX137" s="46">
        <f t="shared" si="119"/>
        <v>0</v>
      </c>
      <c r="AY137" s="46">
        <f t="shared" si="119"/>
        <v>0</v>
      </c>
      <c r="AZ137" s="46">
        <f t="shared" si="119"/>
        <v>0</v>
      </c>
      <c r="BA137" s="46">
        <f t="shared" si="119"/>
        <v>0</v>
      </c>
      <c r="BB137" s="46">
        <f t="shared" si="119"/>
        <v>0</v>
      </c>
      <c r="BC137" s="46">
        <f t="shared" si="119"/>
        <v>0</v>
      </c>
      <c r="BD137" s="46">
        <f t="shared" si="119"/>
        <v>0</v>
      </c>
      <c r="BE137" s="46">
        <f t="shared" si="119"/>
        <v>0</v>
      </c>
      <c r="BF137" s="46">
        <f t="shared" si="119"/>
        <v>0</v>
      </c>
      <c r="BG137" s="46">
        <f t="shared" si="119"/>
        <v>0</v>
      </c>
      <c r="BH137" s="46">
        <f t="shared" si="119"/>
        <v>0</v>
      </c>
      <c r="BI137" s="46">
        <f t="shared" si="119"/>
        <v>0</v>
      </c>
      <c r="BJ137" s="46">
        <f t="shared" si="119"/>
        <v>0</v>
      </c>
      <c r="BK137" s="46">
        <f t="shared" si="119"/>
        <v>0</v>
      </c>
      <c r="BL137" s="46">
        <f t="shared" si="119"/>
        <v>0</v>
      </c>
      <c r="BM137" s="46">
        <f t="shared" si="119"/>
        <v>0</v>
      </c>
      <c r="BN137" s="46">
        <f t="shared" si="119"/>
        <v>0</v>
      </c>
      <c r="BO137" s="46">
        <f t="shared" si="119"/>
        <v>0</v>
      </c>
      <c r="BP137" s="46">
        <f t="shared" si="119"/>
        <v>0</v>
      </c>
      <c r="BQ137" s="46">
        <f t="shared" si="119"/>
        <v>0</v>
      </c>
      <c r="BR137" s="46">
        <f t="shared" si="119"/>
        <v>0</v>
      </c>
      <c r="BS137" s="46">
        <f t="shared" si="119"/>
        <v>0</v>
      </c>
      <c r="BT137" s="46">
        <f t="shared" si="119"/>
        <v>0</v>
      </c>
      <c r="BU137" s="46">
        <f t="shared" si="119"/>
        <v>0</v>
      </c>
      <c r="BV137" s="46">
        <f t="shared" ref="BV137:DY137" si="120">+IF(BV$1=$E$135,$E$137,0)</f>
        <v>0</v>
      </c>
      <c r="BW137" s="46">
        <f t="shared" si="120"/>
        <v>0</v>
      </c>
      <c r="BX137" s="46">
        <f t="shared" si="120"/>
        <v>0</v>
      </c>
      <c r="BY137" s="46">
        <f t="shared" si="120"/>
        <v>0</v>
      </c>
      <c r="BZ137" s="46">
        <f t="shared" si="120"/>
        <v>0</v>
      </c>
      <c r="CA137" s="46">
        <f t="shared" si="120"/>
        <v>0</v>
      </c>
      <c r="CB137" s="46">
        <f t="shared" si="120"/>
        <v>0</v>
      </c>
      <c r="CC137" s="46">
        <f t="shared" si="120"/>
        <v>0</v>
      </c>
      <c r="CD137" s="46">
        <f t="shared" si="120"/>
        <v>0</v>
      </c>
      <c r="CE137" s="46">
        <f t="shared" si="120"/>
        <v>0</v>
      </c>
      <c r="CF137" s="46">
        <f t="shared" si="120"/>
        <v>0</v>
      </c>
      <c r="CG137" s="46">
        <f t="shared" si="120"/>
        <v>0</v>
      </c>
      <c r="CH137" s="46">
        <f t="shared" si="120"/>
        <v>0</v>
      </c>
      <c r="CI137" s="46">
        <f t="shared" si="120"/>
        <v>0</v>
      </c>
      <c r="CJ137" s="46">
        <f t="shared" si="120"/>
        <v>0</v>
      </c>
      <c r="CK137" s="46">
        <f t="shared" si="120"/>
        <v>0</v>
      </c>
      <c r="CL137" s="46">
        <f t="shared" si="120"/>
        <v>0</v>
      </c>
      <c r="CM137" s="46">
        <f t="shared" si="120"/>
        <v>0</v>
      </c>
      <c r="CN137" s="46">
        <f t="shared" si="120"/>
        <v>0</v>
      </c>
      <c r="CO137" s="46">
        <f t="shared" si="120"/>
        <v>0</v>
      </c>
      <c r="CP137" s="46">
        <f t="shared" si="120"/>
        <v>0</v>
      </c>
      <c r="CQ137" s="46">
        <f t="shared" si="120"/>
        <v>0</v>
      </c>
      <c r="CR137" s="46">
        <f t="shared" si="120"/>
        <v>0</v>
      </c>
      <c r="CS137" s="46">
        <f t="shared" si="120"/>
        <v>0</v>
      </c>
      <c r="CT137" s="46">
        <f t="shared" si="120"/>
        <v>0</v>
      </c>
      <c r="CU137" s="46">
        <f t="shared" si="120"/>
        <v>0</v>
      </c>
      <c r="CV137" s="46">
        <f t="shared" si="120"/>
        <v>0</v>
      </c>
      <c r="CW137" s="46">
        <f t="shared" si="120"/>
        <v>0</v>
      </c>
      <c r="CX137" s="46">
        <f t="shared" si="120"/>
        <v>0</v>
      </c>
      <c r="CY137" s="46">
        <f t="shared" si="120"/>
        <v>0</v>
      </c>
      <c r="CZ137" s="46">
        <f t="shared" si="120"/>
        <v>0</v>
      </c>
      <c r="DA137" s="46">
        <f t="shared" si="120"/>
        <v>0</v>
      </c>
      <c r="DB137" s="46">
        <f t="shared" si="120"/>
        <v>0</v>
      </c>
      <c r="DC137" s="46">
        <f t="shared" si="120"/>
        <v>0</v>
      </c>
      <c r="DD137" s="46">
        <f t="shared" si="120"/>
        <v>0</v>
      </c>
      <c r="DE137" s="46">
        <f t="shared" si="120"/>
        <v>0</v>
      </c>
      <c r="DF137" s="46">
        <f t="shared" si="120"/>
        <v>0</v>
      </c>
      <c r="DG137" s="46">
        <f t="shared" si="120"/>
        <v>0</v>
      </c>
      <c r="DH137" s="46">
        <f t="shared" si="120"/>
        <v>0</v>
      </c>
      <c r="DI137" s="46">
        <f t="shared" si="120"/>
        <v>0</v>
      </c>
      <c r="DJ137" s="46">
        <f t="shared" si="120"/>
        <v>0</v>
      </c>
      <c r="DK137" s="46">
        <f t="shared" si="120"/>
        <v>0</v>
      </c>
      <c r="DL137" s="46">
        <f t="shared" si="120"/>
        <v>0</v>
      </c>
      <c r="DM137" s="46">
        <f t="shared" si="120"/>
        <v>0</v>
      </c>
      <c r="DN137" s="46">
        <f t="shared" si="120"/>
        <v>1300000</v>
      </c>
      <c r="DO137" s="46">
        <f t="shared" si="120"/>
        <v>0</v>
      </c>
      <c r="DP137" s="46">
        <f t="shared" si="120"/>
        <v>0</v>
      </c>
      <c r="DQ137" s="46">
        <f t="shared" si="120"/>
        <v>0</v>
      </c>
      <c r="DR137" s="46">
        <f t="shared" si="120"/>
        <v>0</v>
      </c>
      <c r="DS137" s="46">
        <f t="shared" si="120"/>
        <v>0</v>
      </c>
      <c r="DT137" s="46">
        <f t="shared" si="120"/>
        <v>0</v>
      </c>
      <c r="DU137" s="46">
        <f t="shared" si="120"/>
        <v>0</v>
      </c>
      <c r="DV137" s="46">
        <f t="shared" si="120"/>
        <v>0</v>
      </c>
      <c r="DW137" s="46">
        <f t="shared" si="120"/>
        <v>0</v>
      </c>
      <c r="DX137" s="46">
        <f t="shared" si="120"/>
        <v>0</v>
      </c>
      <c r="DY137" s="46">
        <f t="shared" si="120"/>
        <v>0</v>
      </c>
    </row>
    <row r="138" spans="2:129">
      <c r="B138" s="44"/>
      <c r="C138" s="43" t="s">
        <v>387</v>
      </c>
      <c r="D138" s="43"/>
      <c r="E138" s="482">
        <f>+'Model Assumptions'!M136</f>
        <v>13000000</v>
      </c>
      <c r="F138" s="126"/>
      <c r="G138" s="126"/>
      <c r="H138" s="126"/>
      <c r="I138" s="43"/>
      <c r="J138" s="490">
        <f>J137*Flags!J$30</f>
        <v>0</v>
      </c>
      <c r="K138" s="490">
        <f>K137*Flags!K$30</f>
        <v>0</v>
      </c>
      <c r="L138" s="490">
        <f>L137*Flags!L$30</f>
        <v>0</v>
      </c>
      <c r="M138" s="490">
        <f>M137*Flags!M$30</f>
        <v>0</v>
      </c>
      <c r="N138" s="490">
        <f>N137*Flags!N$30</f>
        <v>0</v>
      </c>
      <c r="O138" s="490">
        <f>O137*Flags!O$30</f>
        <v>0</v>
      </c>
      <c r="P138" s="490">
        <f>P137*Flags!P$30</f>
        <v>0</v>
      </c>
      <c r="Q138" s="490">
        <f>Q137*Flags!Q$30</f>
        <v>0</v>
      </c>
      <c r="R138" s="490">
        <f>R137*Flags!R$30</f>
        <v>0</v>
      </c>
      <c r="S138" s="490">
        <f>S137*Flags!S$30</f>
        <v>0</v>
      </c>
      <c r="T138" s="490">
        <f>T137*Flags!T$30</f>
        <v>0</v>
      </c>
      <c r="U138" s="490">
        <f>U137*Flags!U$30</f>
        <v>0</v>
      </c>
      <c r="V138" s="490">
        <f>V137*Flags!V$30</f>
        <v>0</v>
      </c>
      <c r="W138" s="490">
        <f>W137*Flags!W$30</f>
        <v>0</v>
      </c>
      <c r="X138" s="490">
        <f>X137*Flags!X$30</f>
        <v>0</v>
      </c>
      <c r="Y138" s="490">
        <f>Y137*Flags!Y$30</f>
        <v>0</v>
      </c>
      <c r="Z138" s="490">
        <f>Z137*Flags!Z$30</f>
        <v>0</v>
      </c>
      <c r="AA138" s="490">
        <f>AA137*Flags!AA$30</f>
        <v>0</v>
      </c>
      <c r="AB138" s="490">
        <f>AB137*Flags!AB$30</f>
        <v>0</v>
      </c>
      <c r="AC138" s="490">
        <f>AC137*Flags!AC$30</f>
        <v>0</v>
      </c>
      <c r="AD138" s="490">
        <f>AD137*Flags!AD$30</f>
        <v>0</v>
      </c>
      <c r="AE138" s="490">
        <f>AE137*Flags!AE$30</f>
        <v>0</v>
      </c>
      <c r="AF138" s="490">
        <f>AF137*Flags!AF$30</f>
        <v>0</v>
      </c>
      <c r="AG138" s="490">
        <f>AG137*Flags!AG$30</f>
        <v>0</v>
      </c>
      <c r="AH138" s="490">
        <f>AH137*Flags!AH$30</f>
        <v>0</v>
      </c>
      <c r="AI138" s="490">
        <f>AI137*Flags!AI$30</f>
        <v>0</v>
      </c>
      <c r="AJ138" s="490">
        <f>AJ137*Flags!AJ$30</f>
        <v>0</v>
      </c>
      <c r="AK138" s="490">
        <f>AK137*Flags!AK$30</f>
        <v>0</v>
      </c>
      <c r="AL138" s="490">
        <f>AL137*Flags!AL$30</f>
        <v>0</v>
      </c>
      <c r="AM138" s="490">
        <f>AM137*Flags!AM$30</f>
        <v>0</v>
      </c>
      <c r="AN138" s="490">
        <f>AN137*Flags!AN$30</f>
        <v>0</v>
      </c>
      <c r="AO138" s="490">
        <f>AO137*Flags!AO$30</f>
        <v>0</v>
      </c>
      <c r="AP138" s="490">
        <f>AP137*Flags!AP$30</f>
        <v>0</v>
      </c>
      <c r="AQ138" s="490">
        <f>AQ137*Flags!AQ$30</f>
        <v>0</v>
      </c>
      <c r="AR138" s="490">
        <f>AR137*Flags!AR$30</f>
        <v>0</v>
      </c>
      <c r="AS138" s="490">
        <f>AS137*Flags!AS$30</f>
        <v>0</v>
      </c>
      <c r="AT138" s="490">
        <f>AT137*Flags!AT$30</f>
        <v>0</v>
      </c>
      <c r="AU138" s="490">
        <f>AU137*Flags!AU$30</f>
        <v>0</v>
      </c>
      <c r="AV138" s="490">
        <f>AV137*Flags!AV$30</f>
        <v>0</v>
      </c>
      <c r="AW138" s="490">
        <f>AW137*Flags!AW$30</f>
        <v>0</v>
      </c>
      <c r="AX138" s="490">
        <f>AX137*Flags!AX$30</f>
        <v>0</v>
      </c>
      <c r="AY138" s="490">
        <f>AY137*Flags!AY$30</f>
        <v>0</v>
      </c>
      <c r="AZ138" s="490">
        <f>AZ137*Flags!AZ$30</f>
        <v>0</v>
      </c>
      <c r="BA138" s="490">
        <f>BA137*Flags!BA$30</f>
        <v>0</v>
      </c>
      <c r="BB138" s="490">
        <f>BB137*Flags!BB$30</f>
        <v>0</v>
      </c>
      <c r="BC138" s="490">
        <f>BC137*Flags!BC$30</f>
        <v>0</v>
      </c>
      <c r="BD138" s="490">
        <f>BD137*Flags!BD$30</f>
        <v>0</v>
      </c>
      <c r="BE138" s="490">
        <f>BE137*Flags!BE$30</f>
        <v>0</v>
      </c>
      <c r="BF138" s="490">
        <f>BF137*Flags!BF$30</f>
        <v>0</v>
      </c>
      <c r="BG138" s="490">
        <f>BG137*Flags!BG$30</f>
        <v>0</v>
      </c>
      <c r="BH138" s="490">
        <f>BH137*Flags!BH$30</f>
        <v>0</v>
      </c>
      <c r="BI138" s="490">
        <f>BI137*Flags!BI$30</f>
        <v>0</v>
      </c>
      <c r="BJ138" s="490">
        <f>BJ137*Flags!BJ$30</f>
        <v>0</v>
      </c>
      <c r="BK138" s="490">
        <f>BK137*Flags!BK$30</f>
        <v>0</v>
      </c>
      <c r="BL138" s="490">
        <f>BL137*Flags!BL$30</f>
        <v>0</v>
      </c>
      <c r="BM138" s="490">
        <f>BM137*Flags!BM$30</f>
        <v>0</v>
      </c>
      <c r="BN138" s="490">
        <f>BN137*Flags!BN$30</f>
        <v>0</v>
      </c>
      <c r="BO138" s="490">
        <f>BO137*Flags!BO$30</f>
        <v>0</v>
      </c>
      <c r="BP138" s="490">
        <f>BP137*Flags!BP$30</f>
        <v>0</v>
      </c>
      <c r="BQ138" s="490">
        <f>BQ137*Flags!BQ$30</f>
        <v>0</v>
      </c>
      <c r="BR138" s="490">
        <f>BR137*Flags!BR$30</f>
        <v>0</v>
      </c>
      <c r="BS138" s="490">
        <f>BS137*Flags!BS$30</f>
        <v>0</v>
      </c>
      <c r="BT138" s="490">
        <f>BT137*Flags!BT$30</f>
        <v>0</v>
      </c>
      <c r="BU138" s="490">
        <f>BU137*Flags!BU$30</f>
        <v>0</v>
      </c>
      <c r="BV138" s="490">
        <f>BV137*Flags!BV$30</f>
        <v>0</v>
      </c>
      <c r="BW138" s="490">
        <f>BW137*Flags!BW$30</f>
        <v>0</v>
      </c>
      <c r="BX138" s="490">
        <f>BX137*Flags!BX$30</f>
        <v>0</v>
      </c>
      <c r="BY138" s="490">
        <f>BY137*Flags!BY$30</f>
        <v>0</v>
      </c>
      <c r="BZ138" s="490">
        <f>BZ137*Flags!BZ$30</f>
        <v>0</v>
      </c>
      <c r="CA138" s="490">
        <f>CA137*Flags!CA$30</f>
        <v>0</v>
      </c>
      <c r="CB138" s="490">
        <f>CB137*Flags!CB$30</f>
        <v>0</v>
      </c>
      <c r="CC138" s="490">
        <f>CC137*Flags!CC$30</f>
        <v>0</v>
      </c>
      <c r="CD138" s="490">
        <f>CD137*Flags!CD$30</f>
        <v>0</v>
      </c>
      <c r="CE138" s="490">
        <f>CE137*Flags!CE$30</f>
        <v>0</v>
      </c>
      <c r="CF138" s="490">
        <f>CF137*Flags!CF$30</f>
        <v>0</v>
      </c>
      <c r="CG138" s="490">
        <f>CG137*Flags!CG$30</f>
        <v>0</v>
      </c>
      <c r="CH138" s="490">
        <f>CH137*Flags!CH$30</f>
        <v>0</v>
      </c>
      <c r="CI138" s="490">
        <f>CI137*Flags!CI$30</f>
        <v>0</v>
      </c>
      <c r="CJ138" s="490">
        <f>CJ137*Flags!CJ$30</f>
        <v>0</v>
      </c>
      <c r="CK138" s="490">
        <f>CK137*Flags!CK$30</f>
        <v>0</v>
      </c>
      <c r="CL138" s="490">
        <f>CL137*Flags!CL$30</f>
        <v>0</v>
      </c>
      <c r="CM138" s="490">
        <f>CM137*Flags!CM$30</f>
        <v>0</v>
      </c>
      <c r="CN138" s="490">
        <f>CN137*Flags!CN$30</f>
        <v>0</v>
      </c>
      <c r="CO138" s="490">
        <f>CO137*Flags!CO$30</f>
        <v>0</v>
      </c>
      <c r="CP138" s="490">
        <f>CP137*Flags!CP$30</f>
        <v>0</v>
      </c>
      <c r="CQ138" s="490">
        <f>CQ137*Flags!CQ$30</f>
        <v>0</v>
      </c>
      <c r="CR138" s="490">
        <f>CR137*Flags!CR$30</f>
        <v>0</v>
      </c>
      <c r="CS138" s="490">
        <f>CS137*Flags!CS$30</f>
        <v>0</v>
      </c>
      <c r="CT138" s="490">
        <f>CT137*Flags!CT$30</f>
        <v>0</v>
      </c>
      <c r="CU138" s="490">
        <f>CU137*Flags!CU$30</f>
        <v>0</v>
      </c>
      <c r="CV138" s="490">
        <f>CV137*Flags!CV$30</f>
        <v>0</v>
      </c>
      <c r="CW138" s="490">
        <f>CW137*Flags!CW$30</f>
        <v>0</v>
      </c>
      <c r="CX138" s="490">
        <f>CX137*Flags!CX$30</f>
        <v>0</v>
      </c>
      <c r="CY138" s="490">
        <f>CY137*Flags!CY$30</f>
        <v>0</v>
      </c>
      <c r="CZ138" s="490">
        <f>CZ137*Flags!CZ$30</f>
        <v>0</v>
      </c>
      <c r="DA138" s="490">
        <f>DA137*Flags!DA$30</f>
        <v>0</v>
      </c>
      <c r="DB138" s="490">
        <f>DB137*Flags!DB$30</f>
        <v>0</v>
      </c>
      <c r="DC138" s="490">
        <f>DC137*Flags!DC$30</f>
        <v>0</v>
      </c>
      <c r="DD138" s="490">
        <f>DD137*Flags!DD$30</f>
        <v>0</v>
      </c>
      <c r="DE138" s="490">
        <f>DE137*Flags!DE$30</f>
        <v>0</v>
      </c>
      <c r="DF138" s="490">
        <f>DF137*Flags!DF$30</f>
        <v>0</v>
      </c>
      <c r="DG138" s="490">
        <f>DG137*Flags!DG$30</f>
        <v>0</v>
      </c>
      <c r="DH138" s="490">
        <f>DH137*Flags!DH$30</f>
        <v>0</v>
      </c>
      <c r="DI138" s="490">
        <f>DI137*Flags!DI$30</f>
        <v>0</v>
      </c>
      <c r="DJ138" s="490">
        <f>DJ137*Flags!DJ$30</f>
        <v>0</v>
      </c>
      <c r="DK138" s="490">
        <f>DK137*Flags!DK$30</f>
        <v>0</v>
      </c>
      <c r="DL138" s="490">
        <f>DL137*Flags!DL$30</f>
        <v>0</v>
      </c>
      <c r="DM138" s="490">
        <f>DM137*Flags!DM$30</f>
        <v>0</v>
      </c>
      <c r="DN138" s="490">
        <f>DN137*Flags!DN$30</f>
        <v>13000000</v>
      </c>
      <c r="DO138" s="490">
        <f>DO137*Flags!DO$30</f>
        <v>0</v>
      </c>
      <c r="DP138" s="490">
        <f>DP137*Flags!DP$30</f>
        <v>0</v>
      </c>
      <c r="DQ138" s="490">
        <f>DQ137*Flags!DQ$30</f>
        <v>0</v>
      </c>
      <c r="DR138" s="490">
        <f>DR137*Flags!DR$30</f>
        <v>0</v>
      </c>
      <c r="DS138" s="490">
        <f>DS137*Flags!DS$30</f>
        <v>0</v>
      </c>
      <c r="DT138" s="490">
        <f>DT137*Flags!DT$30</f>
        <v>0</v>
      </c>
      <c r="DU138" s="490">
        <f>DU137*Flags!DU$30</f>
        <v>0</v>
      </c>
      <c r="DV138" s="490">
        <f>DV137*Flags!DV$30</f>
        <v>0</v>
      </c>
      <c r="DW138" s="490">
        <f>DW137*Flags!DW$30</f>
        <v>0</v>
      </c>
      <c r="DX138" s="490">
        <f>DX137*Flags!DX$30</f>
        <v>0</v>
      </c>
      <c r="DY138" s="490">
        <f>DY137*Flags!DY$30</f>
        <v>0</v>
      </c>
    </row>
    <row r="139" spans="2:129">
      <c r="B139" s="44"/>
      <c r="C139" s="43" t="s">
        <v>640</v>
      </c>
      <c r="D139" s="43"/>
      <c r="E139"/>
      <c r="F139" s="126"/>
      <c r="G139" s="126"/>
      <c r="H139" s="126"/>
      <c r="I139" s="43"/>
      <c r="J139" s="490">
        <f>IF(J138=0,IF($E136="USD",I139*(1+Flags!$D$31)^(1/12)-J143,I139-J143),J138-J143)</f>
        <v>0</v>
      </c>
      <c r="K139" s="490">
        <f>IF(K138=0,IF($E136="USD",J139*(1+Flags!$D$31)^(1/12)-K143,J139-K143),K138-K143)</f>
        <v>0</v>
      </c>
      <c r="L139" s="490">
        <f>IF(L138=0,IF($E136="USD",K139*(1+Flags!$D$31)^(1/12)-L143,K139-L143),L138-L143)</f>
        <v>0</v>
      </c>
      <c r="M139" s="490">
        <f>IF(M138=0,IF($E136="USD",L139*(1+Flags!$D$31)^(1/12)-M143,L139-M143),M138-M143)</f>
        <v>0</v>
      </c>
      <c r="N139" s="490">
        <f>IF(N138=0,IF($E136="USD",M139*(1+Flags!$D$31)^(1/12)-N143,M139-N143),N138-N143)</f>
        <v>0</v>
      </c>
      <c r="O139" s="490">
        <f>IF(O138=0,IF($E136="USD",N139*(1+Flags!$D$31)^(1/12)-O143,N139-O143),O138-O143)</f>
        <v>0</v>
      </c>
      <c r="P139" s="490">
        <f>IF(P138=0,IF($E136="USD",O139*(1+Flags!$D$31)^(1/12)-P143,O139-P143),P138-P143)</f>
        <v>0</v>
      </c>
      <c r="Q139" s="490">
        <f>IF(Q138=0,IF($E136="USD",P139*(1+Flags!$D$31)^(1/12)-Q143,P139-Q143),Q138-Q143)</f>
        <v>0</v>
      </c>
      <c r="R139" s="490">
        <f>IF(R138=0,IF($E136="USD",Q139*(1+Flags!$D$31)^(1/12)-R143,Q139-R143),R138-R143)</f>
        <v>0</v>
      </c>
      <c r="S139" s="490">
        <f>IF(S138=0,IF($E136="USD",R139*(1+Flags!$D$31)^(1/12)-S143,R139-S143),S138-S143)</f>
        <v>0</v>
      </c>
      <c r="T139" s="490">
        <f>IF(T138=0,IF($E136="USD",S139*(1+Flags!$D$31)^(1/12)-T143,S139-T143),T138-T143)</f>
        <v>0</v>
      </c>
      <c r="U139" s="490">
        <f>IF(U138=0,IF($E136="USD",T139*(1+Flags!$D$31)^(1/12)-U143,T139-U143),U138-U143)</f>
        <v>0</v>
      </c>
      <c r="V139" s="490">
        <f>IF(V138=0,IF($E136="USD",U139*(1+Flags!$D$31)^(1/12)-V143,U139-V143),V138-V143)</f>
        <v>0</v>
      </c>
      <c r="W139" s="490">
        <f>IF(W138=0,IF($E136="USD",V139*(1+Flags!$D$31)^(1/12)-W143,V139-W143),W138-W143)</f>
        <v>0</v>
      </c>
      <c r="X139" s="490">
        <f>IF(X138=0,IF($E136="USD",W139*(1+Flags!$D$31)^(1/12)-X143,W139-X143),X138-X143)</f>
        <v>0</v>
      </c>
      <c r="Y139" s="490">
        <f>IF(Y138=0,IF($E136="USD",X139*(1+Flags!$D$31)^(1/12)-Y143,X139-Y143),Y138-Y143)</f>
        <v>0</v>
      </c>
      <c r="Z139" s="490">
        <f>IF(Z138=0,IF($E136="USD",Y139*(1+Flags!$D$31)^(1/12)-Z143,Y139-Z143),Z138-Z143)</f>
        <v>0</v>
      </c>
      <c r="AA139" s="490">
        <f>IF(AA138=0,IF($E136="USD",Z139*(1+Flags!$D$31)^(1/12)-AA143,Z139-AA143),AA138-AA143)</f>
        <v>0</v>
      </c>
      <c r="AB139" s="490">
        <f>IF(AB138=0,IF($E136="USD",AA139*(1+Flags!$D$31)^(1/12)-AB143,AA139-AB143),AB138-AB143)</f>
        <v>0</v>
      </c>
      <c r="AC139" s="490">
        <f>IF(AC138=0,IF($E136="USD",AB139*(1+Flags!$D$31)^(1/12)-AC143,AB139-AC143),AC138-AC143)</f>
        <v>0</v>
      </c>
      <c r="AD139" s="490">
        <f>IF(AD138=0,IF($E136="USD",AC139*(1+Flags!$D$31)^(1/12)-AD143,AC139-AD143),AD138-AD143)</f>
        <v>0</v>
      </c>
      <c r="AE139" s="490">
        <f>IF(AE138=0,IF($E136="USD",AD139*(1+Flags!$D$31)^(1/12)-AE143,AD139-AE143),AE138-AE143)</f>
        <v>0</v>
      </c>
      <c r="AF139" s="490">
        <f>IF(AF138=0,IF($E136="USD",AE139*(1+Flags!$D$31)^(1/12)-AF143,AE139-AF143),AF138-AF143)</f>
        <v>0</v>
      </c>
      <c r="AG139" s="490">
        <f>IF(AG138=0,IF($E136="USD",AF139*(1+Flags!$D$31)^(1/12)-AG143,AF139-AG143),AG138-AG143)</f>
        <v>0</v>
      </c>
      <c r="AH139" s="490">
        <f>IF(AH138=0,IF($E136="USD",AG139*(1+Flags!$D$31)^(1/12)-AH143,AG139-AH143),AH138-AH143)</f>
        <v>0</v>
      </c>
      <c r="AI139" s="490">
        <f>IF(AI138=0,IF($E136="USD",AH139*(1+Flags!$D$31)^(1/12)-AI143,AH139-AI143),AI138-AI143)</f>
        <v>0</v>
      </c>
      <c r="AJ139" s="490">
        <f>IF(AJ138=0,IF($E136="USD",AI139*(1+Flags!$D$31)^(1/12)-AJ143,AI139-AJ143),AJ138-AJ143)</f>
        <v>0</v>
      </c>
      <c r="AK139" s="490">
        <f>IF(AK138=0,IF($E136="USD",AJ139*(1+Flags!$D$31)^(1/12)-AK143,AJ139-AK143),AK138-AK143)</f>
        <v>0</v>
      </c>
      <c r="AL139" s="490">
        <f>IF(AL138=0,IF($E136="USD",AK139*(1+Flags!$D$31)^(1/12)-AL143,AK139-AL143),AL138-AL143)</f>
        <v>0</v>
      </c>
      <c r="AM139" s="490">
        <f>IF(AM138=0,IF($E136="USD",AL139*(1+Flags!$D$31)^(1/12)-AM143,AL139-AM143),AM138-AM143)</f>
        <v>0</v>
      </c>
      <c r="AN139" s="490">
        <f>IF(AN138=0,IF($E136="USD",AM139*(1+Flags!$D$31)^(1/12)-AN143,AM139-AN143),AN138-AN143)</f>
        <v>0</v>
      </c>
      <c r="AO139" s="490">
        <f>IF(AO138=0,IF($E136="USD",AN139*(1+Flags!$D$31)^(1/12)-AO143,AN139-AO143),AO138-AO143)</f>
        <v>0</v>
      </c>
      <c r="AP139" s="490">
        <f>IF(AP138=0,IF($E136="USD",AO139*(1+Flags!$D$31)^(1/12)-AP143,AO139-AP143),AP138-AP143)</f>
        <v>0</v>
      </c>
      <c r="AQ139" s="490">
        <f>IF(AQ138=0,IF($E136="USD",AP139*(1+Flags!$D$31)^(1/12)-AQ143,AP139-AQ143),AQ138-AQ143)</f>
        <v>0</v>
      </c>
      <c r="AR139" s="490">
        <f>IF(AR138=0,IF($E136="USD",AQ139*(1+Flags!$D$31)^(1/12)-AR143,AQ139-AR143),AR138-AR143)</f>
        <v>0</v>
      </c>
      <c r="AS139" s="490">
        <f>IF(AS138=0,IF($E136="USD",AR139*(1+Flags!$D$31)^(1/12)-AS143,AR139-AS143),AS138-AS143)</f>
        <v>0</v>
      </c>
      <c r="AT139" s="490">
        <f>IF(AT138=0,IF($E136="USD",AS139*(1+Flags!$D$31)^(1/12)-AT143,AS139-AT143),AT138-AT143)</f>
        <v>0</v>
      </c>
      <c r="AU139" s="490">
        <f>IF(AU138=0,IF($E136="USD",AT139*(1+Flags!$D$31)^(1/12)-AU143,AT139-AU143),AU138-AU143)</f>
        <v>0</v>
      </c>
      <c r="AV139" s="490">
        <f>IF(AV138=0,IF($E136="USD",AU139*(1+Flags!$D$31)^(1/12)-AV143,AU139-AV143),AV138-AV143)</f>
        <v>0</v>
      </c>
      <c r="AW139" s="490">
        <f>IF(AW138=0,IF($E136="USD",AV139*(1+Flags!$D$31)^(1/12)-AW143,AV139-AW143),AW138-AW143)</f>
        <v>0</v>
      </c>
      <c r="AX139" s="490">
        <f>IF(AX138=0,IF($E136="USD",AW139*(1+Flags!$D$31)^(1/12)-AX143,AW139-AX143),AX138-AX143)</f>
        <v>0</v>
      </c>
      <c r="AY139" s="490">
        <f>IF(AY138=0,IF($E136="USD",AX139*(1+Flags!$D$31)^(1/12)-AY143,AX139-AY143),AY138-AY143)</f>
        <v>0</v>
      </c>
      <c r="AZ139" s="490">
        <f>IF(AZ138=0,IF($E136="USD",AY139*(1+Flags!$D$31)^(1/12)-AZ143,AY139-AZ143),AZ138-AZ143)</f>
        <v>0</v>
      </c>
      <c r="BA139" s="490">
        <f>IF(BA138=0,IF($E136="USD",AZ139*(1+Flags!$D$31)^(1/12)-BA143,AZ139-BA143),BA138-BA143)</f>
        <v>0</v>
      </c>
      <c r="BB139" s="490">
        <f>IF(BB138=0,IF($E136="USD",BA139*(1+Flags!$D$31)^(1/12)-BB143,BA139-BB143),BB138-BB143)</f>
        <v>0</v>
      </c>
      <c r="BC139" s="490">
        <f>IF(BC138=0,IF($E136="USD",BB139*(1+Flags!$D$31)^(1/12)-BC143,BB139-BC143),BC138-BC143)</f>
        <v>0</v>
      </c>
      <c r="BD139" s="490">
        <f>IF(BD138=0,IF($E136="USD",BC139*(1+Flags!$D$31)^(1/12)-BD143,BC139-BD143),BD138-BD143)</f>
        <v>0</v>
      </c>
      <c r="BE139" s="490">
        <f>IF(BE138=0,IF($E136="USD",BD139*(1+Flags!$D$31)^(1/12)-BE143,BD139-BE143),BE138-BE143)</f>
        <v>0</v>
      </c>
      <c r="BF139" s="490">
        <f>IF(BF138=0,IF($E136="USD",BE139*(1+Flags!$D$31)^(1/12)-BF143,BE139-BF143),BF138-BF143)</f>
        <v>0</v>
      </c>
      <c r="BG139" s="490">
        <f>IF(BG138=0,IF($E136="USD",BF139*(1+Flags!$D$31)^(1/12)-BG143,BF139-BG143),BG138-BG143)</f>
        <v>0</v>
      </c>
      <c r="BH139" s="490">
        <f>IF(BH138=0,IF($E136="USD",BG139*(1+Flags!$D$31)^(1/12)-BH143,BG139-BH143),BH138-BH143)</f>
        <v>0</v>
      </c>
      <c r="BI139" s="490">
        <f>IF(BI138=0,IF($E136="USD",BH139*(1+Flags!$D$31)^(1/12)-BI143,BH139-BI143),BI138-BI143)</f>
        <v>0</v>
      </c>
      <c r="BJ139" s="490">
        <f>IF(BJ138=0,IF($E136="USD",BI139*(1+Flags!$D$31)^(1/12)-BJ143,BI139-BJ143),BJ138-BJ143)</f>
        <v>0</v>
      </c>
      <c r="BK139" s="490">
        <f>IF(BK138=0,IF($E136="USD",BJ139*(1+Flags!$D$31)^(1/12)-BK143,BJ139-BK143),BK138-BK143)</f>
        <v>0</v>
      </c>
      <c r="BL139" s="490">
        <f>IF(BL138=0,IF($E136="USD",BK139*(1+Flags!$D$31)^(1/12)-BL143,BK139-BL143),BL138-BL143)</f>
        <v>0</v>
      </c>
      <c r="BM139" s="490">
        <f>IF(BM138=0,IF($E136="USD",BL139*(1+Flags!$D$31)^(1/12)-BM143,BL139-BM143),BM138-BM143)</f>
        <v>0</v>
      </c>
      <c r="BN139" s="490">
        <f>IF(BN138=0,IF($E136="USD",BM139*(1+Flags!$D$31)^(1/12)-BN143,BM139-BN143),BN138-BN143)</f>
        <v>0</v>
      </c>
      <c r="BO139" s="490">
        <f>IF(BO138=0,IF($E136="USD",BN139*(1+Flags!$D$31)^(1/12)-BO143,BN139-BO143),BO138-BO143)</f>
        <v>0</v>
      </c>
      <c r="BP139" s="490">
        <f>IF(BP138=0,IF($E136="USD",BO139*(1+Flags!$D$31)^(1/12)-BP143,BO139-BP143),BP138-BP143)</f>
        <v>0</v>
      </c>
      <c r="BQ139" s="490">
        <f>IF(BQ138=0,IF($E136="USD",BP139*(1+Flags!$D$31)^(1/12)-BQ143,BP139-BQ143),BQ138-BQ143)</f>
        <v>0</v>
      </c>
      <c r="BR139" s="490">
        <f>IF(BR138=0,IF($E136="USD",BQ139*(1+Flags!$D$31)^(1/12)-BR143,BQ139-BR143),BR138-BR143)</f>
        <v>0</v>
      </c>
      <c r="BS139" s="490">
        <f>IF(BS138=0,IF($E136="USD",BR139*(1+Flags!$D$31)^(1/12)-BS143,BR139-BS143),BS138-BS143)</f>
        <v>0</v>
      </c>
      <c r="BT139" s="490">
        <f>IF(BT138=0,IF($E136="USD",BS139*(1+Flags!$D$31)^(1/12)-BT143,BS139-BT143),BT138-BT143)</f>
        <v>0</v>
      </c>
      <c r="BU139" s="490">
        <f>IF(BU138=0,IF($E136="USD",BT139*(1+Flags!$D$31)^(1/12)-BU143,BT139-BU143),BU138-BU143)</f>
        <v>0</v>
      </c>
      <c r="BV139" s="490">
        <f>IF(BV138=0,IF($E136="USD",BU139*(1+Flags!$D$31)^(1/12)-BV143,BU139-BV143),BV138-BV143)</f>
        <v>0</v>
      </c>
      <c r="BW139" s="490">
        <f>IF(BW138=0,IF($E136="USD",BV139*(1+Flags!$D$31)^(1/12)-BW143,BV139-BW143),BW138-BW143)</f>
        <v>0</v>
      </c>
      <c r="BX139" s="490">
        <f>IF(BX138=0,IF($E136="USD",BW139*(1+Flags!$D$31)^(1/12)-BX143,BW139-BX143),BX138-BX143)</f>
        <v>0</v>
      </c>
      <c r="BY139" s="490">
        <f>IF(BY138=0,IF($E136="USD",BX139*(1+Flags!$D$31)^(1/12)-BY143,BX139-BY143),BY138-BY143)</f>
        <v>0</v>
      </c>
      <c r="BZ139" s="490">
        <f>IF(BZ138=0,IF($E136="USD",BY139*(1+Flags!$D$31)^(1/12)-BZ143,BY139-BZ143),BZ138-BZ143)</f>
        <v>0</v>
      </c>
      <c r="CA139" s="490">
        <f>IF(CA138=0,IF($E136="USD",BZ139*(1+Flags!$D$31)^(1/12)-CA143,BZ139-CA143),CA138-CA143)</f>
        <v>0</v>
      </c>
      <c r="CB139" s="490">
        <f>IF(CB138=0,IF($E136="USD",CA139*(1+Flags!$D$31)^(1/12)-CB143,CA139-CB143),CB138-CB143)</f>
        <v>0</v>
      </c>
      <c r="CC139" s="490">
        <f>IF(CC138=0,IF($E136="USD",CB139*(1+Flags!$D$31)^(1/12)-CC143,CB139-CC143),CC138-CC143)</f>
        <v>0</v>
      </c>
      <c r="CD139" s="490">
        <f>IF(CD138=0,IF($E136="USD",CC139*(1+Flags!$D$31)^(1/12)-CD143,CC139-CD143),CD138-CD143)</f>
        <v>0</v>
      </c>
      <c r="CE139" s="490">
        <f>IF(CE138=0,IF($E136="USD",CD139*(1+Flags!$D$31)^(1/12)-CE143,CD139-CE143),CE138-CE143)</f>
        <v>0</v>
      </c>
      <c r="CF139" s="490">
        <f>IF(CF138=0,IF($E136="USD",CE139*(1+Flags!$D$31)^(1/12)-CF143,CE139-CF143),CF138-CF143)</f>
        <v>0</v>
      </c>
      <c r="CG139" s="490">
        <f>IF(CG138=0,IF($E136="USD",CF139*(1+Flags!$D$31)^(1/12)-CG143,CF139-CG143),CG138-CG143)</f>
        <v>0</v>
      </c>
      <c r="CH139" s="490">
        <f>IF(CH138=0,IF($E136="USD",CG139*(1+Flags!$D$31)^(1/12)-CH143,CG139-CH143),CH138-CH143)</f>
        <v>0</v>
      </c>
      <c r="CI139" s="490">
        <f>IF(CI138=0,IF($E136="USD",CH139*(1+Flags!$D$31)^(1/12)-CI143,CH139-CI143),CI138-CI143)</f>
        <v>0</v>
      </c>
      <c r="CJ139" s="490">
        <f>IF(CJ138=0,IF($E136="USD",CI139*(1+Flags!$D$31)^(1/12)-CJ143,CI139-CJ143),CJ138-CJ143)</f>
        <v>0</v>
      </c>
      <c r="CK139" s="490">
        <f>IF(CK138=0,IF($E136="USD",CJ139*(1+Flags!$D$31)^(1/12)-CK143,CJ139-CK143),CK138-CK143)</f>
        <v>0</v>
      </c>
      <c r="CL139" s="490">
        <f>IF(CL138=0,IF($E136="USD",CK139*(1+Flags!$D$31)^(1/12)-CL143,CK139-CL143),CL138-CL143)</f>
        <v>0</v>
      </c>
      <c r="CM139" s="490">
        <f>IF(CM138=0,IF($E136="USD",CL139*(1+Flags!$D$31)^(1/12)-CM143,CL139-CM143),CM138-CM143)</f>
        <v>0</v>
      </c>
      <c r="CN139" s="490">
        <f>IF(CN138=0,IF($E136="USD",CM139*(1+Flags!$D$31)^(1/12)-CN143,CM139-CN143),CN138-CN143)</f>
        <v>0</v>
      </c>
      <c r="CO139" s="490">
        <f>IF(CO138=0,IF($E136="USD",CN139*(1+Flags!$D$31)^(1/12)-CO143,CN139-CO143),CO138-CO143)</f>
        <v>0</v>
      </c>
      <c r="CP139" s="490">
        <f>IF(CP138=0,IF($E136="USD",CO139*(1+Flags!$D$31)^(1/12)-CP143,CO139-CP143),CP138-CP143)</f>
        <v>0</v>
      </c>
      <c r="CQ139" s="490">
        <f>IF(CQ138=0,IF($E136="USD",CP139*(1+Flags!$D$31)^(1/12)-CQ143,CP139-CQ143),CQ138-CQ143)</f>
        <v>0</v>
      </c>
      <c r="CR139" s="490">
        <f>IF(CR138=0,IF($E136="USD",CQ139*(1+Flags!$D$31)^(1/12)-CR143,CQ139-CR143),CR138-CR143)</f>
        <v>0</v>
      </c>
      <c r="CS139" s="490">
        <f>IF(CS138=0,IF($E136="USD",CR139*(1+Flags!$D$31)^(1/12)-CS143,CR139-CS143),CS138-CS143)</f>
        <v>0</v>
      </c>
      <c r="CT139" s="490">
        <f>IF(CT138=0,IF($E136="USD",CS139*(1+Flags!$D$31)^(1/12)-CT143,CS139-CT143),CT138-CT143)</f>
        <v>0</v>
      </c>
      <c r="CU139" s="490">
        <f>IF(CU138=0,IF($E136="USD",CT139*(1+Flags!$D$31)^(1/12)-CU143,CT139-CU143),CU138-CU143)</f>
        <v>0</v>
      </c>
      <c r="CV139" s="490">
        <f>IF(CV138=0,IF($E136="USD",CU139*(1+Flags!$D$31)^(1/12)-CV143,CU139-CV143),CV138-CV143)</f>
        <v>0</v>
      </c>
      <c r="CW139" s="490">
        <f>IF(CW138=0,IF($E136="USD",CV139*(1+Flags!$D$31)^(1/12)-CW143,CV139-CW143),CW138-CW143)</f>
        <v>0</v>
      </c>
      <c r="CX139" s="490">
        <f>IF(CX138=0,IF($E136="USD",CW139*(1+Flags!$D$31)^(1/12)-CX143,CW139-CX143),CX138-CX143)</f>
        <v>0</v>
      </c>
      <c r="CY139" s="490">
        <f>IF(CY138=0,IF($E136="USD",CX139*(1+Flags!$D$31)^(1/12)-CY143,CX139-CY143),CY138-CY143)</f>
        <v>0</v>
      </c>
      <c r="CZ139" s="490">
        <f>IF(CZ138=0,IF($E136="USD",CY139*(1+Flags!$D$31)^(1/12)-CZ143,CY139-CZ143),CZ138-CZ143)</f>
        <v>0</v>
      </c>
      <c r="DA139" s="490">
        <f>IF(DA138=0,IF($E136="USD",CZ139*(1+Flags!$D$31)^(1/12)-DA143,CZ139-DA143),DA138-DA143)</f>
        <v>0</v>
      </c>
      <c r="DB139" s="490">
        <f>IF(DB138=0,IF($E136="USD",DA139*(1+Flags!$D$31)^(1/12)-DB143,DA139-DB143),DB138-DB143)</f>
        <v>0</v>
      </c>
      <c r="DC139" s="490">
        <f>IF(DC138=0,IF($E136="USD",DB139*(1+Flags!$D$31)^(1/12)-DC143,DB139-DC143),DC138-DC143)</f>
        <v>0</v>
      </c>
      <c r="DD139" s="490">
        <f>IF(DD138=0,IF($E136="USD",DC139*(1+Flags!$D$31)^(1/12)-DD143,DC139-DD143),DD138-DD143)</f>
        <v>0</v>
      </c>
      <c r="DE139" s="490">
        <f>IF(DE138=0,IF($E136="USD",DD139*(1+Flags!$D$31)^(1/12)-DE143,DD139-DE143),DE138-DE143)</f>
        <v>0</v>
      </c>
      <c r="DF139" s="490">
        <f>IF(DF138=0,IF($E136="USD",DE139*(1+Flags!$D$31)^(1/12)-DF143,DE139-DF143),DF138-DF143)</f>
        <v>0</v>
      </c>
      <c r="DG139" s="490">
        <f>IF(DG138=0,IF($E136="USD",DF139*(1+Flags!$D$31)^(1/12)-DG143,DF139-DG143),DG138-DG143)</f>
        <v>0</v>
      </c>
      <c r="DH139" s="490">
        <f>IF(DH138=0,IF($E136="USD",DG139*(1+Flags!$D$31)^(1/12)-DH143,DG139-DH143),DH138-DH143)</f>
        <v>0</v>
      </c>
      <c r="DI139" s="490">
        <f>IF(DI138=0,IF($E136="USD",DH139*(1+Flags!$D$31)^(1/12)-DI143,DH139-DI143),DI138-DI143)</f>
        <v>0</v>
      </c>
      <c r="DJ139" s="490">
        <f>IF(DJ138=0,IF($E136="USD",DI139*(1+Flags!$D$31)^(1/12)-DJ143,DI139-DJ143),DJ138-DJ143)</f>
        <v>0</v>
      </c>
      <c r="DK139" s="490">
        <f>IF(DK138=0,IF($E136="USD",DJ139*(1+Flags!$D$31)^(1/12)-DK143,DJ139-DK143),DK138-DK143)</f>
        <v>0</v>
      </c>
      <c r="DL139" s="490">
        <f>IF(DL138=0,IF($E136="USD",DK139*(1+Flags!$D$31)^(1/12)-DL143,DK139-DL143),DL138-DL143)</f>
        <v>0</v>
      </c>
      <c r="DM139" s="490">
        <f>IF(DM138=0,IF($E136="USD",DL139*(1+Flags!$D$31)^(1/12)-DM143,DL139-DM143),DM138-DM143)</f>
        <v>0</v>
      </c>
      <c r="DN139" s="490">
        <f>IF(DN138=0,IF($E136="USD",DM139*(1+Flags!$D$31)^(1/12)-DN143,DM139-DN143),DN138-DN143)</f>
        <v>13000000</v>
      </c>
      <c r="DO139" s="490">
        <f>IF(DO138=0,IF($E136="USD",DN139*(1+Flags!$D$31)^(1/12)-DO143,DN139-DO143),DO138-DO143)</f>
        <v>13000000</v>
      </c>
      <c r="DP139" s="490">
        <f>IF(DP138=0,IF($E136="USD",DO139*(1+Flags!$D$31)^(1/12)-DP143,DO139-DP143),DP138-DP143)</f>
        <v>13000000</v>
      </c>
      <c r="DQ139" s="490">
        <f>IF(DQ138=0,IF($E136="USD",DP139*(1+Flags!$D$31)^(1/12)-DQ143,DP139-DQ143),DQ138-DQ143)</f>
        <v>13000000</v>
      </c>
      <c r="DR139" s="490">
        <f>IF(DR138=0,IF($E136="USD",DQ139*(1+Flags!$D$31)^(1/12)-DR143,DQ139-DR143),DR138-DR143)</f>
        <v>13000000</v>
      </c>
      <c r="DS139" s="490">
        <f>IF(DS138=0,IF($E136="USD",DR139*(1+Flags!$D$31)^(1/12)-DS143,DR139-DS143),DS138-DS143)</f>
        <v>13000000</v>
      </c>
      <c r="DT139" s="490">
        <f>IF(DT138=0,IF($E136="USD",DS139*(1+Flags!$D$31)^(1/12)-DT143,DS139-DT143),DT138-DT143)</f>
        <v>12759259.259259259</v>
      </c>
      <c r="DU139" s="490">
        <f>IF(DU138=0,IF($E136="USD",DT139*(1+Flags!$D$31)^(1/12)-DU143,DT139-DU143),DU138-DU143)</f>
        <v>12518518.518518519</v>
      </c>
      <c r="DV139" s="490">
        <f>IF(DV138=0,IF($E136="USD",DU139*(1+Flags!$D$31)^(1/12)-DV143,DU139-DV143),DV138-DV143)</f>
        <v>12277777.777777778</v>
      </c>
      <c r="DW139" s="490">
        <f>IF(DW138=0,IF($E136="USD",DV139*(1+Flags!$D$31)^(1/12)-DW143,DV139-DW143),DW138-DW143)</f>
        <v>12037037.037037037</v>
      </c>
      <c r="DX139" s="490">
        <f>IF(DX138=0,IF($E136="USD",DW139*(1+Flags!$D$31)^(1/12)-DX143,DW139-DX143),DX138-DX143)</f>
        <v>11796296.296296297</v>
      </c>
      <c r="DY139" s="490">
        <f>IF(DY138=0,IF($E136="USD",DX139*(1+Flags!$D$31)^(1/12)-DY143,DX139-DY143),DY138-DY143)</f>
        <v>11555555.555555556</v>
      </c>
    </row>
    <row r="140" spans="2:129">
      <c r="B140" s="44"/>
      <c r="C140" s="43" t="s">
        <v>388</v>
      </c>
      <c r="D140" s="43"/>
      <c r="E140" s="482">
        <f>+'Model Assumptions'!M138</f>
        <v>24074.074074074073</v>
      </c>
      <c r="F140" s="126"/>
      <c r="G140" s="126"/>
      <c r="H140" s="126"/>
      <c r="I140" s="43"/>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row>
    <row r="141" spans="2:129">
      <c r="B141" s="43"/>
      <c r="C141" s="43" t="s">
        <v>87</v>
      </c>
      <c r="D141" s="43"/>
      <c r="E141" s="483">
        <f>+'Model Assumptions'!M139</f>
        <v>0.5</v>
      </c>
      <c r="F141" s="129"/>
      <c r="G141" s="129"/>
      <c r="H141" s="129"/>
      <c r="I141" s="43"/>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row>
    <row r="142" spans="2:129">
      <c r="B142" s="43"/>
      <c r="C142" s="43" t="s">
        <v>395</v>
      </c>
      <c r="D142" s="43"/>
      <c r="E142" s="484">
        <f>+'Model Assumptions'!M140</f>
        <v>5</v>
      </c>
      <c r="F142" s="130"/>
      <c r="G142" s="130"/>
      <c r="H142" s="130"/>
      <c r="I142" s="43"/>
      <c r="J142" s="46">
        <f t="shared" ref="J142:AO142" si="121">+IF(AND(J$1&gt;=DATE(YEAR($E135), MONTH($E135) + $E141*12, DAY($E135)),J$1&lt;DATE(YEAR($E135), MONTH($E135) + $E142*12, DAY($E135))),$E140,0)</f>
        <v>0</v>
      </c>
      <c r="K142" s="46">
        <f t="shared" si="121"/>
        <v>0</v>
      </c>
      <c r="L142" s="46">
        <f t="shared" si="121"/>
        <v>0</v>
      </c>
      <c r="M142" s="46">
        <f t="shared" si="121"/>
        <v>0</v>
      </c>
      <c r="N142" s="46">
        <f t="shared" si="121"/>
        <v>0</v>
      </c>
      <c r="O142" s="46">
        <f t="shared" si="121"/>
        <v>0</v>
      </c>
      <c r="P142" s="46">
        <f t="shared" si="121"/>
        <v>0</v>
      </c>
      <c r="Q142" s="46">
        <f t="shared" si="121"/>
        <v>0</v>
      </c>
      <c r="R142" s="46">
        <f t="shared" si="121"/>
        <v>0</v>
      </c>
      <c r="S142" s="46">
        <f t="shared" si="121"/>
        <v>0</v>
      </c>
      <c r="T142" s="46">
        <f t="shared" si="121"/>
        <v>0</v>
      </c>
      <c r="U142" s="46">
        <f t="shared" si="121"/>
        <v>0</v>
      </c>
      <c r="V142" s="46">
        <f t="shared" si="121"/>
        <v>0</v>
      </c>
      <c r="W142" s="46">
        <f t="shared" si="121"/>
        <v>0</v>
      </c>
      <c r="X142" s="46">
        <f t="shared" si="121"/>
        <v>0</v>
      </c>
      <c r="Y142" s="46">
        <f t="shared" si="121"/>
        <v>0</v>
      </c>
      <c r="Z142" s="46">
        <f t="shared" si="121"/>
        <v>0</v>
      </c>
      <c r="AA142" s="46">
        <f t="shared" si="121"/>
        <v>0</v>
      </c>
      <c r="AB142" s="46">
        <f t="shared" si="121"/>
        <v>0</v>
      </c>
      <c r="AC142" s="46">
        <f t="shared" si="121"/>
        <v>0</v>
      </c>
      <c r="AD142" s="46">
        <f t="shared" si="121"/>
        <v>0</v>
      </c>
      <c r="AE142" s="46">
        <f t="shared" si="121"/>
        <v>0</v>
      </c>
      <c r="AF142" s="46">
        <f t="shared" si="121"/>
        <v>0</v>
      </c>
      <c r="AG142" s="46">
        <f t="shared" si="121"/>
        <v>0</v>
      </c>
      <c r="AH142" s="46">
        <f t="shared" si="121"/>
        <v>0</v>
      </c>
      <c r="AI142" s="46">
        <f t="shared" si="121"/>
        <v>0</v>
      </c>
      <c r="AJ142" s="46">
        <f t="shared" si="121"/>
        <v>0</v>
      </c>
      <c r="AK142" s="46">
        <f t="shared" si="121"/>
        <v>0</v>
      </c>
      <c r="AL142" s="46">
        <f t="shared" si="121"/>
        <v>0</v>
      </c>
      <c r="AM142" s="46">
        <f t="shared" si="121"/>
        <v>0</v>
      </c>
      <c r="AN142" s="46">
        <f t="shared" si="121"/>
        <v>0</v>
      </c>
      <c r="AO142" s="46">
        <f t="shared" si="121"/>
        <v>0</v>
      </c>
      <c r="AP142" s="46">
        <f t="shared" ref="AP142:BU142" si="122">+IF(AND(AP$1&gt;=DATE(YEAR($E135), MONTH($E135) + $E141*12, DAY($E135)),AP$1&lt;DATE(YEAR($E135), MONTH($E135) + $E142*12, DAY($E135))),$E140,0)</f>
        <v>0</v>
      </c>
      <c r="AQ142" s="46">
        <f t="shared" si="122"/>
        <v>0</v>
      </c>
      <c r="AR142" s="46">
        <f t="shared" si="122"/>
        <v>0</v>
      </c>
      <c r="AS142" s="46">
        <f t="shared" si="122"/>
        <v>0</v>
      </c>
      <c r="AT142" s="46">
        <f t="shared" si="122"/>
        <v>0</v>
      </c>
      <c r="AU142" s="46">
        <f t="shared" si="122"/>
        <v>0</v>
      </c>
      <c r="AV142" s="46">
        <f t="shared" si="122"/>
        <v>0</v>
      </c>
      <c r="AW142" s="46">
        <f t="shared" si="122"/>
        <v>0</v>
      </c>
      <c r="AX142" s="46">
        <f t="shared" si="122"/>
        <v>0</v>
      </c>
      <c r="AY142" s="46">
        <f t="shared" si="122"/>
        <v>0</v>
      </c>
      <c r="AZ142" s="46">
        <f t="shared" si="122"/>
        <v>0</v>
      </c>
      <c r="BA142" s="46">
        <f t="shared" si="122"/>
        <v>0</v>
      </c>
      <c r="BB142" s="46">
        <f t="shared" si="122"/>
        <v>0</v>
      </c>
      <c r="BC142" s="46">
        <f t="shared" si="122"/>
        <v>0</v>
      </c>
      <c r="BD142" s="46">
        <f t="shared" si="122"/>
        <v>0</v>
      </c>
      <c r="BE142" s="46">
        <f t="shared" si="122"/>
        <v>0</v>
      </c>
      <c r="BF142" s="46">
        <f t="shared" si="122"/>
        <v>0</v>
      </c>
      <c r="BG142" s="46">
        <f t="shared" si="122"/>
        <v>0</v>
      </c>
      <c r="BH142" s="46">
        <f t="shared" si="122"/>
        <v>0</v>
      </c>
      <c r="BI142" s="46">
        <f t="shared" si="122"/>
        <v>0</v>
      </c>
      <c r="BJ142" s="46">
        <f t="shared" si="122"/>
        <v>0</v>
      </c>
      <c r="BK142" s="46">
        <f t="shared" si="122"/>
        <v>0</v>
      </c>
      <c r="BL142" s="46">
        <f t="shared" si="122"/>
        <v>0</v>
      </c>
      <c r="BM142" s="46">
        <f t="shared" si="122"/>
        <v>0</v>
      </c>
      <c r="BN142" s="46">
        <f t="shared" si="122"/>
        <v>0</v>
      </c>
      <c r="BO142" s="46">
        <f t="shared" si="122"/>
        <v>0</v>
      </c>
      <c r="BP142" s="46">
        <f t="shared" si="122"/>
        <v>0</v>
      </c>
      <c r="BQ142" s="46">
        <f t="shared" si="122"/>
        <v>0</v>
      </c>
      <c r="BR142" s="46">
        <f t="shared" si="122"/>
        <v>0</v>
      </c>
      <c r="BS142" s="46">
        <f t="shared" si="122"/>
        <v>0</v>
      </c>
      <c r="BT142" s="46">
        <f t="shared" si="122"/>
        <v>0</v>
      </c>
      <c r="BU142" s="46">
        <f t="shared" si="122"/>
        <v>0</v>
      </c>
      <c r="BV142" s="46">
        <f t="shared" ref="BV142:CC142" si="123">+IF(AND(BV$1&gt;=DATE(YEAR($E135), MONTH($E135) + $E141*12, DAY($E135)),BV$1&lt;DATE(YEAR($E135), MONTH($E135) + $E142*12, DAY($E135))),$E140,0)</f>
        <v>0</v>
      </c>
      <c r="BW142" s="46">
        <f t="shared" si="123"/>
        <v>0</v>
      </c>
      <c r="BX142" s="46">
        <f t="shared" si="123"/>
        <v>0</v>
      </c>
      <c r="BY142" s="46">
        <f t="shared" si="123"/>
        <v>0</v>
      </c>
      <c r="BZ142" s="46">
        <f t="shared" si="123"/>
        <v>0</v>
      </c>
      <c r="CA142" s="46">
        <f t="shared" si="123"/>
        <v>0</v>
      </c>
      <c r="CB142" s="46">
        <f t="shared" si="123"/>
        <v>0</v>
      </c>
      <c r="CC142" s="46">
        <f t="shared" si="123"/>
        <v>0</v>
      </c>
      <c r="CD142" s="46">
        <f t="shared" ref="CD142:DY142" si="124">+IF(AND(CD$1&gt;=DATE(YEAR($E135), MONTH($E135) + $E141*12, DAY($E135)),CD$1&lt;DATE(YEAR($E135), MONTH($E135) + $E142*12, DAY($E135))),$E140,0)</f>
        <v>0</v>
      </c>
      <c r="CE142" s="46">
        <f t="shared" si="124"/>
        <v>0</v>
      </c>
      <c r="CF142" s="46">
        <f t="shared" si="124"/>
        <v>0</v>
      </c>
      <c r="CG142" s="46">
        <f t="shared" si="124"/>
        <v>0</v>
      </c>
      <c r="CH142" s="46">
        <f t="shared" si="124"/>
        <v>0</v>
      </c>
      <c r="CI142" s="46">
        <f t="shared" si="124"/>
        <v>0</v>
      </c>
      <c r="CJ142" s="46">
        <f t="shared" si="124"/>
        <v>0</v>
      </c>
      <c r="CK142" s="46">
        <f t="shared" si="124"/>
        <v>0</v>
      </c>
      <c r="CL142" s="46">
        <f t="shared" si="124"/>
        <v>0</v>
      </c>
      <c r="CM142" s="46">
        <f t="shared" si="124"/>
        <v>0</v>
      </c>
      <c r="CN142" s="46">
        <f t="shared" si="124"/>
        <v>0</v>
      </c>
      <c r="CO142" s="46">
        <f t="shared" si="124"/>
        <v>0</v>
      </c>
      <c r="CP142" s="46">
        <f t="shared" si="124"/>
        <v>0</v>
      </c>
      <c r="CQ142" s="46">
        <f t="shared" si="124"/>
        <v>0</v>
      </c>
      <c r="CR142" s="46">
        <f t="shared" si="124"/>
        <v>0</v>
      </c>
      <c r="CS142" s="46">
        <f t="shared" si="124"/>
        <v>0</v>
      </c>
      <c r="CT142" s="46">
        <f t="shared" si="124"/>
        <v>0</v>
      </c>
      <c r="CU142" s="46">
        <f t="shared" si="124"/>
        <v>0</v>
      </c>
      <c r="CV142" s="46">
        <f t="shared" si="124"/>
        <v>0</v>
      </c>
      <c r="CW142" s="46">
        <f t="shared" si="124"/>
        <v>0</v>
      </c>
      <c r="CX142" s="46">
        <f t="shared" si="124"/>
        <v>0</v>
      </c>
      <c r="CY142" s="46">
        <f t="shared" si="124"/>
        <v>0</v>
      </c>
      <c r="CZ142" s="46">
        <f t="shared" si="124"/>
        <v>0</v>
      </c>
      <c r="DA142" s="46">
        <f t="shared" si="124"/>
        <v>0</v>
      </c>
      <c r="DB142" s="46">
        <f t="shared" si="124"/>
        <v>0</v>
      </c>
      <c r="DC142" s="46">
        <f t="shared" si="124"/>
        <v>0</v>
      </c>
      <c r="DD142" s="46">
        <f t="shared" si="124"/>
        <v>0</v>
      </c>
      <c r="DE142" s="46">
        <f t="shared" si="124"/>
        <v>0</v>
      </c>
      <c r="DF142" s="46">
        <f t="shared" si="124"/>
        <v>0</v>
      </c>
      <c r="DG142" s="46">
        <f t="shared" si="124"/>
        <v>0</v>
      </c>
      <c r="DH142" s="46">
        <f t="shared" si="124"/>
        <v>0</v>
      </c>
      <c r="DI142" s="46">
        <f t="shared" si="124"/>
        <v>0</v>
      </c>
      <c r="DJ142" s="46">
        <f t="shared" si="124"/>
        <v>0</v>
      </c>
      <c r="DK142" s="46">
        <f t="shared" si="124"/>
        <v>0</v>
      </c>
      <c r="DL142" s="46">
        <f t="shared" si="124"/>
        <v>0</v>
      </c>
      <c r="DM142" s="46">
        <f t="shared" si="124"/>
        <v>0</v>
      </c>
      <c r="DN142" s="46">
        <f t="shared" si="124"/>
        <v>0</v>
      </c>
      <c r="DO142" s="46">
        <f t="shared" si="124"/>
        <v>0</v>
      </c>
      <c r="DP142" s="46">
        <f t="shared" si="124"/>
        <v>0</v>
      </c>
      <c r="DQ142" s="46">
        <f t="shared" si="124"/>
        <v>0</v>
      </c>
      <c r="DR142" s="46">
        <f t="shared" si="124"/>
        <v>0</v>
      </c>
      <c r="DS142" s="46">
        <f t="shared" si="124"/>
        <v>0</v>
      </c>
      <c r="DT142" s="46">
        <f t="shared" si="124"/>
        <v>24074.074074074073</v>
      </c>
      <c r="DU142" s="46">
        <f t="shared" si="124"/>
        <v>24074.074074074073</v>
      </c>
      <c r="DV142" s="46">
        <f t="shared" si="124"/>
        <v>24074.074074074073</v>
      </c>
      <c r="DW142" s="46">
        <f t="shared" si="124"/>
        <v>24074.074074074073</v>
      </c>
      <c r="DX142" s="46">
        <f t="shared" si="124"/>
        <v>24074.074074074073</v>
      </c>
      <c r="DY142" s="46">
        <f t="shared" si="124"/>
        <v>24074.074074074073</v>
      </c>
    </row>
    <row r="143" spans="2:129">
      <c r="B143" s="43"/>
      <c r="C143" s="43" t="s">
        <v>389</v>
      </c>
      <c r="D143" s="43"/>
      <c r="E143" s="527"/>
      <c r="F143" s="130"/>
      <c r="G143" s="130"/>
      <c r="H143" s="130"/>
      <c r="I143" s="43"/>
      <c r="J143" s="491">
        <f>IF($E136="LCY",J142*'Model Assumptions'!$M$135,Financing!J142*Flags!J$30)</f>
        <v>0</v>
      </c>
      <c r="K143" s="491">
        <f>IF($E136="LCY",K142*'Model Assumptions'!$M$135,Financing!K142*Flags!K$30)</f>
        <v>0</v>
      </c>
      <c r="L143" s="491">
        <f>IF($E136="LCY",L142*'Model Assumptions'!$M$135,Financing!L142*Flags!L$30)</f>
        <v>0</v>
      </c>
      <c r="M143" s="491">
        <f>IF($E136="LCY",M142*'Model Assumptions'!$M$135,Financing!M142*Flags!M$30)</f>
        <v>0</v>
      </c>
      <c r="N143" s="491">
        <f>IF($E136="LCY",N142*'Model Assumptions'!$M$135,Financing!N142*Flags!N$30)</f>
        <v>0</v>
      </c>
      <c r="O143" s="491">
        <f>IF($E136="LCY",O142*'Model Assumptions'!$M$135,Financing!O142*Flags!O$30)</f>
        <v>0</v>
      </c>
      <c r="P143" s="491">
        <f>IF($E136="LCY",P142*'Model Assumptions'!$M$135,Financing!P142*Flags!P$30)</f>
        <v>0</v>
      </c>
      <c r="Q143" s="491">
        <f>IF($E136="LCY",Q142*'Model Assumptions'!$M$135,Financing!Q142*Flags!Q$30)</f>
        <v>0</v>
      </c>
      <c r="R143" s="491">
        <f>IF($E136="LCY",R142*'Model Assumptions'!$M$135,Financing!R142*Flags!R$30)</f>
        <v>0</v>
      </c>
      <c r="S143" s="491">
        <f>IF($E136="LCY",S142*'Model Assumptions'!$M$135,Financing!S142*Flags!S$30)</f>
        <v>0</v>
      </c>
      <c r="T143" s="491">
        <f>IF($E136="LCY",T142*'Model Assumptions'!$M$135,Financing!T142*Flags!T$30)</f>
        <v>0</v>
      </c>
      <c r="U143" s="491">
        <f>IF($E136="LCY",U142*'Model Assumptions'!$M$135,Financing!U142*Flags!U$30)</f>
        <v>0</v>
      </c>
      <c r="V143" s="491">
        <f>IF($E136="LCY",V142*'Model Assumptions'!$M$135,Financing!V142*Flags!V$30)</f>
        <v>0</v>
      </c>
      <c r="W143" s="491">
        <f>IF($E136="LCY",W142*'Model Assumptions'!$M$135,Financing!W142*Flags!W$30)</f>
        <v>0</v>
      </c>
      <c r="X143" s="491">
        <f>IF($E136="LCY",X142*'Model Assumptions'!$M$135,Financing!X142*Flags!X$30)</f>
        <v>0</v>
      </c>
      <c r="Y143" s="491">
        <f>IF($E136="LCY",Y142*'Model Assumptions'!$M$135,Financing!Y142*Flags!Y$30)</f>
        <v>0</v>
      </c>
      <c r="Z143" s="491">
        <f>IF($E136="LCY",Z142*'Model Assumptions'!$M$135,Financing!Z142*Flags!Z$30)</f>
        <v>0</v>
      </c>
      <c r="AA143" s="491">
        <f>IF($E136="LCY",AA142*'Model Assumptions'!$M$135,Financing!AA142*Flags!AA$30)</f>
        <v>0</v>
      </c>
      <c r="AB143" s="491">
        <f>IF($E136="LCY",AB142*'Model Assumptions'!$M$135,Financing!AB142*Flags!AB$30)</f>
        <v>0</v>
      </c>
      <c r="AC143" s="491">
        <f>IF($E136="LCY",AC142*'Model Assumptions'!$M$135,Financing!AC142*Flags!AC$30)</f>
        <v>0</v>
      </c>
      <c r="AD143" s="491">
        <f>IF($E136="LCY",AD142*'Model Assumptions'!$M$135,Financing!AD142*Flags!AD$30)</f>
        <v>0</v>
      </c>
      <c r="AE143" s="491">
        <f>IF($E136="LCY",AE142*'Model Assumptions'!$M$135,Financing!AE142*Flags!AE$30)</f>
        <v>0</v>
      </c>
      <c r="AF143" s="491">
        <f>IF($E136="LCY",AF142*'Model Assumptions'!$M$135,Financing!AF142*Flags!AF$30)</f>
        <v>0</v>
      </c>
      <c r="AG143" s="491">
        <f>IF($E136="LCY",AG142*'Model Assumptions'!$M$135,Financing!AG142*Flags!AG$30)</f>
        <v>0</v>
      </c>
      <c r="AH143" s="491">
        <f>IF($E136="LCY",AH142*'Model Assumptions'!$M$135,Financing!AH142*Flags!AH$30)</f>
        <v>0</v>
      </c>
      <c r="AI143" s="491">
        <f>IF($E136="LCY",AI142*'Model Assumptions'!$M$135,Financing!AI142*Flags!AI$30)</f>
        <v>0</v>
      </c>
      <c r="AJ143" s="491">
        <f>IF($E136="LCY",AJ142*'Model Assumptions'!$M$135,Financing!AJ142*Flags!AJ$30)</f>
        <v>0</v>
      </c>
      <c r="AK143" s="491">
        <f>IF($E136="LCY",AK142*'Model Assumptions'!$M$135,Financing!AK142*Flags!AK$30)</f>
        <v>0</v>
      </c>
      <c r="AL143" s="491">
        <f>IF($E136="LCY",AL142*'Model Assumptions'!$M$135,Financing!AL142*Flags!AL$30)</f>
        <v>0</v>
      </c>
      <c r="AM143" s="491">
        <f>IF($E136="LCY",AM142*'Model Assumptions'!$M$135,Financing!AM142*Flags!AM$30)</f>
        <v>0</v>
      </c>
      <c r="AN143" s="491">
        <f>IF($E136="LCY",AN142*'Model Assumptions'!$M$135,Financing!AN142*Flags!AN$30)</f>
        <v>0</v>
      </c>
      <c r="AO143" s="491">
        <f>IF($E136="LCY",AO142*'Model Assumptions'!$M$135,Financing!AO142*Flags!AO$30)</f>
        <v>0</v>
      </c>
      <c r="AP143" s="491">
        <f>IF($E136="LCY",AP142*'Model Assumptions'!$M$135,Financing!AP142*Flags!AP$30)</f>
        <v>0</v>
      </c>
      <c r="AQ143" s="491">
        <f>IF($E136="LCY",AQ142*'Model Assumptions'!$M$135,Financing!AQ142*Flags!AQ$30)</f>
        <v>0</v>
      </c>
      <c r="AR143" s="491">
        <f>IF($E136="LCY",AR142*'Model Assumptions'!$M$135,Financing!AR142*Flags!AR$30)</f>
        <v>0</v>
      </c>
      <c r="AS143" s="491">
        <f>IF($E136="LCY",AS142*'Model Assumptions'!$M$135,Financing!AS142*Flags!AS$30)</f>
        <v>0</v>
      </c>
      <c r="AT143" s="491">
        <f>IF($E136="LCY",AT142*'Model Assumptions'!$M$135,Financing!AT142*Flags!AT$30)</f>
        <v>0</v>
      </c>
      <c r="AU143" s="491">
        <f>IF($E136="LCY",AU142*'Model Assumptions'!$M$135,Financing!AU142*Flags!AU$30)</f>
        <v>0</v>
      </c>
      <c r="AV143" s="491">
        <f>IF($E136="LCY",AV142*'Model Assumptions'!$M$135,Financing!AV142*Flags!AV$30)</f>
        <v>0</v>
      </c>
      <c r="AW143" s="491">
        <f>IF($E136="LCY",AW142*'Model Assumptions'!$M$135,Financing!AW142*Flags!AW$30)</f>
        <v>0</v>
      </c>
      <c r="AX143" s="491">
        <f>IF($E136="LCY",AX142*'Model Assumptions'!$M$135,Financing!AX142*Flags!AX$30)</f>
        <v>0</v>
      </c>
      <c r="AY143" s="491">
        <f>IF($E136="LCY",AY142*'Model Assumptions'!$M$135,Financing!AY142*Flags!AY$30)</f>
        <v>0</v>
      </c>
      <c r="AZ143" s="491">
        <f>IF($E136="LCY",AZ142*'Model Assumptions'!$M$135,Financing!AZ142*Flags!AZ$30)</f>
        <v>0</v>
      </c>
      <c r="BA143" s="491">
        <f>IF($E136="LCY",BA142*'Model Assumptions'!$M$135,Financing!BA142*Flags!BA$30)</f>
        <v>0</v>
      </c>
      <c r="BB143" s="491">
        <f>IF($E136="LCY",BB142*'Model Assumptions'!$M$135,Financing!BB142*Flags!BB$30)</f>
        <v>0</v>
      </c>
      <c r="BC143" s="491">
        <f>IF($E136="LCY",BC142*'Model Assumptions'!$M$135,Financing!BC142*Flags!BC$30)</f>
        <v>0</v>
      </c>
      <c r="BD143" s="491">
        <f>IF($E136="LCY",BD142*'Model Assumptions'!$M$135,Financing!BD142*Flags!BD$30)</f>
        <v>0</v>
      </c>
      <c r="BE143" s="491">
        <f>IF($E136="LCY",BE142*'Model Assumptions'!$M$135,Financing!BE142*Flags!BE$30)</f>
        <v>0</v>
      </c>
      <c r="BF143" s="491">
        <f>IF($E136="LCY",BF142*'Model Assumptions'!$M$135,Financing!BF142*Flags!BF$30)</f>
        <v>0</v>
      </c>
      <c r="BG143" s="491">
        <f>IF($E136="LCY",BG142*'Model Assumptions'!$M$135,Financing!BG142*Flags!BG$30)</f>
        <v>0</v>
      </c>
      <c r="BH143" s="491">
        <f>IF($E136="LCY",BH142*'Model Assumptions'!$M$135,Financing!BH142*Flags!BH$30)</f>
        <v>0</v>
      </c>
      <c r="BI143" s="491">
        <f>IF($E136="LCY",BI142*'Model Assumptions'!$M$135,Financing!BI142*Flags!BI$30)</f>
        <v>0</v>
      </c>
      <c r="BJ143" s="491">
        <f>IF($E136="LCY",BJ142*'Model Assumptions'!$M$135,Financing!BJ142*Flags!BJ$30)</f>
        <v>0</v>
      </c>
      <c r="BK143" s="491">
        <f>IF($E136="LCY",BK142*'Model Assumptions'!$M$135,Financing!BK142*Flags!BK$30)</f>
        <v>0</v>
      </c>
      <c r="BL143" s="491">
        <f>IF($E136="LCY",BL142*'Model Assumptions'!$M$135,Financing!BL142*Flags!BL$30)</f>
        <v>0</v>
      </c>
      <c r="BM143" s="491">
        <f>IF($E136="LCY",BM142*'Model Assumptions'!$M$135,Financing!BM142*Flags!BM$30)</f>
        <v>0</v>
      </c>
      <c r="BN143" s="491">
        <f>IF($E136="LCY",BN142*'Model Assumptions'!$M$135,Financing!BN142*Flags!BN$30)</f>
        <v>0</v>
      </c>
      <c r="BO143" s="491">
        <f>IF($E136="LCY",BO142*'Model Assumptions'!$M$135,Financing!BO142*Flags!BO$30)</f>
        <v>0</v>
      </c>
      <c r="BP143" s="491">
        <f>IF($E136="LCY",BP142*'Model Assumptions'!$M$135,Financing!BP142*Flags!BP$30)</f>
        <v>0</v>
      </c>
      <c r="BQ143" s="491">
        <f>IF($E136="LCY",BQ142*'Model Assumptions'!$M$135,Financing!BQ142*Flags!BQ$30)</f>
        <v>0</v>
      </c>
      <c r="BR143" s="491">
        <f>IF($E136="LCY",BR142*'Model Assumptions'!$M$135,Financing!BR142*Flags!BR$30)</f>
        <v>0</v>
      </c>
      <c r="BS143" s="491">
        <f>IF($E136="LCY",BS142*'Model Assumptions'!$M$135,Financing!BS142*Flags!BS$30)</f>
        <v>0</v>
      </c>
      <c r="BT143" s="491">
        <f>IF($E136="LCY",BT142*'Model Assumptions'!$M$135,Financing!BT142*Flags!BT$30)</f>
        <v>0</v>
      </c>
      <c r="BU143" s="491">
        <f>IF($E136="LCY",BU142*'Model Assumptions'!$M$135,Financing!BU142*Flags!BU$30)</f>
        <v>0</v>
      </c>
      <c r="BV143" s="491">
        <f>IF($E136="LCY",BV142*'Model Assumptions'!$M$135,Financing!BV142*Flags!BV$30)</f>
        <v>0</v>
      </c>
      <c r="BW143" s="491">
        <f>IF($E136="LCY",BW142*'Model Assumptions'!$M$135,Financing!BW142*Flags!BW$30)</f>
        <v>0</v>
      </c>
      <c r="BX143" s="491">
        <f>IF($E136="LCY",BX142*'Model Assumptions'!$M$135,Financing!BX142*Flags!BX$30)</f>
        <v>0</v>
      </c>
      <c r="BY143" s="491">
        <f>IF($E136="LCY",BY142*'Model Assumptions'!$M$135,Financing!BY142*Flags!BY$30)</f>
        <v>0</v>
      </c>
      <c r="BZ143" s="491">
        <f>IF($E136="LCY",BZ142*'Model Assumptions'!$M$135,Financing!BZ142*Flags!BZ$30)</f>
        <v>0</v>
      </c>
      <c r="CA143" s="491">
        <f>IF($E136="LCY",CA142*'Model Assumptions'!$M$135,Financing!CA142*Flags!CA$30)</f>
        <v>0</v>
      </c>
      <c r="CB143" s="491">
        <f>IF($E136="LCY",CB142*'Model Assumptions'!$M$135,Financing!CB142*Flags!CB$30)</f>
        <v>0</v>
      </c>
      <c r="CC143" s="491">
        <f>IF($E136="LCY",CC142*'Model Assumptions'!$M$135,Financing!CC142*Flags!CC$30)</f>
        <v>0</v>
      </c>
      <c r="CD143" s="491">
        <f>IF($E136="LCY",CD142*'Model Assumptions'!$M$135,Financing!CD142*Flags!CD$30)</f>
        <v>0</v>
      </c>
      <c r="CE143" s="491">
        <f>IF($E136="LCY",CE142*'Model Assumptions'!$M$135,Financing!CE142*Flags!CE$30)</f>
        <v>0</v>
      </c>
      <c r="CF143" s="491">
        <f>IF($E136="LCY",CF142*'Model Assumptions'!$M$135,Financing!CF142*Flags!CF$30)</f>
        <v>0</v>
      </c>
      <c r="CG143" s="491">
        <f>IF($E136="LCY",CG142*'Model Assumptions'!$M$135,Financing!CG142*Flags!CG$30)</f>
        <v>0</v>
      </c>
      <c r="CH143" s="491">
        <f>IF($E136="LCY",CH142*'Model Assumptions'!$M$135,Financing!CH142*Flags!CH$30)</f>
        <v>0</v>
      </c>
      <c r="CI143" s="491">
        <f>IF($E136="LCY",CI142*'Model Assumptions'!$M$135,Financing!CI142*Flags!CI$30)</f>
        <v>0</v>
      </c>
      <c r="CJ143" s="491">
        <f>IF($E136="LCY",CJ142*'Model Assumptions'!$M$135,Financing!CJ142*Flags!CJ$30)</f>
        <v>0</v>
      </c>
      <c r="CK143" s="491">
        <f>IF($E136="LCY",CK142*'Model Assumptions'!$M$135,Financing!CK142*Flags!CK$30)</f>
        <v>0</v>
      </c>
      <c r="CL143" s="491">
        <f>IF($E136="LCY",CL142*'Model Assumptions'!$M$135,Financing!CL142*Flags!CL$30)</f>
        <v>0</v>
      </c>
      <c r="CM143" s="491">
        <f>IF($E136="LCY",CM142*'Model Assumptions'!$M$135,Financing!CM142*Flags!CM$30)</f>
        <v>0</v>
      </c>
      <c r="CN143" s="491">
        <f>IF($E136="LCY",CN142*'Model Assumptions'!$M$135,Financing!CN142*Flags!CN$30)</f>
        <v>0</v>
      </c>
      <c r="CO143" s="491">
        <f>IF($E136="LCY",CO142*'Model Assumptions'!$M$135,Financing!CO142*Flags!CO$30)</f>
        <v>0</v>
      </c>
      <c r="CP143" s="491">
        <f>IF($E136="LCY",CP142*'Model Assumptions'!$M$135,Financing!CP142*Flags!CP$30)</f>
        <v>0</v>
      </c>
      <c r="CQ143" s="491">
        <f>IF($E136="LCY",CQ142*'Model Assumptions'!$M$135,Financing!CQ142*Flags!CQ$30)</f>
        <v>0</v>
      </c>
      <c r="CR143" s="491">
        <f>IF($E136="LCY",CR142*'Model Assumptions'!$M$135,Financing!CR142*Flags!CR$30)</f>
        <v>0</v>
      </c>
      <c r="CS143" s="491">
        <f>IF($E136="LCY",CS142*'Model Assumptions'!$M$135,Financing!CS142*Flags!CS$30)</f>
        <v>0</v>
      </c>
      <c r="CT143" s="491">
        <f>IF($E136="LCY",CT142*'Model Assumptions'!$M$135,Financing!CT142*Flags!CT$30)</f>
        <v>0</v>
      </c>
      <c r="CU143" s="491">
        <f>IF($E136="LCY",CU142*'Model Assumptions'!$M$135,Financing!CU142*Flags!CU$30)</f>
        <v>0</v>
      </c>
      <c r="CV143" s="491">
        <f>IF($E136="LCY",CV142*'Model Assumptions'!$M$135,Financing!CV142*Flags!CV$30)</f>
        <v>0</v>
      </c>
      <c r="CW143" s="491">
        <f>IF($E136="LCY",CW142*'Model Assumptions'!$M$135,Financing!CW142*Flags!CW$30)</f>
        <v>0</v>
      </c>
      <c r="CX143" s="491">
        <f>IF($E136="LCY",CX142*'Model Assumptions'!$M$135,Financing!CX142*Flags!CX$30)</f>
        <v>0</v>
      </c>
      <c r="CY143" s="491">
        <f>IF($E136="LCY",CY142*'Model Assumptions'!$M$135,Financing!CY142*Flags!CY$30)</f>
        <v>0</v>
      </c>
      <c r="CZ143" s="491">
        <f>IF($E136="LCY",CZ142*'Model Assumptions'!$M$135,Financing!CZ142*Flags!CZ$30)</f>
        <v>0</v>
      </c>
      <c r="DA143" s="491">
        <f>IF($E136="LCY",DA142*'Model Assumptions'!$M$135,Financing!DA142*Flags!DA$30)</f>
        <v>0</v>
      </c>
      <c r="DB143" s="491">
        <f>IF($E136="LCY",DB142*'Model Assumptions'!$M$135,Financing!DB142*Flags!DB$30)</f>
        <v>0</v>
      </c>
      <c r="DC143" s="491">
        <f>IF($E136="LCY",DC142*'Model Assumptions'!$M$135,Financing!DC142*Flags!DC$30)</f>
        <v>0</v>
      </c>
      <c r="DD143" s="491">
        <f>IF($E136="LCY",DD142*'Model Assumptions'!$M$135,Financing!DD142*Flags!DD$30)</f>
        <v>0</v>
      </c>
      <c r="DE143" s="491">
        <f>IF($E136="LCY",DE142*'Model Assumptions'!$M$135,Financing!DE142*Flags!DE$30)</f>
        <v>0</v>
      </c>
      <c r="DF143" s="491">
        <f>IF($E136="LCY",DF142*'Model Assumptions'!$M$135,Financing!DF142*Flags!DF$30)</f>
        <v>0</v>
      </c>
      <c r="DG143" s="491">
        <f>IF($E136="LCY",DG142*'Model Assumptions'!$M$135,Financing!DG142*Flags!DG$30)</f>
        <v>0</v>
      </c>
      <c r="DH143" s="491">
        <f>IF($E136="LCY",DH142*'Model Assumptions'!$M$135,Financing!DH142*Flags!DH$30)</f>
        <v>0</v>
      </c>
      <c r="DI143" s="491">
        <f>IF($E136="LCY",DI142*'Model Assumptions'!$M$135,Financing!DI142*Flags!DI$30)</f>
        <v>0</v>
      </c>
      <c r="DJ143" s="491">
        <f>IF($E136="LCY",DJ142*'Model Assumptions'!$M$135,Financing!DJ142*Flags!DJ$30)</f>
        <v>0</v>
      </c>
      <c r="DK143" s="491">
        <f>IF($E136="LCY",DK142*'Model Assumptions'!$M$135,Financing!DK142*Flags!DK$30)</f>
        <v>0</v>
      </c>
      <c r="DL143" s="491">
        <f>IF($E136="LCY",DL142*'Model Assumptions'!$M$135,Financing!DL142*Flags!DL$30)</f>
        <v>0</v>
      </c>
      <c r="DM143" s="491">
        <f>IF($E136="LCY",DM142*'Model Assumptions'!$M$135,Financing!DM142*Flags!DM$30)</f>
        <v>0</v>
      </c>
      <c r="DN143" s="491">
        <f>IF($E136="LCY",DN142*'Model Assumptions'!$M$135,Financing!DN142*Flags!DN$30)</f>
        <v>0</v>
      </c>
      <c r="DO143" s="491">
        <f>IF($E136="LCY",DO142*'Model Assumptions'!$M$135,Financing!DO142*Flags!DO$30)</f>
        <v>0</v>
      </c>
      <c r="DP143" s="491">
        <f>IF($E136="LCY",DP142*'Model Assumptions'!$M$135,Financing!DP142*Flags!DP$30)</f>
        <v>0</v>
      </c>
      <c r="DQ143" s="491">
        <f>IF($E136="LCY",DQ142*'Model Assumptions'!$M$135,Financing!DQ142*Flags!DQ$30)</f>
        <v>0</v>
      </c>
      <c r="DR143" s="491">
        <f>IF($E136="LCY",DR142*'Model Assumptions'!$M$135,Financing!DR142*Flags!DR$30)</f>
        <v>0</v>
      </c>
      <c r="DS143" s="491">
        <f>IF($E136="LCY",DS142*'Model Assumptions'!$M$135,Financing!DS142*Flags!DS$30)</f>
        <v>0</v>
      </c>
      <c r="DT143" s="491">
        <f>IF($E136="LCY",DT142*'Model Assumptions'!$M$135,Financing!DT142*Flags!DT$30)</f>
        <v>240740.74074074073</v>
      </c>
      <c r="DU143" s="491">
        <f>IF($E136="LCY",DU142*'Model Assumptions'!$M$135,Financing!DU142*Flags!DU$30)</f>
        <v>240740.74074074073</v>
      </c>
      <c r="DV143" s="491">
        <f>IF($E136="LCY",DV142*'Model Assumptions'!$M$135,Financing!DV142*Flags!DV$30)</f>
        <v>240740.74074074073</v>
      </c>
      <c r="DW143" s="491">
        <f>IF($E136="LCY",DW142*'Model Assumptions'!$M$135,Financing!DW142*Flags!DW$30)</f>
        <v>240740.74074074073</v>
      </c>
      <c r="DX143" s="491">
        <f>IF($E136="LCY",DX142*'Model Assumptions'!$M$135,Financing!DX142*Flags!DX$30)</f>
        <v>240740.74074074073</v>
      </c>
      <c r="DY143" s="491">
        <f>IF($E136="LCY",DY142*'Model Assumptions'!$M$135,Financing!DY142*Flags!DY$30)</f>
        <v>240740.74074074073</v>
      </c>
    </row>
    <row r="144" spans="2:129">
      <c r="B144" s="43"/>
      <c r="C144" s="43" t="s">
        <v>396</v>
      </c>
      <c r="D144" s="43"/>
      <c r="E144" s="485">
        <f>+'Model Assumptions'!M141</f>
        <v>0.1</v>
      </c>
      <c r="F144" s="131"/>
      <c r="G144" s="131"/>
      <c r="H144" s="131"/>
      <c r="I144" s="43"/>
      <c r="J144" s="251">
        <f>(SUM(J137:$J137)-SUM(J142:$J142))*$E144/12</f>
        <v>0</v>
      </c>
      <c r="K144" s="251">
        <f>(SUM($J137:K137)-SUM($J142:K142))*$E144/12</f>
        <v>0</v>
      </c>
      <c r="L144" s="251">
        <f>(SUM($J137:L137)-SUM($J142:L142))*$E144/12</f>
        <v>0</v>
      </c>
      <c r="M144" s="251">
        <f>(SUM($J137:M137)-SUM($J142:M142))*$E144/12</f>
        <v>0</v>
      </c>
      <c r="N144" s="251">
        <f>(SUM($J137:N137)-SUM($J142:N142))*$E144/12</f>
        <v>0</v>
      </c>
      <c r="O144" s="251">
        <f>(SUM($J137:O137)-SUM($J142:O142))*$E144/12</f>
        <v>0</v>
      </c>
      <c r="P144" s="251">
        <f>(SUM($J137:P137)-SUM($J142:P142))*$E144/12</f>
        <v>0</v>
      </c>
      <c r="Q144" s="251">
        <f>(SUM($J137:Q137)-SUM($J142:Q142))*$E144/12</f>
        <v>0</v>
      </c>
      <c r="R144" s="251">
        <f>(SUM($J137:R137)-SUM($J142:R142))*$E144/12</f>
        <v>0</v>
      </c>
      <c r="S144" s="251">
        <f>(SUM($J137:S137)-SUM($J142:S142))*$E144/12</f>
        <v>0</v>
      </c>
      <c r="T144" s="251">
        <f>(SUM($J137:T137)-SUM($J142:T142))*$E144/12</f>
        <v>0</v>
      </c>
      <c r="U144" s="251">
        <f>(SUM($J137:U137)-SUM($J142:U142))*$E144/12</f>
        <v>0</v>
      </c>
      <c r="V144" s="251">
        <f>(SUM($J137:V137)-SUM($J142:V142))*$E144/12</f>
        <v>0</v>
      </c>
      <c r="W144" s="251">
        <f>(SUM($J137:W137)-SUM($J142:W142))*$E144/12</f>
        <v>0</v>
      </c>
      <c r="X144" s="251">
        <f>(SUM($J137:X137)-SUM($J142:X142))*$E144/12</f>
        <v>0</v>
      </c>
      <c r="Y144" s="251">
        <f>(SUM($J137:Y137)-SUM($J142:Y142))*$E144/12</f>
        <v>0</v>
      </c>
      <c r="Z144" s="251">
        <f>(SUM($J137:Z137)-SUM($J142:Z142))*$E144/12</f>
        <v>0</v>
      </c>
      <c r="AA144" s="251">
        <f>(SUM($J137:AA137)-SUM($J142:AA142))*$E144/12</f>
        <v>0</v>
      </c>
      <c r="AB144" s="251">
        <f>(SUM($J137:AB137)-SUM($J142:AB142))*$E144/12</f>
        <v>0</v>
      </c>
      <c r="AC144" s="251">
        <f>(SUM($J137:AC137)-SUM($J142:AC142))*$E144/12</f>
        <v>0</v>
      </c>
      <c r="AD144" s="251">
        <f>(SUM($J137:AD137)-SUM($J142:AD142))*$E144/12</f>
        <v>0</v>
      </c>
      <c r="AE144" s="251">
        <f>(SUM($J137:AE137)-SUM($J142:AE142))*$E144/12</f>
        <v>0</v>
      </c>
      <c r="AF144" s="251">
        <f>(SUM($J137:AF137)-SUM($J142:AF142))*$E144/12</f>
        <v>0</v>
      </c>
      <c r="AG144" s="251">
        <f>(SUM($J137:AG137)-SUM($J142:AG142))*$E144/12</f>
        <v>0</v>
      </c>
      <c r="AH144" s="251">
        <f>(SUM($J137:AH137)-SUM($J142:AH142))*$E144/12</f>
        <v>0</v>
      </c>
      <c r="AI144" s="251">
        <f>(SUM($J137:AI137)-SUM($J142:AI142))*$E144/12</f>
        <v>0</v>
      </c>
      <c r="AJ144" s="251">
        <f>(SUM($J137:AJ137)-SUM($J142:AJ142))*$E144/12</f>
        <v>0</v>
      </c>
      <c r="AK144" s="251">
        <f>(SUM($J137:AK137)-SUM($J142:AK142))*$E144/12</f>
        <v>0</v>
      </c>
      <c r="AL144" s="251">
        <f>(SUM($J137:AL137)-SUM($J142:AL142))*$E144/12</f>
        <v>0</v>
      </c>
      <c r="AM144" s="251">
        <f>(SUM($J137:AM137)-SUM($J142:AM142))*$E144/12</f>
        <v>0</v>
      </c>
      <c r="AN144" s="251">
        <f>(SUM($J137:AN137)-SUM($J142:AN142))*$E144/12</f>
        <v>0</v>
      </c>
      <c r="AO144" s="251">
        <f>(SUM($J137:AO137)-SUM($J142:AO142))*$E144/12</f>
        <v>0</v>
      </c>
      <c r="AP144" s="251">
        <f>(SUM($J137:AP137)-SUM($J142:AP142))*$E144/12</f>
        <v>0</v>
      </c>
      <c r="AQ144" s="251">
        <f>(SUM($J137:AQ137)-SUM($J142:AQ142))*$E144/12</f>
        <v>0</v>
      </c>
      <c r="AR144" s="251">
        <f>(SUM($J137:AR137)-SUM($J142:AR142))*$E144/12</f>
        <v>0</v>
      </c>
      <c r="AS144" s="251">
        <f>(SUM($J137:AS137)-SUM($J142:AS142))*$E144/12</f>
        <v>0</v>
      </c>
      <c r="AT144" s="251">
        <f>(SUM($J137:AT137)-SUM($J142:AT142))*$E144/12</f>
        <v>0</v>
      </c>
      <c r="AU144" s="251">
        <f>(SUM($J137:AU137)-SUM($J142:AU142))*$E144/12</f>
        <v>0</v>
      </c>
      <c r="AV144" s="251">
        <f>(SUM($J137:AV137)-SUM($J142:AV142))*$E144/12</f>
        <v>0</v>
      </c>
      <c r="AW144" s="251">
        <f>(SUM($J137:AW137)-SUM($J142:AW142))*$E144/12</f>
        <v>0</v>
      </c>
      <c r="AX144" s="251">
        <f>(SUM($J137:AX137)-SUM($J142:AX142))*$E144/12</f>
        <v>0</v>
      </c>
      <c r="AY144" s="251">
        <f>(SUM($J137:AY137)-SUM($J142:AY142))*$E144/12</f>
        <v>0</v>
      </c>
      <c r="AZ144" s="251">
        <f>(SUM($J137:AZ137)-SUM($J142:AZ142))*$E144/12</f>
        <v>0</v>
      </c>
      <c r="BA144" s="251">
        <f>(SUM($J137:BA137)-SUM($J142:BA142))*$E144/12</f>
        <v>0</v>
      </c>
      <c r="BB144" s="251">
        <f>(SUM($J137:BB137)-SUM($J142:BB142))*$E144/12</f>
        <v>0</v>
      </c>
      <c r="BC144" s="251">
        <f>(SUM($J137:BC137)-SUM($J142:BC142))*$E144/12</f>
        <v>0</v>
      </c>
      <c r="BD144" s="251">
        <f>(SUM($J137:BD137)-SUM($J142:BD142))*$E144/12</f>
        <v>0</v>
      </c>
      <c r="BE144" s="251">
        <f>(SUM($J137:BE137)-SUM($J142:BE142))*$E144/12</f>
        <v>0</v>
      </c>
      <c r="BF144" s="251">
        <f>(SUM($J137:BF137)-SUM($J142:BF142))*$E144/12</f>
        <v>0</v>
      </c>
      <c r="BG144" s="251">
        <f>(SUM($J137:BG137)-SUM($J142:BG142))*$E144/12</f>
        <v>0</v>
      </c>
      <c r="BH144" s="251">
        <f>(SUM($J137:BH137)-SUM($J142:BH142))*$E144/12</f>
        <v>0</v>
      </c>
      <c r="BI144" s="251">
        <f>(SUM($J137:BI137)-SUM($J142:BI142))*$E144/12</f>
        <v>0</v>
      </c>
      <c r="BJ144" s="251">
        <f>(SUM($J137:BJ137)-SUM($J142:BJ142))*$E144/12</f>
        <v>0</v>
      </c>
      <c r="BK144" s="251">
        <f>(SUM($J137:BK137)-SUM($J142:BK142))*$E144/12</f>
        <v>0</v>
      </c>
      <c r="BL144" s="251">
        <f>(SUM($J137:BL137)-SUM($J142:BL142))*$E144/12</f>
        <v>0</v>
      </c>
      <c r="BM144" s="251">
        <f>(SUM($J137:BM137)-SUM($J142:BM142))*$E144/12</f>
        <v>0</v>
      </c>
      <c r="BN144" s="251">
        <f>(SUM($J137:BN137)-SUM($J142:BN142))*$E144/12</f>
        <v>0</v>
      </c>
      <c r="BO144" s="251">
        <f>(SUM($J137:BO137)-SUM($J142:BO142))*$E144/12</f>
        <v>0</v>
      </c>
      <c r="BP144" s="251">
        <f>(SUM($J137:BP137)-SUM($J142:BP142))*$E144/12</f>
        <v>0</v>
      </c>
      <c r="BQ144" s="251">
        <f>(SUM($J137:BQ137)-SUM($J142:BQ142))*$E144/12</f>
        <v>0</v>
      </c>
      <c r="BR144" s="251">
        <f>(SUM($J137:BR137)-SUM($J142:BR142))*$E144/12</f>
        <v>0</v>
      </c>
      <c r="BS144" s="251">
        <f>(SUM($J137:BS137)-SUM($J142:BS142))*$E144/12</f>
        <v>0</v>
      </c>
      <c r="BT144" s="251">
        <f>(SUM($J137:BT137)-SUM($J142:BT142))*$E144/12</f>
        <v>0</v>
      </c>
      <c r="BU144" s="251">
        <f>(SUM($J137:BU137)-SUM($J142:BU142))*$E144/12</f>
        <v>0</v>
      </c>
      <c r="BV144" s="251">
        <f>(SUM($J137:BV137)-SUM($J142:BV142))*$E144/12</f>
        <v>0</v>
      </c>
      <c r="BW144" s="251">
        <f>(SUM($J137:BW137)-SUM($J142:BW142))*$E144/12</f>
        <v>0</v>
      </c>
      <c r="BX144" s="251">
        <f>(SUM($J137:BX137)-SUM($J142:BX142))*$E144/12</f>
        <v>0</v>
      </c>
      <c r="BY144" s="251">
        <f>(SUM($J137:BY137)-SUM($J142:BY142))*$E144/12</f>
        <v>0</v>
      </c>
      <c r="BZ144" s="251">
        <f>(SUM($J137:BZ137)-SUM($J142:BZ142))*$E144/12</f>
        <v>0</v>
      </c>
      <c r="CA144" s="251">
        <f>(SUM($J137:CA137)-SUM($J142:CA142))*$E144/12</f>
        <v>0</v>
      </c>
      <c r="CB144" s="251">
        <f>(SUM($J137:CB137)-SUM($J142:CB142))*$E144/12</f>
        <v>0</v>
      </c>
      <c r="CC144" s="251">
        <f>(SUM($J137:CC137)-SUM($J142:CC142))*$E144/12</f>
        <v>0</v>
      </c>
      <c r="CD144" s="251">
        <f>(SUM($J137:CD137)-SUM($J142:CD142))*$E144/12</f>
        <v>0</v>
      </c>
      <c r="CE144" s="251">
        <f>(SUM($J137:CE137)-SUM($J142:CE142))*$E144/12</f>
        <v>0</v>
      </c>
      <c r="CF144" s="251">
        <f>(SUM($J137:CF137)-SUM($J142:CF142))*$E144/12</f>
        <v>0</v>
      </c>
      <c r="CG144" s="251">
        <f>(SUM($J137:CG137)-SUM($J142:CG142))*$E144/12</f>
        <v>0</v>
      </c>
      <c r="CH144" s="251">
        <f>(SUM($J137:CH137)-SUM($J142:CH142))*$E144/12</f>
        <v>0</v>
      </c>
      <c r="CI144" s="251">
        <f>(SUM($J137:CI137)-SUM($J142:CI142))*$E144/12</f>
        <v>0</v>
      </c>
      <c r="CJ144" s="251">
        <f>(SUM($J137:CJ137)-SUM($J142:CJ142))*$E144/12</f>
        <v>0</v>
      </c>
      <c r="CK144" s="251">
        <f>(SUM($J137:CK137)-SUM($J142:CK142))*$E144/12</f>
        <v>0</v>
      </c>
      <c r="CL144" s="251">
        <f>(SUM($J137:CL137)-SUM($J142:CL142))*$E144/12</f>
        <v>0</v>
      </c>
      <c r="CM144" s="251">
        <f>(SUM($J137:CM137)-SUM($J142:CM142))*$E144/12</f>
        <v>0</v>
      </c>
      <c r="CN144" s="251">
        <f>(SUM($J137:CN137)-SUM($J142:CN142))*$E144/12</f>
        <v>0</v>
      </c>
      <c r="CO144" s="251">
        <f>(SUM($J137:CO137)-SUM($J142:CO142))*$E144/12</f>
        <v>0</v>
      </c>
      <c r="CP144" s="251">
        <f>(SUM($J137:CP137)-SUM($J142:CP142))*$E144/12</f>
        <v>0</v>
      </c>
      <c r="CQ144" s="251">
        <f>(SUM($J137:CQ137)-SUM($J142:CQ142))*$E144/12</f>
        <v>0</v>
      </c>
      <c r="CR144" s="251">
        <f>(SUM($J137:CR137)-SUM($J142:CR142))*$E144/12</f>
        <v>0</v>
      </c>
      <c r="CS144" s="251">
        <f>(SUM($J137:CS137)-SUM($J142:CS142))*$E144/12</f>
        <v>0</v>
      </c>
      <c r="CT144" s="251">
        <f>(SUM($J137:CT137)-SUM($J142:CT142))*$E144/12</f>
        <v>0</v>
      </c>
      <c r="CU144" s="251">
        <f>(SUM($J137:CU137)-SUM($J142:CU142))*$E144/12</f>
        <v>0</v>
      </c>
      <c r="CV144" s="251">
        <f>(SUM($J137:CV137)-SUM($J142:CV142))*$E144/12</f>
        <v>0</v>
      </c>
      <c r="CW144" s="251">
        <f>(SUM($J137:CW137)-SUM($J142:CW142))*$E144/12</f>
        <v>0</v>
      </c>
      <c r="CX144" s="251">
        <f>(SUM($J137:CX137)-SUM($J142:CX142))*$E144/12</f>
        <v>0</v>
      </c>
      <c r="CY144" s="251">
        <f>(SUM($J137:CY137)-SUM($J142:CY142))*$E144/12</f>
        <v>0</v>
      </c>
      <c r="CZ144" s="251">
        <f>(SUM($J137:CZ137)-SUM($J142:CZ142))*$E144/12</f>
        <v>0</v>
      </c>
      <c r="DA144" s="251">
        <f>(SUM($J137:DA137)-SUM($J142:DA142))*$E144/12</f>
        <v>0</v>
      </c>
      <c r="DB144" s="251">
        <f>(SUM($J137:DB137)-SUM($J142:DB142))*$E144/12</f>
        <v>0</v>
      </c>
      <c r="DC144" s="251">
        <f>(SUM($J137:DC137)-SUM($J142:DC142))*$E144/12</f>
        <v>0</v>
      </c>
      <c r="DD144" s="251">
        <f>(SUM($J137:DD137)-SUM($J142:DD142))*$E144/12</f>
        <v>0</v>
      </c>
      <c r="DE144" s="251">
        <f>(SUM($J137:DE137)-SUM($J142:DE142))*$E144/12</f>
        <v>0</v>
      </c>
      <c r="DF144" s="251">
        <f>(SUM($J137:DF137)-SUM($J142:DF142))*$E144/12</f>
        <v>0</v>
      </c>
      <c r="DG144" s="251">
        <f>(SUM($J137:DG137)-SUM($J142:DG142))*$E144/12</f>
        <v>0</v>
      </c>
      <c r="DH144" s="251">
        <f>(SUM($J137:DH137)-SUM($J142:DH142))*$E144/12</f>
        <v>0</v>
      </c>
      <c r="DI144" s="251">
        <f>(SUM($J137:DI137)-SUM($J142:DI142))*$E144/12</f>
        <v>0</v>
      </c>
      <c r="DJ144" s="251">
        <f>(SUM($J137:DJ137)-SUM($J142:DJ142))*$E144/12</f>
        <v>0</v>
      </c>
      <c r="DK144" s="251">
        <f>(SUM($J137:DK137)-SUM($J142:DK142))*$E144/12</f>
        <v>0</v>
      </c>
      <c r="DL144" s="251">
        <f>(SUM($J137:DL137)-SUM($J142:DL142))*$E144/12</f>
        <v>0</v>
      </c>
      <c r="DM144" s="251">
        <f>(SUM($J137:DM137)-SUM($J142:DM142))*$E144/12</f>
        <v>0</v>
      </c>
      <c r="DN144" s="251">
        <f>(SUM($J137:DN137)-SUM($J142:DN142))*$E144/12</f>
        <v>10833.333333333334</v>
      </c>
      <c r="DO144" s="251">
        <f>(SUM($J137:DO137)-SUM($J142:DO142))*$E144/12</f>
        <v>10833.333333333334</v>
      </c>
      <c r="DP144" s="251">
        <f>(SUM($J137:DP137)-SUM($J142:DP142))*$E144/12</f>
        <v>10833.333333333334</v>
      </c>
      <c r="DQ144" s="251">
        <f>(SUM($J137:DQ137)-SUM($J142:DQ142))*$E144/12</f>
        <v>10833.333333333334</v>
      </c>
      <c r="DR144" s="251">
        <f>(SUM($J137:DR137)-SUM($J142:DR142))*$E144/12</f>
        <v>10833.333333333334</v>
      </c>
      <c r="DS144" s="251">
        <f>(SUM($J137:DS137)-SUM($J142:DS142))*$E144/12</f>
        <v>10833.333333333334</v>
      </c>
      <c r="DT144" s="251">
        <f>(SUM($J137:DT137)-SUM($J142:DT142))*$E144/12</f>
        <v>10632.716049382716</v>
      </c>
      <c r="DU144" s="251">
        <f>(SUM($J137:DU137)-SUM($J142:DU142))*$E144/12</f>
        <v>10432.0987654321</v>
      </c>
      <c r="DV144" s="251">
        <f>(SUM($J137:DV137)-SUM($J142:DV142))*$E144/12</f>
        <v>10231.481481481482</v>
      </c>
      <c r="DW144" s="251">
        <f>(SUM($J137:DW137)-SUM($J142:DW142))*$E144/12</f>
        <v>10030.864197530866</v>
      </c>
      <c r="DX144" s="251">
        <f>(SUM($J137:DX137)-SUM($J142:DX142))*$E144/12</f>
        <v>9830.2469135802476</v>
      </c>
      <c r="DY144" s="251">
        <f>(SUM($J137:DY137)-SUM($J142:DY142))*$E144/12</f>
        <v>9629.6296296296296</v>
      </c>
    </row>
    <row r="145" spans="2:129">
      <c r="B145" s="43"/>
      <c r="C145" s="43" t="s">
        <v>390</v>
      </c>
      <c r="D145" s="43"/>
      <c r="E145" s="526"/>
      <c r="F145" s="131"/>
      <c r="G145" s="131"/>
      <c r="H145" s="131"/>
      <c r="I145" s="43"/>
      <c r="J145" s="491">
        <f>J139*$E144/12</f>
        <v>0</v>
      </c>
      <c r="K145" s="491">
        <f t="shared" ref="K145:BV145" si="125">K139*$E144/12</f>
        <v>0</v>
      </c>
      <c r="L145" s="491">
        <f t="shared" si="125"/>
        <v>0</v>
      </c>
      <c r="M145" s="491">
        <f t="shared" si="125"/>
        <v>0</v>
      </c>
      <c r="N145" s="491">
        <f t="shared" si="125"/>
        <v>0</v>
      </c>
      <c r="O145" s="491">
        <f t="shared" si="125"/>
        <v>0</v>
      </c>
      <c r="P145" s="491">
        <f t="shared" si="125"/>
        <v>0</v>
      </c>
      <c r="Q145" s="491">
        <f t="shared" si="125"/>
        <v>0</v>
      </c>
      <c r="R145" s="491">
        <f t="shared" si="125"/>
        <v>0</v>
      </c>
      <c r="S145" s="491">
        <f t="shared" si="125"/>
        <v>0</v>
      </c>
      <c r="T145" s="491">
        <f t="shared" si="125"/>
        <v>0</v>
      </c>
      <c r="U145" s="491">
        <f t="shared" si="125"/>
        <v>0</v>
      </c>
      <c r="V145" s="491">
        <f t="shared" si="125"/>
        <v>0</v>
      </c>
      <c r="W145" s="491">
        <f t="shared" si="125"/>
        <v>0</v>
      </c>
      <c r="X145" s="491">
        <f t="shared" si="125"/>
        <v>0</v>
      </c>
      <c r="Y145" s="491">
        <f t="shared" si="125"/>
        <v>0</v>
      </c>
      <c r="Z145" s="491">
        <f t="shared" si="125"/>
        <v>0</v>
      </c>
      <c r="AA145" s="491">
        <f t="shared" si="125"/>
        <v>0</v>
      </c>
      <c r="AB145" s="491">
        <f t="shared" si="125"/>
        <v>0</v>
      </c>
      <c r="AC145" s="491">
        <f t="shared" si="125"/>
        <v>0</v>
      </c>
      <c r="AD145" s="491">
        <f t="shared" si="125"/>
        <v>0</v>
      </c>
      <c r="AE145" s="491">
        <f t="shared" si="125"/>
        <v>0</v>
      </c>
      <c r="AF145" s="491">
        <f t="shared" si="125"/>
        <v>0</v>
      </c>
      <c r="AG145" s="491">
        <f t="shared" si="125"/>
        <v>0</v>
      </c>
      <c r="AH145" s="491">
        <f t="shared" si="125"/>
        <v>0</v>
      </c>
      <c r="AI145" s="491">
        <f t="shared" si="125"/>
        <v>0</v>
      </c>
      <c r="AJ145" s="491">
        <f t="shared" si="125"/>
        <v>0</v>
      </c>
      <c r="AK145" s="491">
        <f t="shared" si="125"/>
        <v>0</v>
      </c>
      <c r="AL145" s="491">
        <f t="shared" si="125"/>
        <v>0</v>
      </c>
      <c r="AM145" s="491">
        <f t="shared" si="125"/>
        <v>0</v>
      </c>
      <c r="AN145" s="491">
        <f t="shared" si="125"/>
        <v>0</v>
      </c>
      <c r="AO145" s="491">
        <f t="shared" si="125"/>
        <v>0</v>
      </c>
      <c r="AP145" s="491">
        <f t="shared" si="125"/>
        <v>0</v>
      </c>
      <c r="AQ145" s="491">
        <f t="shared" si="125"/>
        <v>0</v>
      </c>
      <c r="AR145" s="491">
        <f t="shared" si="125"/>
        <v>0</v>
      </c>
      <c r="AS145" s="491">
        <f t="shared" si="125"/>
        <v>0</v>
      </c>
      <c r="AT145" s="491">
        <f t="shared" si="125"/>
        <v>0</v>
      </c>
      <c r="AU145" s="491">
        <f t="shared" si="125"/>
        <v>0</v>
      </c>
      <c r="AV145" s="491">
        <f t="shared" si="125"/>
        <v>0</v>
      </c>
      <c r="AW145" s="491">
        <f t="shared" si="125"/>
        <v>0</v>
      </c>
      <c r="AX145" s="491">
        <f t="shared" si="125"/>
        <v>0</v>
      </c>
      <c r="AY145" s="491">
        <f t="shared" si="125"/>
        <v>0</v>
      </c>
      <c r="AZ145" s="491">
        <f t="shared" si="125"/>
        <v>0</v>
      </c>
      <c r="BA145" s="491">
        <f t="shared" si="125"/>
        <v>0</v>
      </c>
      <c r="BB145" s="491">
        <f t="shared" si="125"/>
        <v>0</v>
      </c>
      <c r="BC145" s="491">
        <f t="shared" si="125"/>
        <v>0</v>
      </c>
      <c r="BD145" s="491">
        <f t="shared" si="125"/>
        <v>0</v>
      </c>
      <c r="BE145" s="491">
        <f t="shared" si="125"/>
        <v>0</v>
      </c>
      <c r="BF145" s="491">
        <f t="shared" si="125"/>
        <v>0</v>
      </c>
      <c r="BG145" s="491">
        <f t="shared" si="125"/>
        <v>0</v>
      </c>
      <c r="BH145" s="491">
        <f t="shared" si="125"/>
        <v>0</v>
      </c>
      <c r="BI145" s="491">
        <f t="shared" si="125"/>
        <v>0</v>
      </c>
      <c r="BJ145" s="491">
        <f t="shared" si="125"/>
        <v>0</v>
      </c>
      <c r="BK145" s="491">
        <f t="shared" si="125"/>
        <v>0</v>
      </c>
      <c r="BL145" s="491">
        <f t="shared" si="125"/>
        <v>0</v>
      </c>
      <c r="BM145" s="491">
        <f t="shared" si="125"/>
        <v>0</v>
      </c>
      <c r="BN145" s="491">
        <f t="shared" si="125"/>
        <v>0</v>
      </c>
      <c r="BO145" s="491">
        <f t="shared" si="125"/>
        <v>0</v>
      </c>
      <c r="BP145" s="491">
        <f t="shared" si="125"/>
        <v>0</v>
      </c>
      <c r="BQ145" s="491">
        <f t="shared" si="125"/>
        <v>0</v>
      </c>
      <c r="BR145" s="491">
        <f t="shared" si="125"/>
        <v>0</v>
      </c>
      <c r="BS145" s="491">
        <f t="shared" si="125"/>
        <v>0</v>
      </c>
      <c r="BT145" s="491">
        <f t="shared" si="125"/>
        <v>0</v>
      </c>
      <c r="BU145" s="491">
        <f t="shared" si="125"/>
        <v>0</v>
      </c>
      <c r="BV145" s="491">
        <f t="shared" si="125"/>
        <v>0</v>
      </c>
      <c r="BW145" s="491">
        <f t="shared" ref="BW145:CC145" si="126">BW139*$E144/12</f>
        <v>0</v>
      </c>
      <c r="BX145" s="491">
        <f t="shared" si="126"/>
        <v>0</v>
      </c>
      <c r="BY145" s="491">
        <f t="shared" si="126"/>
        <v>0</v>
      </c>
      <c r="BZ145" s="491">
        <f t="shared" si="126"/>
        <v>0</v>
      </c>
      <c r="CA145" s="491">
        <f t="shared" si="126"/>
        <v>0</v>
      </c>
      <c r="CB145" s="491">
        <f t="shared" si="126"/>
        <v>0</v>
      </c>
      <c r="CC145" s="491">
        <f t="shared" si="126"/>
        <v>0</v>
      </c>
      <c r="CD145" s="491">
        <f t="shared" ref="CD145:DY145" si="127">CD139*$E144/12</f>
        <v>0</v>
      </c>
      <c r="CE145" s="491">
        <f t="shared" si="127"/>
        <v>0</v>
      </c>
      <c r="CF145" s="491">
        <f t="shared" si="127"/>
        <v>0</v>
      </c>
      <c r="CG145" s="491">
        <f t="shared" si="127"/>
        <v>0</v>
      </c>
      <c r="CH145" s="491">
        <f t="shared" si="127"/>
        <v>0</v>
      </c>
      <c r="CI145" s="491">
        <f t="shared" si="127"/>
        <v>0</v>
      </c>
      <c r="CJ145" s="491">
        <f t="shared" si="127"/>
        <v>0</v>
      </c>
      <c r="CK145" s="491">
        <f t="shared" si="127"/>
        <v>0</v>
      </c>
      <c r="CL145" s="491">
        <f t="shared" si="127"/>
        <v>0</v>
      </c>
      <c r="CM145" s="491">
        <f t="shared" si="127"/>
        <v>0</v>
      </c>
      <c r="CN145" s="491">
        <f t="shared" si="127"/>
        <v>0</v>
      </c>
      <c r="CO145" s="491">
        <f t="shared" si="127"/>
        <v>0</v>
      </c>
      <c r="CP145" s="491">
        <f t="shared" si="127"/>
        <v>0</v>
      </c>
      <c r="CQ145" s="491">
        <f t="shared" si="127"/>
        <v>0</v>
      </c>
      <c r="CR145" s="491">
        <f t="shared" si="127"/>
        <v>0</v>
      </c>
      <c r="CS145" s="491">
        <f t="shared" si="127"/>
        <v>0</v>
      </c>
      <c r="CT145" s="491">
        <f t="shared" si="127"/>
        <v>0</v>
      </c>
      <c r="CU145" s="491">
        <f t="shared" si="127"/>
        <v>0</v>
      </c>
      <c r="CV145" s="491">
        <f t="shared" si="127"/>
        <v>0</v>
      </c>
      <c r="CW145" s="491">
        <f t="shared" si="127"/>
        <v>0</v>
      </c>
      <c r="CX145" s="491">
        <f t="shared" si="127"/>
        <v>0</v>
      </c>
      <c r="CY145" s="491">
        <f t="shared" si="127"/>
        <v>0</v>
      </c>
      <c r="CZ145" s="491">
        <f t="shared" si="127"/>
        <v>0</v>
      </c>
      <c r="DA145" s="491">
        <f t="shared" si="127"/>
        <v>0</v>
      </c>
      <c r="DB145" s="491">
        <f t="shared" si="127"/>
        <v>0</v>
      </c>
      <c r="DC145" s="491">
        <f t="shared" si="127"/>
        <v>0</v>
      </c>
      <c r="DD145" s="491">
        <f t="shared" si="127"/>
        <v>0</v>
      </c>
      <c r="DE145" s="491">
        <f t="shared" si="127"/>
        <v>0</v>
      </c>
      <c r="DF145" s="491">
        <f t="shared" si="127"/>
        <v>0</v>
      </c>
      <c r="DG145" s="491">
        <f t="shared" si="127"/>
        <v>0</v>
      </c>
      <c r="DH145" s="491">
        <f t="shared" si="127"/>
        <v>0</v>
      </c>
      <c r="DI145" s="491">
        <f t="shared" si="127"/>
        <v>0</v>
      </c>
      <c r="DJ145" s="491">
        <f t="shared" si="127"/>
        <v>0</v>
      </c>
      <c r="DK145" s="491">
        <f t="shared" si="127"/>
        <v>0</v>
      </c>
      <c r="DL145" s="491">
        <f t="shared" si="127"/>
        <v>0</v>
      </c>
      <c r="DM145" s="491">
        <f t="shared" si="127"/>
        <v>0</v>
      </c>
      <c r="DN145" s="491">
        <f t="shared" si="127"/>
        <v>108333.33333333333</v>
      </c>
      <c r="DO145" s="491">
        <f t="shared" si="127"/>
        <v>108333.33333333333</v>
      </c>
      <c r="DP145" s="491">
        <f t="shared" si="127"/>
        <v>108333.33333333333</v>
      </c>
      <c r="DQ145" s="491">
        <f t="shared" si="127"/>
        <v>108333.33333333333</v>
      </c>
      <c r="DR145" s="491">
        <f t="shared" si="127"/>
        <v>108333.33333333333</v>
      </c>
      <c r="DS145" s="491">
        <f t="shared" si="127"/>
        <v>108333.33333333333</v>
      </c>
      <c r="DT145" s="491">
        <f t="shared" si="127"/>
        <v>106327.16049382718</v>
      </c>
      <c r="DU145" s="491">
        <f t="shared" si="127"/>
        <v>104320.987654321</v>
      </c>
      <c r="DV145" s="491">
        <f t="shared" si="127"/>
        <v>102314.81481481482</v>
      </c>
      <c r="DW145" s="491">
        <f t="shared" si="127"/>
        <v>100308.64197530865</v>
      </c>
      <c r="DX145" s="491">
        <f t="shared" si="127"/>
        <v>98302.469135802472</v>
      </c>
      <c r="DY145" s="491">
        <f t="shared" si="127"/>
        <v>96296.296296296307</v>
      </c>
    </row>
    <row r="146" spans="2:129">
      <c r="B146" s="43"/>
      <c r="C146" s="43" t="s">
        <v>392</v>
      </c>
      <c r="D146" s="43"/>
      <c r="E146" s="486"/>
      <c r="F146" s="127"/>
      <c r="G146" s="127"/>
      <c r="H146" s="127"/>
      <c r="I146" s="43"/>
      <c r="J146" s="491">
        <f>IF($E136="USD",J139*(1-Flags!$K$29),0)</f>
        <v>0</v>
      </c>
      <c r="K146" s="491">
        <f>IF($E136="USD",K139*(1-Flags!$K$29),0)</f>
        <v>0</v>
      </c>
      <c r="L146" s="491">
        <f>IF($E136="USD",L139*(1-Flags!$K$29),0)</f>
        <v>0</v>
      </c>
      <c r="M146" s="491">
        <f>IF($E136="USD",M139*(1-Flags!$K$29),0)</f>
        <v>0</v>
      </c>
      <c r="N146" s="491">
        <f>IF($E136="USD",N139*(1-Flags!$K$29),0)</f>
        <v>0</v>
      </c>
      <c r="O146" s="491">
        <f>IF($E136="USD",O139*(1-Flags!$K$29),0)</f>
        <v>0</v>
      </c>
      <c r="P146" s="491">
        <f>IF($E136="USD",P139*(1-Flags!$K$29),0)</f>
        <v>0</v>
      </c>
      <c r="Q146" s="491">
        <f>IF($E136="USD",Q139*(1-Flags!$K$29),0)</f>
        <v>0</v>
      </c>
      <c r="R146" s="491">
        <f>IF($E136="USD",R139*(1-Flags!$K$29),0)</f>
        <v>0</v>
      </c>
      <c r="S146" s="491">
        <f>IF($E136="USD",S139*(1-Flags!$K$29),0)</f>
        <v>0</v>
      </c>
      <c r="T146" s="491">
        <f>IF($E136="USD",T139*(1-Flags!$K$29),0)</f>
        <v>0</v>
      </c>
      <c r="U146" s="491">
        <f>IF($E136="USD",U139*(1-Flags!$K$29),0)</f>
        <v>0</v>
      </c>
      <c r="V146" s="491">
        <f>IF($E136="USD",V139*(1-Flags!$K$29),0)</f>
        <v>0</v>
      </c>
      <c r="W146" s="491">
        <f>IF($E136="USD",W139*(1-Flags!$K$29),0)</f>
        <v>0</v>
      </c>
      <c r="X146" s="491">
        <f>IF($E136="USD",X139*(1-Flags!$K$29),0)</f>
        <v>0</v>
      </c>
      <c r="Y146" s="491">
        <f>IF($E136="USD",Y139*(1-Flags!$K$29),0)</f>
        <v>0</v>
      </c>
      <c r="Z146" s="491">
        <f>IF($E136="USD",Z139*(1-Flags!$K$29),0)</f>
        <v>0</v>
      </c>
      <c r="AA146" s="491">
        <f>IF($E136="USD",AA139*(1-Flags!$K$29),0)</f>
        <v>0</v>
      </c>
      <c r="AB146" s="491">
        <f>IF($E136="USD",AB139*(1-Flags!$K$29),0)</f>
        <v>0</v>
      </c>
      <c r="AC146" s="491">
        <f>IF($E136="USD",AC139*(1-Flags!$K$29),0)</f>
        <v>0</v>
      </c>
      <c r="AD146" s="491">
        <f>IF($E136="USD",AD139*(1-Flags!$K$29),0)</f>
        <v>0</v>
      </c>
      <c r="AE146" s="491">
        <f>IF($E136="USD",AE139*(1-Flags!$K$29),0)</f>
        <v>0</v>
      </c>
      <c r="AF146" s="491">
        <f>IF($E136="USD",AF139*(1-Flags!$K$29),0)</f>
        <v>0</v>
      </c>
      <c r="AG146" s="491">
        <f>IF($E136="USD",AG139*(1-Flags!$K$29),0)</f>
        <v>0</v>
      </c>
      <c r="AH146" s="491">
        <f>IF($E136="USD",AH139*(1-Flags!$K$29),0)</f>
        <v>0</v>
      </c>
      <c r="AI146" s="491">
        <f>IF($E136="USD",AI139*(1-Flags!$K$29),0)</f>
        <v>0</v>
      </c>
      <c r="AJ146" s="491">
        <f>IF($E136="USD",AJ139*(1-Flags!$K$29),0)</f>
        <v>0</v>
      </c>
      <c r="AK146" s="491">
        <f>IF($E136="USD",AK139*(1-Flags!$K$29),0)</f>
        <v>0</v>
      </c>
      <c r="AL146" s="491">
        <f>IF($E136="USD",AL139*(1-Flags!$K$29),0)</f>
        <v>0</v>
      </c>
      <c r="AM146" s="491">
        <f>IF($E136="USD",AM139*(1-Flags!$K$29),0)</f>
        <v>0</v>
      </c>
      <c r="AN146" s="491">
        <f>IF($E136="USD",AN139*(1-Flags!$K$29),0)</f>
        <v>0</v>
      </c>
      <c r="AO146" s="491">
        <f>IF($E136="USD",AO139*(1-Flags!$K$29),0)</f>
        <v>0</v>
      </c>
      <c r="AP146" s="491">
        <f>IF($E136="USD",AP139*(1-Flags!$K$29),0)</f>
        <v>0</v>
      </c>
      <c r="AQ146" s="491">
        <f>IF($E136="USD",AQ139*(1-Flags!$K$29),0)</f>
        <v>0</v>
      </c>
      <c r="AR146" s="491">
        <f>IF($E136="USD",AR139*(1-Flags!$K$29),0)</f>
        <v>0</v>
      </c>
      <c r="AS146" s="491">
        <f>IF($E136="USD",AS139*(1-Flags!$K$29),0)</f>
        <v>0</v>
      </c>
      <c r="AT146" s="491">
        <f>IF($E136="USD",AT139*(1-Flags!$K$29),0)</f>
        <v>0</v>
      </c>
      <c r="AU146" s="491">
        <f>IF($E136="USD",AU139*(1-Flags!$K$29),0)</f>
        <v>0</v>
      </c>
      <c r="AV146" s="491">
        <f>IF($E136="USD",AV139*(1-Flags!$K$29),0)</f>
        <v>0</v>
      </c>
      <c r="AW146" s="491">
        <f>IF($E136="USD",AW139*(1-Flags!$K$29),0)</f>
        <v>0</v>
      </c>
      <c r="AX146" s="491">
        <f>IF($E136="USD",AX139*(1-Flags!$K$29),0)</f>
        <v>0</v>
      </c>
      <c r="AY146" s="491">
        <f>IF($E136="USD",AY139*(1-Flags!$K$29),0)</f>
        <v>0</v>
      </c>
      <c r="AZ146" s="491">
        <f>IF($E136="USD",AZ139*(1-Flags!$K$29),0)</f>
        <v>0</v>
      </c>
      <c r="BA146" s="491">
        <f>IF($E136="USD",BA139*(1-Flags!$K$29),0)</f>
        <v>0</v>
      </c>
      <c r="BB146" s="491">
        <f>IF($E136="USD",BB139*(1-Flags!$K$29),0)</f>
        <v>0</v>
      </c>
      <c r="BC146" s="491">
        <f>IF($E136="USD",BC139*(1-Flags!$K$29),0)</f>
        <v>0</v>
      </c>
      <c r="BD146" s="491">
        <f>IF($E136="USD",BD139*(1-Flags!$K$29),0)</f>
        <v>0</v>
      </c>
      <c r="BE146" s="491">
        <f>IF($E136="USD",BE139*(1-Flags!$K$29),0)</f>
        <v>0</v>
      </c>
      <c r="BF146" s="491">
        <f>IF($E136="USD",BF139*(1-Flags!$K$29),0)</f>
        <v>0</v>
      </c>
      <c r="BG146" s="491">
        <f>IF($E136="USD",BG139*(1-Flags!$K$29),0)</f>
        <v>0</v>
      </c>
      <c r="BH146" s="491">
        <f>IF($E136="USD",BH139*(1-Flags!$K$29),0)</f>
        <v>0</v>
      </c>
      <c r="BI146" s="491">
        <f>IF($E136="USD",BI139*(1-Flags!$K$29),0)</f>
        <v>0</v>
      </c>
      <c r="BJ146" s="491">
        <f>IF($E136="USD",BJ139*(1-Flags!$K$29),0)</f>
        <v>0</v>
      </c>
      <c r="BK146" s="491">
        <f>IF($E136="USD",BK139*(1-Flags!$K$29),0)</f>
        <v>0</v>
      </c>
      <c r="BL146" s="491">
        <f>IF($E136="USD",BL139*(1-Flags!$K$29),0)</f>
        <v>0</v>
      </c>
      <c r="BM146" s="491">
        <f>IF($E136="USD",BM139*(1-Flags!$K$29),0)</f>
        <v>0</v>
      </c>
      <c r="BN146" s="491">
        <f>IF($E136="USD",BN139*(1-Flags!$K$29),0)</f>
        <v>0</v>
      </c>
      <c r="BO146" s="491">
        <f>IF($E136="USD",BO139*(1-Flags!$K$29),0)</f>
        <v>0</v>
      </c>
      <c r="BP146" s="491">
        <f>IF($E136="USD",BP139*(1-Flags!$K$29),0)</f>
        <v>0</v>
      </c>
      <c r="BQ146" s="491">
        <f>IF($E136="USD",BQ139*(1-Flags!$K$29),0)</f>
        <v>0</v>
      </c>
      <c r="BR146" s="491">
        <f>IF($E136="USD",BR139*(1-Flags!$K$29),0)</f>
        <v>0</v>
      </c>
      <c r="BS146" s="491">
        <f>IF($E136="USD",BS139*(1-Flags!$K$29),0)</f>
        <v>0</v>
      </c>
      <c r="BT146" s="491">
        <f>IF($E136="USD",BT139*(1-Flags!$K$29),0)</f>
        <v>0</v>
      </c>
      <c r="BU146" s="491">
        <f>IF($E136="USD",BU139*(1-Flags!$K$29),0)</f>
        <v>0</v>
      </c>
      <c r="BV146" s="491">
        <f>IF($E136="USD",BV139*(1-Flags!$K$29),0)</f>
        <v>0</v>
      </c>
      <c r="BW146" s="491">
        <f>IF($E136="USD",BW139*(1-Flags!$K$29),0)</f>
        <v>0</v>
      </c>
      <c r="BX146" s="491">
        <f>IF($E136="USD",BX139*(1-Flags!$K$29),0)</f>
        <v>0</v>
      </c>
      <c r="BY146" s="491">
        <f>IF($E136="USD",BY139*(1-Flags!$K$29),0)</f>
        <v>0</v>
      </c>
      <c r="BZ146" s="491">
        <f>IF($E136="USD",BZ139*(1-Flags!$K$29),0)</f>
        <v>0</v>
      </c>
      <c r="CA146" s="491">
        <f>IF($E136="USD",CA139*(1-Flags!$K$29),0)</f>
        <v>0</v>
      </c>
      <c r="CB146" s="491">
        <f>IF($E136="USD",CB139*(1-Flags!$K$29),0)</f>
        <v>0</v>
      </c>
      <c r="CC146" s="491">
        <f>IF($E136="USD",CC139*(1-Flags!$K$29),0)</f>
        <v>0</v>
      </c>
      <c r="CD146" s="491">
        <f>IF($E136="USD",CD139*(1-Flags!$K$29),0)</f>
        <v>0</v>
      </c>
      <c r="CE146" s="491">
        <f>IF($E136="USD",CE139*(1-Flags!$K$29),0)</f>
        <v>0</v>
      </c>
      <c r="CF146" s="491">
        <f>IF($E136="USD",CF139*(1-Flags!$K$29),0)</f>
        <v>0</v>
      </c>
      <c r="CG146" s="491">
        <f>IF($E136="USD",CG139*(1-Flags!$K$29),0)</f>
        <v>0</v>
      </c>
      <c r="CH146" s="491">
        <f>IF($E136="USD",CH139*(1-Flags!$K$29),0)</f>
        <v>0</v>
      </c>
      <c r="CI146" s="491">
        <f>IF($E136="USD",CI139*(1-Flags!$K$29),0)</f>
        <v>0</v>
      </c>
      <c r="CJ146" s="491">
        <f>IF($E136="USD",CJ139*(1-Flags!$K$29),0)</f>
        <v>0</v>
      </c>
      <c r="CK146" s="491">
        <f>IF($E136="USD",CK139*(1-Flags!$K$29),0)</f>
        <v>0</v>
      </c>
      <c r="CL146" s="491">
        <f>IF($E136="USD",CL139*(1-Flags!$K$29),0)</f>
        <v>0</v>
      </c>
      <c r="CM146" s="491">
        <f>IF($E136="USD",CM139*(1-Flags!$K$29),0)</f>
        <v>0</v>
      </c>
      <c r="CN146" s="491">
        <f>IF($E136="USD",CN139*(1-Flags!$K$29),0)</f>
        <v>0</v>
      </c>
      <c r="CO146" s="491">
        <f>IF($E136="USD",CO139*(1-Flags!$K$29),0)</f>
        <v>0</v>
      </c>
      <c r="CP146" s="491">
        <f>IF($E136="USD",CP139*(1-Flags!$K$29),0)</f>
        <v>0</v>
      </c>
      <c r="CQ146" s="491">
        <f>IF($E136="USD",CQ139*(1-Flags!$K$29),0)</f>
        <v>0</v>
      </c>
      <c r="CR146" s="491">
        <f>IF($E136="USD",CR139*(1-Flags!$K$29),0)</f>
        <v>0</v>
      </c>
      <c r="CS146" s="491">
        <f>IF($E136="USD",CS139*(1-Flags!$K$29),0)</f>
        <v>0</v>
      </c>
      <c r="CT146" s="491">
        <f>IF($E136="USD",CT139*(1-Flags!$K$29),0)</f>
        <v>0</v>
      </c>
      <c r="CU146" s="491">
        <f>IF($E136="USD",CU139*(1-Flags!$K$29),0)</f>
        <v>0</v>
      </c>
      <c r="CV146" s="491">
        <f>IF($E136="USD",CV139*(1-Flags!$K$29),0)</f>
        <v>0</v>
      </c>
      <c r="CW146" s="491">
        <f>IF($E136="USD",CW139*(1-Flags!$K$29),0)</f>
        <v>0</v>
      </c>
      <c r="CX146" s="491">
        <f>IF($E136="USD",CX139*(1-Flags!$K$29),0)</f>
        <v>0</v>
      </c>
      <c r="CY146" s="491">
        <f>IF($E136="USD",CY139*(1-Flags!$K$29),0)</f>
        <v>0</v>
      </c>
      <c r="CZ146" s="491">
        <f>IF($E136="USD",CZ139*(1-Flags!$K$29),0)</f>
        <v>0</v>
      </c>
      <c r="DA146" s="491">
        <f>IF($E136="USD",DA139*(1-Flags!$K$29),0)</f>
        <v>0</v>
      </c>
      <c r="DB146" s="491">
        <f>IF($E136="USD",DB139*(1-Flags!$K$29),0)</f>
        <v>0</v>
      </c>
      <c r="DC146" s="491">
        <f>IF($E136="USD",DC139*(1-Flags!$K$29),0)</f>
        <v>0</v>
      </c>
      <c r="DD146" s="491">
        <f>IF($E136="USD",DD139*(1-Flags!$K$29),0)</f>
        <v>0</v>
      </c>
      <c r="DE146" s="491">
        <f>IF($E136="USD",DE139*(1-Flags!$K$29),0)</f>
        <v>0</v>
      </c>
      <c r="DF146" s="491">
        <f>IF($E136="USD",DF139*(1-Flags!$K$29),0)</f>
        <v>0</v>
      </c>
      <c r="DG146" s="491">
        <f>IF($E136="USD",DG139*(1-Flags!$K$29),0)</f>
        <v>0</v>
      </c>
      <c r="DH146" s="491">
        <f>IF($E136="USD",DH139*(1-Flags!$K$29),0)</f>
        <v>0</v>
      </c>
      <c r="DI146" s="491">
        <f>IF($E136="USD",DI139*(1-Flags!$K$29),0)</f>
        <v>0</v>
      </c>
      <c r="DJ146" s="491">
        <f>IF($E136="USD",DJ139*(1-Flags!$K$29),0)</f>
        <v>0</v>
      </c>
      <c r="DK146" s="491">
        <f>IF($E136="USD",DK139*(1-Flags!$K$29),0)</f>
        <v>0</v>
      </c>
      <c r="DL146" s="491">
        <f>IF($E136="USD",DL139*(1-Flags!$K$29),0)</f>
        <v>0</v>
      </c>
      <c r="DM146" s="491">
        <f>IF($E136="USD",DM139*(1-Flags!$K$29),0)</f>
        <v>0</v>
      </c>
      <c r="DN146" s="491">
        <f>IF($E136="USD",DN139*(1-Flags!$K$29),0)</f>
        <v>0</v>
      </c>
      <c r="DO146" s="491">
        <f>IF($E136="USD",DO139*(1-Flags!$K$29),0)</f>
        <v>0</v>
      </c>
      <c r="DP146" s="491">
        <f>IF($E136="USD",DP139*(1-Flags!$K$29),0)</f>
        <v>0</v>
      </c>
      <c r="DQ146" s="491">
        <f>IF($E136="USD",DQ139*(1-Flags!$K$29),0)</f>
        <v>0</v>
      </c>
      <c r="DR146" s="491">
        <f>IF($E136="USD",DR139*(1-Flags!$K$29),0)</f>
        <v>0</v>
      </c>
      <c r="DS146" s="491">
        <f>IF($E136="USD",DS139*(1-Flags!$K$29),0)</f>
        <v>0</v>
      </c>
      <c r="DT146" s="491">
        <f>IF($E136="USD",DT139*(1-Flags!$K$29),0)</f>
        <v>0</v>
      </c>
      <c r="DU146" s="491">
        <f>IF($E136="USD",DU139*(1-Flags!$K$29),0)</f>
        <v>0</v>
      </c>
      <c r="DV146" s="491">
        <f>IF($E136="USD",DV139*(1-Flags!$K$29),0)</f>
        <v>0</v>
      </c>
      <c r="DW146" s="491">
        <f>IF($E136="USD",DW139*(1-Flags!$K$29),0)</f>
        <v>0</v>
      </c>
      <c r="DX146" s="491">
        <f>IF($E136="USD",DX139*(1-Flags!$K$29),0)</f>
        <v>0</v>
      </c>
      <c r="DY146" s="491">
        <f>IF($E136="USD",DY139*(1-Flags!$K$29),0)</f>
        <v>0</v>
      </c>
    </row>
    <row r="147" spans="2:129">
      <c r="C147" s="43" t="s">
        <v>637</v>
      </c>
      <c r="E147" s="578">
        <f>'Model Assumptions'!M142</f>
        <v>0.02</v>
      </c>
      <c r="J147" s="159">
        <f>J137*$E$147</f>
        <v>0</v>
      </c>
      <c r="K147" s="159">
        <f t="shared" ref="K147:BV147" si="128">K137*$E$147</f>
        <v>0</v>
      </c>
      <c r="L147" s="159">
        <f t="shared" si="128"/>
        <v>0</v>
      </c>
      <c r="M147" s="159">
        <f t="shared" si="128"/>
        <v>0</v>
      </c>
      <c r="N147" s="159">
        <f t="shared" si="128"/>
        <v>0</v>
      </c>
      <c r="O147" s="159">
        <f t="shared" si="128"/>
        <v>0</v>
      </c>
      <c r="P147" s="159">
        <f t="shared" si="128"/>
        <v>0</v>
      </c>
      <c r="Q147" s="159">
        <f t="shared" si="128"/>
        <v>0</v>
      </c>
      <c r="R147" s="159">
        <f t="shared" si="128"/>
        <v>0</v>
      </c>
      <c r="S147" s="159">
        <f t="shared" si="128"/>
        <v>0</v>
      </c>
      <c r="T147" s="159">
        <f t="shared" si="128"/>
        <v>0</v>
      </c>
      <c r="U147" s="159">
        <f t="shared" si="128"/>
        <v>0</v>
      </c>
      <c r="V147" s="159">
        <f t="shared" si="128"/>
        <v>0</v>
      </c>
      <c r="W147" s="159">
        <f t="shared" si="128"/>
        <v>0</v>
      </c>
      <c r="X147" s="159">
        <f t="shared" si="128"/>
        <v>0</v>
      </c>
      <c r="Y147" s="159">
        <f t="shared" si="128"/>
        <v>0</v>
      </c>
      <c r="Z147" s="159">
        <f t="shared" si="128"/>
        <v>0</v>
      </c>
      <c r="AA147" s="159">
        <f t="shared" si="128"/>
        <v>0</v>
      </c>
      <c r="AB147" s="159">
        <f t="shared" si="128"/>
        <v>0</v>
      </c>
      <c r="AC147" s="159">
        <f t="shared" si="128"/>
        <v>0</v>
      </c>
      <c r="AD147" s="159">
        <f t="shared" si="128"/>
        <v>0</v>
      </c>
      <c r="AE147" s="159">
        <f t="shared" si="128"/>
        <v>0</v>
      </c>
      <c r="AF147" s="159">
        <f t="shared" si="128"/>
        <v>0</v>
      </c>
      <c r="AG147" s="159">
        <f t="shared" si="128"/>
        <v>0</v>
      </c>
      <c r="AH147" s="159">
        <f t="shared" si="128"/>
        <v>0</v>
      </c>
      <c r="AI147" s="159">
        <f t="shared" si="128"/>
        <v>0</v>
      </c>
      <c r="AJ147" s="159">
        <f t="shared" si="128"/>
        <v>0</v>
      </c>
      <c r="AK147" s="159">
        <f t="shared" si="128"/>
        <v>0</v>
      </c>
      <c r="AL147" s="159">
        <f t="shared" si="128"/>
        <v>0</v>
      </c>
      <c r="AM147" s="159">
        <f t="shared" si="128"/>
        <v>0</v>
      </c>
      <c r="AN147" s="159">
        <f t="shared" si="128"/>
        <v>0</v>
      </c>
      <c r="AO147" s="159">
        <f t="shared" si="128"/>
        <v>0</v>
      </c>
      <c r="AP147" s="159">
        <f t="shared" si="128"/>
        <v>0</v>
      </c>
      <c r="AQ147" s="159">
        <f t="shared" si="128"/>
        <v>0</v>
      </c>
      <c r="AR147" s="159">
        <f t="shared" si="128"/>
        <v>0</v>
      </c>
      <c r="AS147" s="159">
        <f t="shared" si="128"/>
        <v>0</v>
      </c>
      <c r="AT147" s="159">
        <f t="shared" si="128"/>
        <v>0</v>
      </c>
      <c r="AU147" s="159">
        <f t="shared" si="128"/>
        <v>0</v>
      </c>
      <c r="AV147" s="159">
        <f t="shared" si="128"/>
        <v>0</v>
      </c>
      <c r="AW147" s="159">
        <f t="shared" si="128"/>
        <v>0</v>
      </c>
      <c r="AX147" s="159">
        <f t="shared" si="128"/>
        <v>0</v>
      </c>
      <c r="AY147" s="159">
        <f t="shared" si="128"/>
        <v>0</v>
      </c>
      <c r="AZ147" s="159">
        <f t="shared" si="128"/>
        <v>0</v>
      </c>
      <c r="BA147" s="159">
        <f t="shared" si="128"/>
        <v>0</v>
      </c>
      <c r="BB147" s="159">
        <f t="shared" si="128"/>
        <v>0</v>
      </c>
      <c r="BC147" s="159">
        <f t="shared" si="128"/>
        <v>0</v>
      </c>
      <c r="BD147" s="159">
        <f t="shared" si="128"/>
        <v>0</v>
      </c>
      <c r="BE147" s="159">
        <f t="shared" si="128"/>
        <v>0</v>
      </c>
      <c r="BF147" s="159">
        <f t="shared" si="128"/>
        <v>0</v>
      </c>
      <c r="BG147" s="159">
        <f t="shared" si="128"/>
        <v>0</v>
      </c>
      <c r="BH147" s="159">
        <f t="shared" si="128"/>
        <v>0</v>
      </c>
      <c r="BI147" s="159">
        <f t="shared" si="128"/>
        <v>0</v>
      </c>
      <c r="BJ147" s="159">
        <f t="shared" si="128"/>
        <v>0</v>
      </c>
      <c r="BK147" s="159">
        <f t="shared" si="128"/>
        <v>0</v>
      </c>
      <c r="BL147" s="159">
        <f t="shared" si="128"/>
        <v>0</v>
      </c>
      <c r="BM147" s="159">
        <f t="shared" si="128"/>
        <v>0</v>
      </c>
      <c r="BN147" s="159">
        <f t="shared" si="128"/>
        <v>0</v>
      </c>
      <c r="BO147" s="159">
        <f t="shared" si="128"/>
        <v>0</v>
      </c>
      <c r="BP147" s="159">
        <f t="shared" si="128"/>
        <v>0</v>
      </c>
      <c r="BQ147" s="159">
        <f t="shared" si="128"/>
        <v>0</v>
      </c>
      <c r="BR147" s="159">
        <f t="shared" si="128"/>
        <v>0</v>
      </c>
      <c r="BS147" s="159">
        <f t="shared" si="128"/>
        <v>0</v>
      </c>
      <c r="BT147" s="159">
        <f t="shared" si="128"/>
        <v>0</v>
      </c>
      <c r="BU147" s="159">
        <f t="shared" si="128"/>
        <v>0</v>
      </c>
      <c r="BV147" s="159">
        <f t="shared" si="128"/>
        <v>0</v>
      </c>
      <c r="BW147" s="159">
        <f t="shared" ref="BW147:DY147" si="129">BW137*$E$147</f>
        <v>0</v>
      </c>
      <c r="BX147" s="159">
        <f t="shared" si="129"/>
        <v>0</v>
      </c>
      <c r="BY147" s="159">
        <f t="shared" si="129"/>
        <v>0</v>
      </c>
      <c r="BZ147" s="159">
        <f t="shared" si="129"/>
        <v>0</v>
      </c>
      <c r="CA147" s="159">
        <f t="shared" si="129"/>
        <v>0</v>
      </c>
      <c r="CB147" s="159">
        <f t="shared" si="129"/>
        <v>0</v>
      </c>
      <c r="CC147" s="159">
        <f t="shared" si="129"/>
        <v>0</v>
      </c>
      <c r="CD147" s="159">
        <f t="shared" si="129"/>
        <v>0</v>
      </c>
      <c r="CE147" s="159">
        <f t="shared" si="129"/>
        <v>0</v>
      </c>
      <c r="CF147" s="159">
        <f t="shared" si="129"/>
        <v>0</v>
      </c>
      <c r="CG147" s="159">
        <f t="shared" si="129"/>
        <v>0</v>
      </c>
      <c r="CH147" s="159">
        <f t="shared" si="129"/>
        <v>0</v>
      </c>
      <c r="CI147" s="159">
        <f t="shared" si="129"/>
        <v>0</v>
      </c>
      <c r="CJ147" s="159">
        <f t="shared" si="129"/>
        <v>0</v>
      </c>
      <c r="CK147" s="159">
        <f t="shared" si="129"/>
        <v>0</v>
      </c>
      <c r="CL147" s="159">
        <f t="shared" si="129"/>
        <v>0</v>
      </c>
      <c r="CM147" s="159">
        <f t="shared" si="129"/>
        <v>0</v>
      </c>
      <c r="CN147" s="159">
        <f t="shared" si="129"/>
        <v>0</v>
      </c>
      <c r="CO147" s="159">
        <f t="shared" si="129"/>
        <v>0</v>
      </c>
      <c r="CP147" s="159">
        <f t="shared" si="129"/>
        <v>0</v>
      </c>
      <c r="CQ147" s="159">
        <f t="shared" si="129"/>
        <v>0</v>
      </c>
      <c r="CR147" s="159">
        <f t="shared" si="129"/>
        <v>0</v>
      </c>
      <c r="CS147" s="159">
        <f t="shared" si="129"/>
        <v>0</v>
      </c>
      <c r="CT147" s="159">
        <f t="shared" si="129"/>
        <v>0</v>
      </c>
      <c r="CU147" s="159">
        <f t="shared" si="129"/>
        <v>0</v>
      </c>
      <c r="CV147" s="159">
        <f t="shared" si="129"/>
        <v>0</v>
      </c>
      <c r="CW147" s="159">
        <f t="shared" si="129"/>
        <v>0</v>
      </c>
      <c r="CX147" s="159">
        <f t="shared" si="129"/>
        <v>0</v>
      </c>
      <c r="CY147" s="159">
        <f t="shared" si="129"/>
        <v>0</v>
      </c>
      <c r="CZ147" s="159">
        <f t="shared" si="129"/>
        <v>0</v>
      </c>
      <c r="DA147" s="159">
        <f t="shared" si="129"/>
        <v>0</v>
      </c>
      <c r="DB147" s="159">
        <f t="shared" si="129"/>
        <v>0</v>
      </c>
      <c r="DC147" s="159">
        <f t="shared" si="129"/>
        <v>0</v>
      </c>
      <c r="DD147" s="159">
        <f t="shared" si="129"/>
        <v>0</v>
      </c>
      <c r="DE147" s="159">
        <f t="shared" si="129"/>
        <v>0</v>
      </c>
      <c r="DF147" s="159">
        <f t="shared" si="129"/>
        <v>0</v>
      </c>
      <c r="DG147" s="159">
        <f t="shared" si="129"/>
        <v>0</v>
      </c>
      <c r="DH147" s="159">
        <f t="shared" si="129"/>
        <v>0</v>
      </c>
      <c r="DI147" s="159">
        <f t="shared" si="129"/>
        <v>0</v>
      </c>
      <c r="DJ147" s="159">
        <f t="shared" si="129"/>
        <v>0</v>
      </c>
      <c r="DK147" s="159">
        <f t="shared" si="129"/>
        <v>0</v>
      </c>
      <c r="DL147" s="159">
        <f t="shared" si="129"/>
        <v>0</v>
      </c>
      <c r="DM147" s="159">
        <f t="shared" si="129"/>
        <v>0</v>
      </c>
      <c r="DN147" s="159">
        <f t="shared" si="129"/>
        <v>26000</v>
      </c>
      <c r="DO147" s="159">
        <f t="shared" si="129"/>
        <v>0</v>
      </c>
      <c r="DP147" s="159">
        <f t="shared" si="129"/>
        <v>0</v>
      </c>
      <c r="DQ147" s="159">
        <f t="shared" si="129"/>
        <v>0</v>
      </c>
      <c r="DR147" s="159">
        <f t="shared" si="129"/>
        <v>0</v>
      </c>
      <c r="DS147" s="159">
        <f t="shared" si="129"/>
        <v>0</v>
      </c>
      <c r="DT147" s="159">
        <f t="shared" si="129"/>
        <v>0</v>
      </c>
      <c r="DU147" s="159">
        <f t="shared" si="129"/>
        <v>0</v>
      </c>
      <c r="DV147" s="159">
        <f t="shared" si="129"/>
        <v>0</v>
      </c>
      <c r="DW147" s="159">
        <f t="shared" si="129"/>
        <v>0</v>
      </c>
      <c r="DX147" s="159">
        <f t="shared" si="129"/>
        <v>0</v>
      </c>
      <c r="DY147" s="159">
        <f t="shared" si="129"/>
        <v>0</v>
      </c>
    </row>
    <row r="148" spans="2:129">
      <c r="C148" s="43" t="s">
        <v>638</v>
      </c>
      <c r="J148" s="579">
        <f>J138*$E$147</f>
        <v>0</v>
      </c>
      <c r="K148" s="579">
        <f t="shared" ref="K148:BV148" si="130">K138*$E$147</f>
        <v>0</v>
      </c>
      <c r="L148" s="579">
        <f t="shared" si="130"/>
        <v>0</v>
      </c>
      <c r="M148" s="579">
        <f t="shared" si="130"/>
        <v>0</v>
      </c>
      <c r="N148" s="579">
        <f t="shared" si="130"/>
        <v>0</v>
      </c>
      <c r="O148" s="579">
        <f t="shared" si="130"/>
        <v>0</v>
      </c>
      <c r="P148" s="579">
        <f t="shared" si="130"/>
        <v>0</v>
      </c>
      <c r="Q148" s="579">
        <f t="shared" si="130"/>
        <v>0</v>
      </c>
      <c r="R148" s="579">
        <f t="shared" si="130"/>
        <v>0</v>
      </c>
      <c r="S148" s="579">
        <f t="shared" si="130"/>
        <v>0</v>
      </c>
      <c r="T148" s="579">
        <f t="shared" si="130"/>
        <v>0</v>
      </c>
      <c r="U148" s="579">
        <f t="shared" si="130"/>
        <v>0</v>
      </c>
      <c r="V148" s="579">
        <f t="shared" si="130"/>
        <v>0</v>
      </c>
      <c r="W148" s="579">
        <f t="shared" si="130"/>
        <v>0</v>
      </c>
      <c r="X148" s="579">
        <f t="shared" si="130"/>
        <v>0</v>
      </c>
      <c r="Y148" s="579">
        <f t="shared" si="130"/>
        <v>0</v>
      </c>
      <c r="Z148" s="579">
        <f t="shared" si="130"/>
        <v>0</v>
      </c>
      <c r="AA148" s="579">
        <f t="shared" si="130"/>
        <v>0</v>
      </c>
      <c r="AB148" s="579">
        <f t="shared" si="130"/>
        <v>0</v>
      </c>
      <c r="AC148" s="579">
        <f t="shared" si="130"/>
        <v>0</v>
      </c>
      <c r="AD148" s="579">
        <f t="shared" si="130"/>
        <v>0</v>
      </c>
      <c r="AE148" s="579">
        <f t="shared" si="130"/>
        <v>0</v>
      </c>
      <c r="AF148" s="579">
        <f t="shared" si="130"/>
        <v>0</v>
      </c>
      <c r="AG148" s="579">
        <f t="shared" si="130"/>
        <v>0</v>
      </c>
      <c r="AH148" s="579">
        <f t="shared" si="130"/>
        <v>0</v>
      </c>
      <c r="AI148" s="579">
        <f t="shared" si="130"/>
        <v>0</v>
      </c>
      <c r="AJ148" s="579">
        <f t="shared" si="130"/>
        <v>0</v>
      </c>
      <c r="AK148" s="579">
        <f t="shared" si="130"/>
        <v>0</v>
      </c>
      <c r="AL148" s="579">
        <f t="shared" si="130"/>
        <v>0</v>
      </c>
      <c r="AM148" s="579">
        <f t="shared" si="130"/>
        <v>0</v>
      </c>
      <c r="AN148" s="579">
        <f t="shared" si="130"/>
        <v>0</v>
      </c>
      <c r="AO148" s="579">
        <f t="shared" si="130"/>
        <v>0</v>
      </c>
      <c r="AP148" s="579">
        <f t="shared" si="130"/>
        <v>0</v>
      </c>
      <c r="AQ148" s="579">
        <f t="shared" si="130"/>
        <v>0</v>
      </c>
      <c r="AR148" s="579">
        <f t="shared" si="130"/>
        <v>0</v>
      </c>
      <c r="AS148" s="579">
        <f t="shared" si="130"/>
        <v>0</v>
      </c>
      <c r="AT148" s="579">
        <f t="shared" si="130"/>
        <v>0</v>
      </c>
      <c r="AU148" s="579">
        <f t="shared" si="130"/>
        <v>0</v>
      </c>
      <c r="AV148" s="579">
        <f t="shared" si="130"/>
        <v>0</v>
      </c>
      <c r="AW148" s="579">
        <f t="shared" si="130"/>
        <v>0</v>
      </c>
      <c r="AX148" s="579">
        <f t="shared" si="130"/>
        <v>0</v>
      </c>
      <c r="AY148" s="579">
        <f t="shared" si="130"/>
        <v>0</v>
      </c>
      <c r="AZ148" s="579">
        <f t="shared" si="130"/>
        <v>0</v>
      </c>
      <c r="BA148" s="579">
        <f t="shared" si="130"/>
        <v>0</v>
      </c>
      <c r="BB148" s="579">
        <f t="shared" si="130"/>
        <v>0</v>
      </c>
      <c r="BC148" s="579">
        <f t="shared" si="130"/>
        <v>0</v>
      </c>
      <c r="BD148" s="579">
        <f t="shared" si="130"/>
        <v>0</v>
      </c>
      <c r="BE148" s="579">
        <f t="shared" si="130"/>
        <v>0</v>
      </c>
      <c r="BF148" s="579">
        <f t="shared" si="130"/>
        <v>0</v>
      </c>
      <c r="BG148" s="579">
        <f t="shared" si="130"/>
        <v>0</v>
      </c>
      <c r="BH148" s="579">
        <f t="shared" si="130"/>
        <v>0</v>
      </c>
      <c r="BI148" s="579">
        <f t="shared" si="130"/>
        <v>0</v>
      </c>
      <c r="BJ148" s="579">
        <f t="shared" si="130"/>
        <v>0</v>
      </c>
      <c r="BK148" s="579">
        <f t="shared" si="130"/>
        <v>0</v>
      </c>
      <c r="BL148" s="579">
        <f t="shared" si="130"/>
        <v>0</v>
      </c>
      <c r="BM148" s="579">
        <f t="shared" si="130"/>
        <v>0</v>
      </c>
      <c r="BN148" s="579">
        <f t="shared" si="130"/>
        <v>0</v>
      </c>
      <c r="BO148" s="579">
        <f t="shared" si="130"/>
        <v>0</v>
      </c>
      <c r="BP148" s="579">
        <f t="shared" si="130"/>
        <v>0</v>
      </c>
      <c r="BQ148" s="579">
        <f t="shared" si="130"/>
        <v>0</v>
      </c>
      <c r="BR148" s="579">
        <f t="shared" si="130"/>
        <v>0</v>
      </c>
      <c r="BS148" s="579">
        <f t="shared" si="130"/>
        <v>0</v>
      </c>
      <c r="BT148" s="579">
        <f t="shared" si="130"/>
        <v>0</v>
      </c>
      <c r="BU148" s="579">
        <f t="shared" si="130"/>
        <v>0</v>
      </c>
      <c r="BV148" s="579">
        <f t="shared" si="130"/>
        <v>0</v>
      </c>
      <c r="BW148" s="579">
        <f t="shared" ref="BW148:DY148" si="131">BW138*$E$147</f>
        <v>0</v>
      </c>
      <c r="BX148" s="579">
        <f t="shared" si="131"/>
        <v>0</v>
      </c>
      <c r="BY148" s="579">
        <f t="shared" si="131"/>
        <v>0</v>
      </c>
      <c r="BZ148" s="579">
        <f t="shared" si="131"/>
        <v>0</v>
      </c>
      <c r="CA148" s="579">
        <f t="shared" si="131"/>
        <v>0</v>
      </c>
      <c r="CB148" s="579">
        <f t="shared" si="131"/>
        <v>0</v>
      </c>
      <c r="CC148" s="579">
        <f t="shared" si="131"/>
        <v>0</v>
      </c>
      <c r="CD148" s="579">
        <f t="shared" si="131"/>
        <v>0</v>
      </c>
      <c r="CE148" s="579">
        <f t="shared" si="131"/>
        <v>0</v>
      </c>
      <c r="CF148" s="579">
        <f t="shared" si="131"/>
        <v>0</v>
      </c>
      <c r="CG148" s="579">
        <f t="shared" si="131"/>
        <v>0</v>
      </c>
      <c r="CH148" s="579">
        <f t="shared" si="131"/>
        <v>0</v>
      </c>
      <c r="CI148" s="579">
        <f t="shared" si="131"/>
        <v>0</v>
      </c>
      <c r="CJ148" s="579">
        <f t="shared" si="131"/>
        <v>0</v>
      </c>
      <c r="CK148" s="579">
        <f t="shared" si="131"/>
        <v>0</v>
      </c>
      <c r="CL148" s="579">
        <f t="shared" si="131"/>
        <v>0</v>
      </c>
      <c r="CM148" s="579">
        <f t="shared" si="131"/>
        <v>0</v>
      </c>
      <c r="CN148" s="579">
        <f t="shared" si="131"/>
        <v>0</v>
      </c>
      <c r="CO148" s="579">
        <f t="shared" si="131"/>
        <v>0</v>
      </c>
      <c r="CP148" s="579">
        <f t="shared" si="131"/>
        <v>0</v>
      </c>
      <c r="CQ148" s="579">
        <f t="shared" si="131"/>
        <v>0</v>
      </c>
      <c r="CR148" s="579">
        <f t="shared" si="131"/>
        <v>0</v>
      </c>
      <c r="CS148" s="579">
        <f t="shared" si="131"/>
        <v>0</v>
      </c>
      <c r="CT148" s="579">
        <f t="shared" si="131"/>
        <v>0</v>
      </c>
      <c r="CU148" s="579">
        <f t="shared" si="131"/>
        <v>0</v>
      </c>
      <c r="CV148" s="579">
        <f t="shared" si="131"/>
        <v>0</v>
      </c>
      <c r="CW148" s="579">
        <f t="shared" si="131"/>
        <v>0</v>
      </c>
      <c r="CX148" s="579">
        <f t="shared" si="131"/>
        <v>0</v>
      </c>
      <c r="CY148" s="579">
        <f t="shared" si="131"/>
        <v>0</v>
      </c>
      <c r="CZ148" s="579">
        <f t="shared" si="131"/>
        <v>0</v>
      </c>
      <c r="DA148" s="579">
        <f t="shared" si="131"/>
        <v>0</v>
      </c>
      <c r="DB148" s="579">
        <f t="shared" si="131"/>
        <v>0</v>
      </c>
      <c r="DC148" s="579">
        <f t="shared" si="131"/>
        <v>0</v>
      </c>
      <c r="DD148" s="579">
        <f t="shared" si="131"/>
        <v>0</v>
      </c>
      <c r="DE148" s="579">
        <f t="shared" si="131"/>
        <v>0</v>
      </c>
      <c r="DF148" s="579">
        <f t="shared" si="131"/>
        <v>0</v>
      </c>
      <c r="DG148" s="579">
        <f t="shared" si="131"/>
        <v>0</v>
      </c>
      <c r="DH148" s="579">
        <f t="shared" si="131"/>
        <v>0</v>
      </c>
      <c r="DI148" s="579">
        <f t="shared" si="131"/>
        <v>0</v>
      </c>
      <c r="DJ148" s="579">
        <f t="shared" si="131"/>
        <v>0</v>
      </c>
      <c r="DK148" s="579">
        <f t="shared" si="131"/>
        <v>0</v>
      </c>
      <c r="DL148" s="579">
        <f t="shared" si="131"/>
        <v>0</v>
      </c>
      <c r="DM148" s="579">
        <f t="shared" si="131"/>
        <v>0</v>
      </c>
      <c r="DN148" s="579">
        <f t="shared" si="131"/>
        <v>260000</v>
      </c>
      <c r="DO148" s="579">
        <f t="shared" si="131"/>
        <v>0</v>
      </c>
      <c r="DP148" s="579">
        <f t="shared" si="131"/>
        <v>0</v>
      </c>
      <c r="DQ148" s="579">
        <f t="shared" si="131"/>
        <v>0</v>
      </c>
      <c r="DR148" s="579">
        <f t="shared" si="131"/>
        <v>0</v>
      </c>
      <c r="DS148" s="579">
        <f t="shared" si="131"/>
        <v>0</v>
      </c>
      <c r="DT148" s="579">
        <f t="shared" si="131"/>
        <v>0</v>
      </c>
      <c r="DU148" s="579">
        <f t="shared" si="131"/>
        <v>0</v>
      </c>
      <c r="DV148" s="579">
        <f t="shared" si="131"/>
        <v>0</v>
      </c>
      <c r="DW148" s="579">
        <f t="shared" si="131"/>
        <v>0</v>
      </c>
      <c r="DX148" s="579">
        <f t="shared" si="131"/>
        <v>0</v>
      </c>
      <c r="DY148" s="579">
        <f t="shared" si="131"/>
        <v>0</v>
      </c>
    </row>
    <row r="149" spans="2:129">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row>
    <row r="150" spans="2:129">
      <c r="B150" s="44" t="s">
        <v>328</v>
      </c>
      <c r="C150" s="43" t="s">
        <v>44</v>
      </c>
      <c r="D150" s="43"/>
      <c r="E150" s="481">
        <f>+'Model Assumptions'!N133</f>
        <v>0</v>
      </c>
      <c r="F150" s="125"/>
      <c r="G150" s="125"/>
      <c r="H150" s="125"/>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row>
    <row r="151" spans="2:129">
      <c r="B151" s="44"/>
      <c r="C151" s="43" t="s">
        <v>525</v>
      </c>
      <c r="D151" s="43"/>
      <c r="E151" s="482">
        <f>+'Model Assumptions'!N137</f>
        <v>0</v>
      </c>
      <c r="F151" s="125"/>
      <c r="G151" s="125"/>
      <c r="H151" s="125"/>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row>
    <row r="152" spans="2:129">
      <c r="B152" s="44"/>
      <c r="C152" s="43" t="s">
        <v>386</v>
      </c>
      <c r="D152" s="43"/>
      <c r="E152" s="482">
        <f>+'Model Assumptions'!N134</f>
        <v>0</v>
      </c>
      <c r="F152" s="126"/>
      <c r="G152" s="126"/>
      <c r="H152" s="126"/>
      <c r="I152" s="43"/>
      <c r="J152" s="46">
        <f t="shared" ref="J152:AO152" si="132">+IF(J$1=$E$150,$E$152,0)</f>
        <v>0</v>
      </c>
      <c r="K152" s="46">
        <f t="shared" si="132"/>
        <v>0</v>
      </c>
      <c r="L152" s="46">
        <f t="shared" si="132"/>
        <v>0</v>
      </c>
      <c r="M152" s="46">
        <f t="shared" si="132"/>
        <v>0</v>
      </c>
      <c r="N152" s="46">
        <f t="shared" si="132"/>
        <v>0</v>
      </c>
      <c r="O152" s="46">
        <f t="shared" si="132"/>
        <v>0</v>
      </c>
      <c r="P152" s="46">
        <f t="shared" si="132"/>
        <v>0</v>
      </c>
      <c r="Q152" s="46">
        <f t="shared" si="132"/>
        <v>0</v>
      </c>
      <c r="R152" s="46">
        <f t="shared" si="132"/>
        <v>0</v>
      </c>
      <c r="S152" s="46">
        <f t="shared" si="132"/>
        <v>0</v>
      </c>
      <c r="T152" s="46">
        <f t="shared" si="132"/>
        <v>0</v>
      </c>
      <c r="U152" s="46">
        <f t="shared" si="132"/>
        <v>0</v>
      </c>
      <c r="V152" s="46">
        <f t="shared" si="132"/>
        <v>0</v>
      </c>
      <c r="W152" s="46">
        <f t="shared" si="132"/>
        <v>0</v>
      </c>
      <c r="X152" s="46">
        <f t="shared" si="132"/>
        <v>0</v>
      </c>
      <c r="Y152" s="46">
        <f t="shared" si="132"/>
        <v>0</v>
      </c>
      <c r="Z152" s="46">
        <f t="shared" si="132"/>
        <v>0</v>
      </c>
      <c r="AA152" s="46">
        <f t="shared" si="132"/>
        <v>0</v>
      </c>
      <c r="AB152" s="46">
        <f t="shared" si="132"/>
        <v>0</v>
      </c>
      <c r="AC152" s="46">
        <f t="shared" si="132"/>
        <v>0</v>
      </c>
      <c r="AD152" s="46">
        <f t="shared" si="132"/>
        <v>0</v>
      </c>
      <c r="AE152" s="46">
        <f t="shared" si="132"/>
        <v>0</v>
      </c>
      <c r="AF152" s="46">
        <f t="shared" si="132"/>
        <v>0</v>
      </c>
      <c r="AG152" s="46">
        <f t="shared" si="132"/>
        <v>0</v>
      </c>
      <c r="AH152" s="46">
        <f t="shared" si="132"/>
        <v>0</v>
      </c>
      <c r="AI152" s="46">
        <f t="shared" si="132"/>
        <v>0</v>
      </c>
      <c r="AJ152" s="46">
        <f t="shared" si="132"/>
        <v>0</v>
      </c>
      <c r="AK152" s="46">
        <f t="shared" si="132"/>
        <v>0</v>
      </c>
      <c r="AL152" s="46">
        <f t="shared" si="132"/>
        <v>0</v>
      </c>
      <c r="AM152" s="46">
        <f t="shared" si="132"/>
        <v>0</v>
      </c>
      <c r="AN152" s="46">
        <f t="shared" si="132"/>
        <v>0</v>
      </c>
      <c r="AO152" s="46">
        <f t="shared" si="132"/>
        <v>0</v>
      </c>
      <c r="AP152" s="46">
        <f t="shared" ref="AP152:BU152" si="133">+IF(AP$1=$E$150,$E$152,0)</f>
        <v>0</v>
      </c>
      <c r="AQ152" s="46">
        <f t="shared" si="133"/>
        <v>0</v>
      </c>
      <c r="AR152" s="46">
        <f t="shared" si="133"/>
        <v>0</v>
      </c>
      <c r="AS152" s="46">
        <f t="shared" si="133"/>
        <v>0</v>
      </c>
      <c r="AT152" s="46">
        <f t="shared" si="133"/>
        <v>0</v>
      </c>
      <c r="AU152" s="46">
        <f t="shared" si="133"/>
        <v>0</v>
      </c>
      <c r="AV152" s="46">
        <f t="shared" si="133"/>
        <v>0</v>
      </c>
      <c r="AW152" s="46">
        <f t="shared" si="133"/>
        <v>0</v>
      </c>
      <c r="AX152" s="46">
        <f t="shared" si="133"/>
        <v>0</v>
      </c>
      <c r="AY152" s="46">
        <f t="shared" si="133"/>
        <v>0</v>
      </c>
      <c r="AZ152" s="46">
        <f t="shared" si="133"/>
        <v>0</v>
      </c>
      <c r="BA152" s="46">
        <f t="shared" si="133"/>
        <v>0</v>
      </c>
      <c r="BB152" s="46">
        <f t="shared" si="133"/>
        <v>0</v>
      </c>
      <c r="BC152" s="46">
        <f t="shared" si="133"/>
        <v>0</v>
      </c>
      <c r="BD152" s="46">
        <f t="shared" si="133"/>
        <v>0</v>
      </c>
      <c r="BE152" s="46">
        <f t="shared" si="133"/>
        <v>0</v>
      </c>
      <c r="BF152" s="46">
        <f t="shared" si="133"/>
        <v>0</v>
      </c>
      <c r="BG152" s="46">
        <f t="shared" si="133"/>
        <v>0</v>
      </c>
      <c r="BH152" s="46">
        <f t="shared" si="133"/>
        <v>0</v>
      </c>
      <c r="BI152" s="46">
        <f t="shared" si="133"/>
        <v>0</v>
      </c>
      <c r="BJ152" s="46">
        <f t="shared" si="133"/>
        <v>0</v>
      </c>
      <c r="BK152" s="46">
        <f t="shared" si="133"/>
        <v>0</v>
      </c>
      <c r="BL152" s="46">
        <f t="shared" si="133"/>
        <v>0</v>
      </c>
      <c r="BM152" s="46">
        <f t="shared" si="133"/>
        <v>0</v>
      </c>
      <c r="BN152" s="46">
        <f t="shared" si="133"/>
        <v>0</v>
      </c>
      <c r="BO152" s="46">
        <f t="shared" si="133"/>
        <v>0</v>
      </c>
      <c r="BP152" s="46">
        <f t="shared" si="133"/>
        <v>0</v>
      </c>
      <c r="BQ152" s="46">
        <f t="shared" si="133"/>
        <v>0</v>
      </c>
      <c r="BR152" s="46">
        <f t="shared" si="133"/>
        <v>0</v>
      </c>
      <c r="BS152" s="46">
        <f t="shared" si="133"/>
        <v>0</v>
      </c>
      <c r="BT152" s="46">
        <f t="shared" si="133"/>
        <v>0</v>
      </c>
      <c r="BU152" s="46">
        <f t="shared" si="133"/>
        <v>0</v>
      </c>
      <c r="BV152" s="46">
        <f t="shared" ref="BV152:DY152" si="134">+IF(BV$1=$E$150,$E$152,0)</f>
        <v>0</v>
      </c>
      <c r="BW152" s="46">
        <f t="shared" si="134"/>
        <v>0</v>
      </c>
      <c r="BX152" s="46">
        <f t="shared" si="134"/>
        <v>0</v>
      </c>
      <c r="BY152" s="46">
        <f t="shared" si="134"/>
        <v>0</v>
      </c>
      <c r="BZ152" s="46">
        <f t="shared" si="134"/>
        <v>0</v>
      </c>
      <c r="CA152" s="46">
        <f t="shared" si="134"/>
        <v>0</v>
      </c>
      <c r="CB152" s="46">
        <f t="shared" si="134"/>
        <v>0</v>
      </c>
      <c r="CC152" s="46">
        <f t="shared" si="134"/>
        <v>0</v>
      </c>
      <c r="CD152" s="46">
        <f t="shared" si="134"/>
        <v>0</v>
      </c>
      <c r="CE152" s="46">
        <f t="shared" si="134"/>
        <v>0</v>
      </c>
      <c r="CF152" s="46">
        <f t="shared" si="134"/>
        <v>0</v>
      </c>
      <c r="CG152" s="46">
        <f t="shared" si="134"/>
        <v>0</v>
      </c>
      <c r="CH152" s="46">
        <f t="shared" si="134"/>
        <v>0</v>
      </c>
      <c r="CI152" s="46">
        <f t="shared" si="134"/>
        <v>0</v>
      </c>
      <c r="CJ152" s="46">
        <f t="shared" si="134"/>
        <v>0</v>
      </c>
      <c r="CK152" s="46">
        <f t="shared" si="134"/>
        <v>0</v>
      </c>
      <c r="CL152" s="46">
        <f t="shared" si="134"/>
        <v>0</v>
      </c>
      <c r="CM152" s="46">
        <f t="shared" si="134"/>
        <v>0</v>
      </c>
      <c r="CN152" s="46">
        <f t="shared" si="134"/>
        <v>0</v>
      </c>
      <c r="CO152" s="46">
        <f t="shared" si="134"/>
        <v>0</v>
      </c>
      <c r="CP152" s="46">
        <f t="shared" si="134"/>
        <v>0</v>
      </c>
      <c r="CQ152" s="46">
        <f t="shared" si="134"/>
        <v>0</v>
      </c>
      <c r="CR152" s="46">
        <f t="shared" si="134"/>
        <v>0</v>
      </c>
      <c r="CS152" s="46">
        <f t="shared" si="134"/>
        <v>0</v>
      </c>
      <c r="CT152" s="46">
        <f t="shared" si="134"/>
        <v>0</v>
      </c>
      <c r="CU152" s="46">
        <f t="shared" si="134"/>
        <v>0</v>
      </c>
      <c r="CV152" s="46">
        <f t="shared" si="134"/>
        <v>0</v>
      </c>
      <c r="CW152" s="46">
        <f t="shared" si="134"/>
        <v>0</v>
      </c>
      <c r="CX152" s="46">
        <f t="shared" si="134"/>
        <v>0</v>
      </c>
      <c r="CY152" s="46">
        <f t="shared" si="134"/>
        <v>0</v>
      </c>
      <c r="CZ152" s="46">
        <f t="shared" si="134"/>
        <v>0</v>
      </c>
      <c r="DA152" s="46">
        <f t="shared" si="134"/>
        <v>0</v>
      </c>
      <c r="DB152" s="46">
        <f t="shared" si="134"/>
        <v>0</v>
      </c>
      <c r="DC152" s="46">
        <f t="shared" si="134"/>
        <v>0</v>
      </c>
      <c r="DD152" s="46">
        <f t="shared" si="134"/>
        <v>0</v>
      </c>
      <c r="DE152" s="46">
        <f t="shared" si="134"/>
        <v>0</v>
      </c>
      <c r="DF152" s="46">
        <f t="shared" si="134"/>
        <v>0</v>
      </c>
      <c r="DG152" s="46">
        <f t="shared" si="134"/>
        <v>0</v>
      </c>
      <c r="DH152" s="46">
        <f t="shared" si="134"/>
        <v>0</v>
      </c>
      <c r="DI152" s="46">
        <f t="shared" si="134"/>
        <v>0</v>
      </c>
      <c r="DJ152" s="46">
        <f t="shared" si="134"/>
        <v>0</v>
      </c>
      <c r="DK152" s="46">
        <f t="shared" si="134"/>
        <v>0</v>
      </c>
      <c r="DL152" s="46">
        <f t="shared" si="134"/>
        <v>0</v>
      </c>
      <c r="DM152" s="46">
        <f t="shared" si="134"/>
        <v>0</v>
      </c>
      <c r="DN152" s="46">
        <f t="shared" si="134"/>
        <v>0</v>
      </c>
      <c r="DO152" s="46">
        <f t="shared" si="134"/>
        <v>0</v>
      </c>
      <c r="DP152" s="46">
        <f t="shared" si="134"/>
        <v>0</v>
      </c>
      <c r="DQ152" s="46">
        <f t="shared" si="134"/>
        <v>0</v>
      </c>
      <c r="DR152" s="46">
        <f t="shared" si="134"/>
        <v>0</v>
      </c>
      <c r="DS152" s="46">
        <f t="shared" si="134"/>
        <v>0</v>
      </c>
      <c r="DT152" s="46">
        <f t="shared" si="134"/>
        <v>0</v>
      </c>
      <c r="DU152" s="46">
        <f t="shared" si="134"/>
        <v>0</v>
      </c>
      <c r="DV152" s="46">
        <f t="shared" si="134"/>
        <v>0</v>
      </c>
      <c r="DW152" s="46">
        <f t="shared" si="134"/>
        <v>0</v>
      </c>
      <c r="DX152" s="46">
        <f t="shared" si="134"/>
        <v>0</v>
      </c>
      <c r="DY152" s="46">
        <f t="shared" si="134"/>
        <v>0</v>
      </c>
    </row>
    <row r="153" spans="2:129">
      <c r="B153" s="44"/>
      <c r="C153" s="43" t="s">
        <v>387</v>
      </c>
      <c r="D153" s="43"/>
      <c r="E153" s="482" t="str">
        <f>+'Model Assumptions'!N136</f>
        <v/>
      </c>
      <c r="F153" s="126"/>
      <c r="G153" s="126"/>
      <c r="H153" s="126"/>
      <c r="I153" s="43"/>
      <c r="J153" s="490">
        <f>J152*Flags!J$30</f>
        <v>0</v>
      </c>
      <c r="K153" s="490">
        <f>K152*Flags!K$30</f>
        <v>0</v>
      </c>
      <c r="L153" s="490">
        <f>L152*Flags!L$30</f>
        <v>0</v>
      </c>
      <c r="M153" s="490">
        <f>M152*Flags!M$30</f>
        <v>0</v>
      </c>
      <c r="N153" s="490">
        <f>N152*Flags!N$30</f>
        <v>0</v>
      </c>
      <c r="O153" s="490">
        <f>O152*Flags!O$30</f>
        <v>0</v>
      </c>
      <c r="P153" s="490">
        <f>P152*Flags!P$30</f>
        <v>0</v>
      </c>
      <c r="Q153" s="490">
        <f>Q152*Flags!Q$30</f>
        <v>0</v>
      </c>
      <c r="R153" s="490">
        <f>R152*Flags!R$30</f>
        <v>0</v>
      </c>
      <c r="S153" s="490">
        <f>S152*Flags!S$30</f>
        <v>0</v>
      </c>
      <c r="T153" s="490">
        <f>T152*Flags!T$30</f>
        <v>0</v>
      </c>
      <c r="U153" s="490">
        <f>U152*Flags!U$30</f>
        <v>0</v>
      </c>
      <c r="V153" s="490">
        <f>V152*Flags!V$30</f>
        <v>0</v>
      </c>
      <c r="W153" s="490">
        <f>W152*Flags!W$30</f>
        <v>0</v>
      </c>
      <c r="X153" s="490">
        <f>X152*Flags!X$30</f>
        <v>0</v>
      </c>
      <c r="Y153" s="490">
        <f>Y152*Flags!Y$30</f>
        <v>0</v>
      </c>
      <c r="Z153" s="490">
        <f>Z152*Flags!Z$30</f>
        <v>0</v>
      </c>
      <c r="AA153" s="490">
        <f>AA152*Flags!AA$30</f>
        <v>0</v>
      </c>
      <c r="AB153" s="490">
        <f>AB152*Flags!AB$30</f>
        <v>0</v>
      </c>
      <c r="AC153" s="490">
        <f>AC152*Flags!AC$30</f>
        <v>0</v>
      </c>
      <c r="AD153" s="490">
        <f>AD152*Flags!AD$30</f>
        <v>0</v>
      </c>
      <c r="AE153" s="490">
        <f>AE152*Flags!AE$30</f>
        <v>0</v>
      </c>
      <c r="AF153" s="490">
        <f>AF152*Flags!AF$30</f>
        <v>0</v>
      </c>
      <c r="AG153" s="490">
        <f>AG152*Flags!AG$30</f>
        <v>0</v>
      </c>
      <c r="AH153" s="490">
        <f>AH152*Flags!AH$30</f>
        <v>0</v>
      </c>
      <c r="AI153" s="490">
        <f>AI152*Flags!AI$30</f>
        <v>0</v>
      </c>
      <c r="AJ153" s="490">
        <f>AJ152*Flags!AJ$30</f>
        <v>0</v>
      </c>
      <c r="AK153" s="490">
        <f>AK152*Flags!AK$30</f>
        <v>0</v>
      </c>
      <c r="AL153" s="490">
        <f>AL152*Flags!AL$30</f>
        <v>0</v>
      </c>
      <c r="AM153" s="490">
        <f>AM152*Flags!AM$30</f>
        <v>0</v>
      </c>
      <c r="AN153" s="490">
        <f>AN152*Flags!AN$30</f>
        <v>0</v>
      </c>
      <c r="AO153" s="490">
        <f>AO152*Flags!AO$30</f>
        <v>0</v>
      </c>
      <c r="AP153" s="490">
        <f>AP152*Flags!AP$30</f>
        <v>0</v>
      </c>
      <c r="AQ153" s="490">
        <f>AQ152*Flags!AQ$30</f>
        <v>0</v>
      </c>
      <c r="AR153" s="490">
        <f>AR152*Flags!AR$30</f>
        <v>0</v>
      </c>
      <c r="AS153" s="490">
        <f>AS152*Flags!AS$30</f>
        <v>0</v>
      </c>
      <c r="AT153" s="490">
        <f>AT152*Flags!AT$30</f>
        <v>0</v>
      </c>
      <c r="AU153" s="490">
        <f>AU152*Flags!AU$30</f>
        <v>0</v>
      </c>
      <c r="AV153" s="490">
        <f>AV152*Flags!AV$30</f>
        <v>0</v>
      </c>
      <c r="AW153" s="490">
        <f>AW152*Flags!AW$30</f>
        <v>0</v>
      </c>
      <c r="AX153" s="490">
        <f>AX152*Flags!AX$30</f>
        <v>0</v>
      </c>
      <c r="AY153" s="490">
        <f>AY152*Flags!AY$30</f>
        <v>0</v>
      </c>
      <c r="AZ153" s="490">
        <f>AZ152*Flags!AZ$30</f>
        <v>0</v>
      </c>
      <c r="BA153" s="490">
        <f>BA152*Flags!BA$30</f>
        <v>0</v>
      </c>
      <c r="BB153" s="490">
        <f>BB152*Flags!BB$30</f>
        <v>0</v>
      </c>
      <c r="BC153" s="490">
        <f>BC152*Flags!BC$30</f>
        <v>0</v>
      </c>
      <c r="BD153" s="490">
        <f>BD152*Flags!BD$30</f>
        <v>0</v>
      </c>
      <c r="BE153" s="490">
        <f>BE152*Flags!BE$30</f>
        <v>0</v>
      </c>
      <c r="BF153" s="490">
        <f>BF152*Flags!BF$30</f>
        <v>0</v>
      </c>
      <c r="BG153" s="490">
        <f>BG152*Flags!BG$30</f>
        <v>0</v>
      </c>
      <c r="BH153" s="490">
        <f>BH152*Flags!BH$30</f>
        <v>0</v>
      </c>
      <c r="BI153" s="490">
        <f>BI152*Flags!BI$30</f>
        <v>0</v>
      </c>
      <c r="BJ153" s="490">
        <f>BJ152*Flags!BJ$30</f>
        <v>0</v>
      </c>
      <c r="BK153" s="490">
        <f>BK152*Flags!BK$30</f>
        <v>0</v>
      </c>
      <c r="BL153" s="490">
        <f>BL152*Flags!BL$30</f>
        <v>0</v>
      </c>
      <c r="BM153" s="490">
        <f>BM152*Flags!BM$30</f>
        <v>0</v>
      </c>
      <c r="BN153" s="490">
        <f>BN152*Flags!BN$30</f>
        <v>0</v>
      </c>
      <c r="BO153" s="490">
        <f>BO152*Flags!BO$30</f>
        <v>0</v>
      </c>
      <c r="BP153" s="490">
        <f>BP152*Flags!BP$30</f>
        <v>0</v>
      </c>
      <c r="BQ153" s="490">
        <f>BQ152*Flags!BQ$30</f>
        <v>0</v>
      </c>
      <c r="BR153" s="490">
        <f>BR152*Flags!BR$30</f>
        <v>0</v>
      </c>
      <c r="BS153" s="490">
        <f>BS152*Flags!BS$30</f>
        <v>0</v>
      </c>
      <c r="BT153" s="490">
        <f>BT152*Flags!BT$30</f>
        <v>0</v>
      </c>
      <c r="BU153" s="490">
        <f>BU152*Flags!BU$30</f>
        <v>0</v>
      </c>
      <c r="BV153" s="490">
        <f>BV152*Flags!BV$30</f>
        <v>0</v>
      </c>
      <c r="BW153" s="490">
        <f>BW152*Flags!BW$30</f>
        <v>0</v>
      </c>
      <c r="BX153" s="490">
        <f>BX152*Flags!BX$30</f>
        <v>0</v>
      </c>
      <c r="BY153" s="490">
        <f>BY152*Flags!BY$30</f>
        <v>0</v>
      </c>
      <c r="BZ153" s="490">
        <f>BZ152*Flags!BZ$30</f>
        <v>0</v>
      </c>
      <c r="CA153" s="490">
        <f>CA152*Flags!CA$30</f>
        <v>0</v>
      </c>
      <c r="CB153" s="490">
        <f>CB152*Flags!CB$30</f>
        <v>0</v>
      </c>
      <c r="CC153" s="490">
        <f>CC152*Flags!CC$30</f>
        <v>0</v>
      </c>
      <c r="CD153" s="490">
        <f>CD152*Flags!CD$30</f>
        <v>0</v>
      </c>
      <c r="CE153" s="490">
        <f>CE152*Flags!CE$30</f>
        <v>0</v>
      </c>
      <c r="CF153" s="490">
        <f>CF152*Flags!CF$30</f>
        <v>0</v>
      </c>
      <c r="CG153" s="490">
        <f>CG152*Flags!CG$30</f>
        <v>0</v>
      </c>
      <c r="CH153" s="490">
        <f>CH152*Flags!CH$30</f>
        <v>0</v>
      </c>
      <c r="CI153" s="490">
        <f>CI152*Flags!CI$30</f>
        <v>0</v>
      </c>
      <c r="CJ153" s="490">
        <f>CJ152*Flags!CJ$30</f>
        <v>0</v>
      </c>
      <c r="CK153" s="490">
        <f>CK152*Flags!CK$30</f>
        <v>0</v>
      </c>
      <c r="CL153" s="490">
        <f>CL152*Flags!CL$30</f>
        <v>0</v>
      </c>
      <c r="CM153" s="490">
        <f>CM152*Flags!CM$30</f>
        <v>0</v>
      </c>
      <c r="CN153" s="490">
        <f>CN152*Flags!CN$30</f>
        <v>0</v>
      </c>
      <c r="CO153" s="490">
        <f>CO152*Flags!CO$30</f>
        <v>0</v>
      </c>
      <c r="CP153" s="490">
        <f>CP152*Flags!CP$30</f>
        <v>0</v>
      </c>
      <c r="CQ153" s="490">
        <f>CQ152*Flags!CQ$30</f>
        <v>0</v>
      </c>
      <c r="CR153" s="490">
        <f>CR152*Flags!CR$30</f>
        <v>0</v>
      </c>
      <c r="CS153" s="490">
        <f>CS152*Flags!CS$30</f>
        <v>0</v>
      </c>
      <c r="CT153" s="490">
        <f>CT152*Flags!CT$30</f>
        <v>0</v>
      </c>
      <c r="CU153" s="490">
        <f>CU152*Flags!CU$30</f>
        <v>0</v>
      </c>
      <c r="CV153" s="490">
        <f>CV152*Flags!CV$30</f>
        <v>0</v>
      </c>
      <c r="CW153" s="490">
        <f>CW152*Flags!CW$30</f>
        <v>0</v>
      </c>
      <c r="CX153" s="490">
        <f>CX152*Flags!CX$30</f>
        <v>0</v>
      </c>
      <c r="CY153" s="490">
        <f>CY152*Flags!CY$30</f>
        <v>0</v>
      </c>
      <c r="CZ153" s="490">
        <f>CZ152*Flags!CZ$30</f>
        <v>0</v>
      </c>
      <c r="DA153" s="490">
        <f>DA152*Flags!DA$30</f>
        <v>0</v>
      </c>
      <c r="DB153" s="490">
        <f>DB152*Flags!DB$30</f>
        <v>0</v>
      </c>
      <c r="DC153" s="490">
        <f>DC152*Flags!DC$30</f>
        <v>0</v>
      </c>
      <c r="DD153" s="490">
        <f>DD152*Flags!DD$30</f>
        <v>0</v>
      </c>
      <c r="DE153" s="490">
        <f>DE152*Flags!DE$30</f>
        <v>0</v>
      </c>
      <c r="DF153" s="490">
        <f>DF152*Flags!DF$30</f>
        <v>0</v>
      </c>
      <c r="DG153" s="490">
        <f>DG152*Flags!DG$30</f>
        <v>0</v>
      </c>
      <c r="DH153" s="490">
        <f>DH152*Flags!DH$30</f>
        <v>0</v>
      </c>
      <c r="DI153" s="490">
        <f>DI152*Flags!DI$30</f>
        <v>0</v>
      </c>
      <c r="DJ153" s="490">
        <f>DJ152*Flags!DJ$30</f>
        <v>0</v>
      </c>
      <c r="DK153" s="490">
        <f>DK152*Flags!DK$30</f>
        <v>0</v>
      </c>
      <c r="DL153" s="490">
        <f>DL152*Flags!DL$30</f>
        <v>0</v>
      </c>
      <c r="DM153" s="490">
        <f>DM152*Flags!DM$30</f>
        <v>0</v>
      </c>
      <c r="DN153" s="490">
        <f>DN152*Flags!DN$30</f>
        <v>0</v>
      </c>
      <c r="DO153" s="490">
        <f>DO152*Flags!DO$30</f>
        <v>0</v>
      </c>
      <c r="DP153" s="490">
        <f>DP152*Flags!DP$30</f>
        <v>0</v>
      </c>
      <c r="DQ153" s="490">
        <f>DQ152*Flags!DQ$30</f>
        <v>0</v>
      </c>
      <c r="DR153" s="490">
        <f>DR152*Flags!DR$30</f>
        <v>0</v>
      </c>
      <c r="DS153" s="490">
        <f>DS152*Flags!DS$30</f>
        <v>0</v>
      </c>
      <c r="DT153" s="490">
        <f>DT152*Flags!DT$30</f>
        <v>0</v>
      </c>
      <c r="DU153" s="490">
        <f>DU152*Flags!DU$30</f>
        <v>0</v>
      </c>
      <c r="DV153" s="490">
        <f>DV152*Flags!DV$30</f>
        <v>0</v>
      </c>
      <c r="DW153" s="490">
        <f>DW152*Flags!DW$30</f>
        <v>0</v>
      </c>
      <c r="DX153" s="490">
        <f>DX152*Flags!DX$30</f>
        <v>0</v>
      </c>
      <c r="DY153" s="490">
        <f>DY152*Flags!DY$30</f>
        <v>0</v>
      </c>
    </row>
    <row r="154" spans="2:129">
      <c r="B154" s="44"/>
      <c r="C154" s="43" t="s">
        <v>640</v>
      </c>
      <c r="D154" s="43"/>
      <c r="E154"/>
      <c r="F154" s="126"/>
      <c r="G154" s="126"/>
      <c r="H154" s="126"/>
      <c r="I154" s="43"/>
      <c r="J154" s="490">
        <f>IF(J153=0,IF($E151="USD",I154*(1+Flags!$D$31)^(1/12)-J158,I154-J158),J153-J158)</f>
        <v>0</v>
      </c>
      <c r="K154" s="490">
        <f>IF(K153=0,IF($E151="USD",J154*(1+Flags!$D$31)^(1/12)-K158,J154-K158),K153-K158)</f>
        <v>0</v>
      </c>
      <c r="L154" s="490">
        <f>IF(L153=0,IF($E151="USD",K154*(1+Flags!$D$31)^(1/12)-L158,K154-L158),L153-L158)</f>
        <v>0</v>
      </c>
      <c r="M154" s="490">
        <f>IF(M153=0,IF($E151="USD",L154*(1+Flags!$D$31)^(1/12)-M158,L154-M158),M153-M158)</f>
        <v>0</v>
      </c>
      <c r="N154" s="490">
        <f>IF(N153=0,IF($E151="USD",M154*(1+Flags!$D$31)^(1/12)-N158,M154-N158),N153-N158)</f>
        <v>0</v>
      </c>
      <c r="O154" s="490">
        <f>IF(O153=0,IF($E151="USD",N154*(1+Flags!$D$31)^(1/12)-O158,N154-O158),O153-O158)</f>
        <v>0</v>
      </c>
      <c r="P154" s="490">
        <f>IF(P153=0,IF($E151="USD",O154*(1+Flags!$D$31)^(1/12)-P158,O154-P158),P153-P158)</f>
        <v>0</v>
      </c>
      <c r="Q154" s="490">
        <f>IF(Q153=0,IF($E151="USD",P154*(1+Flags!$D$31)^(1/12)-Q158,P154-Q158),Q153-Q158)</f>
        <v>0</v>
      </c>
      <c r="R154" s="490">
        <f>IF(R153=0,IF($E151="USD",Q154*(1+Flags!$D$31)^(1/12)-R158,Q154-R158),R153-R158)</f>
        <v>0</v>
      </c>
      <c r="S154" s="490">
        <f>IF(S153=0,IF($E151="USD",R154*(1+Flags!$D$31)^(1/12)-S158,R154-S158),S153-S158)</f>
        <v>0</v>
      </c>
      <c r="T154" s="490">
        <f>IF(T153=0,IF($E151="USD",S154*(1+Flags!$D$31)^(1/12)-T158,S154-T158),T153-T158)</f>
        <v>0</v>
      </c>
      <c r="U154" s="490">
        <f>IF(U153=0,IF($E151="USD",T154*(1+Flags!$D$31)^(1/12)-U158,T154-U158),U153-U158)</f>
        <v>0</v>
      </c>
      <c r="V154" s="490">
        <f>IF(V153=0,IF($E151="USD",U154*(1+Flags!$D$31)^(1/12)-V158,U154-V158),V153-V158)</f>
        <v>0</v>
      </c>
      <c r="W154" s="490">
        <f>IF(W153=0,IF($E151="USD",V154*(1+Flags!$D$31)^(1/12)-W158,V154-W158),W153-W158)</f>
        <v>0</v>
      </c>
      <c r="X154" s="490">
        <f>IF(X153=0,IF($E151="USD",W154*(1+Flags!$D$31)^(1/12)-X158,W154-X158),X153-X158)</f>
        <v>0</v>
      </c>
      <c r="Y154" s="490">
        <f>IF(Y153=0,IF($E151="USD",X154*(1+Flags!$D$31)^(1/12)-Y158,X154-Y158),Y153-Y158)</f>
        <v>0</v>
      </c>
      <c r="Z154" s="490">
        <f>IF(Z153=0,IF($E151="USD",Y154*(1+Flags!$D$31)^(1/12)-Z158,Y154-Z158),Z153-Z158)</f>
        <v>0</v>
      </c>
      <c r="AA154" s="490">
        <f>IF(AA153=0,IF($E151="USD",Z154*(1+Flags!$D$31)^(1/12)-AA158,Z154-AA158),AA153-AA158)</f>
        <v>0</v>
      </c>
      <c r="AB154" s="490">
        <f>IF(AB153=0,IF($E151="USD",AA154*(1+Flags!$D$31)^(1/12)-AB158,AA154-AB158),AB153-AB158)</f>
        <v>0</v>
      </c>
      <c r="AC154" s="490">
        <f>IF(AC153=0,IF($E151="USD",AB154*(1+Flags!$D$31)^(1/12)-AC158,AB154-AC158),AC153-AC158)</f>
        <v>0</v>
      </c>
      <c r="AD154" s="490">
        <f>IF(AD153=0,IF($E151="USD",AC154*(1+Flags!$D$31)^(1/12)-AD158,AC154-AD158),AD153-AD158)</f>
        <v>0</v>
      </c>
      <c r="AE154" s="490">
        <f>IF(AE153=0,IF($E151="USD",AD154*(1+Flags!$D$31)^(1/12)-AE158,AD154-AE158),AE153-AE158)</f>
        <v>0</v>
      </c>
      <c r="AF154" s="490">
        <f>IF(AF153=0,IF($E151="USD",AE154*(1+Flags!$D$31)^(1/12)-AF158,AE154-AF158),AF153-AF158)</f>
        <v>0</v>
      </c>
      <c r="AG154" s="490">
        <f>IF(AG153=0,IF($E151="USD",AF154*(1+Flags!$D$31)^(1/12)-AG158,AF154-AG158),AG153-AG158)</f>
        <v>0</v>
      </c>
      <c r="AH154" s="490">
        <f>IF(AH153=0,IF($E151="USD",AG154*(1+Flags!$D$31)^(1/12)-AH158,AG154-AH158),AH153-AH158)</f>
        <v>0</v>
      </c>
      <c r="AI154" s="490">
        <f>IF(AI153=0,IF($E151="USD",AH154*(1+Flags!$D$31)^(1/12)-AI158,AH154-AI158),AI153-AI158)</f>
        <v>0</v>
      </c>
      <c r="AJ154" s="490">
        <f>IF(AJ153=0,IF($E151="USD",AI154*(1+Flags!$D$31)^(1/12)-AJ158,AI154-AJ158),AJ153-AJ158)</f>
        <v>0</v>
      </c>
      <c r="AK154" s="490">
        <f>IF(AK153=0,IF($E151="USD",AJ154*(1+Flags!$D$31)^(1/12)-AK158,AJ154-AK158),AK153-AK158)</f>
        <v>0</v>
      </c>
      <c r="AL154" s="490">
        <f>IF(AL153=0,IF($E151="USD",AK154*(1+Flags!$D$31)^(1/12)-AL158,AK154-AL158),AL153-AL158)</f>
        <v>0</v>
      </c>
      <c r="AM154" s="490">
        <f>IF(AM153=0,IF($E151="USD",AL154*(1+Flags!$D$31)^(1/12)-AM158,AL154-AM158),AM153-AM158)</f>
        <v>0</v>
      </c>
      <c r="AN154" s="490">
        <f>IF(AN153=0,IF($E151="USD",AM154*(1+Flags!$D$31)^(1/12)-AN158,AM154-AN158),AN153-AN158)</f>
        <v>0</v>
      </c>
      <c r="AO154" s="490">
        <f>IF(AO153=0,IF($E151="USD",AN154*(1+Flags!$D$31)^(1/12)-AO158,AN154-AO158),AO153-AO158)</f>
        <v>0</v>
      </c>
      <c r="AP154" s="490">
        <f>IF(AP153=0,IF($E151="USD",AO154*(1+Flags!$D$31)^(1/12)-AP158,AO154-AP158),AP153-AP158)</f>
        <v>0</v>
      </c>
      <c r="AQ154" s="490">
        <f>IF(AQ153=0,IF($E151="USD",AP154*(1+Flags!$D$31)^(1/12)-AQ158,AP154-AQ158),AQ153-AQ158)</f>
        <v>0</v>
      </c>
      <c r="AR154" s="490">
        <f>IF(AR153=0,IF($E151="USD",AQ154*(1+Flags!$D$31)^(1/12)-AR158,AQ154-AR158),AR153-AR158)</f>
        <v>0</v>
      </c>
      <c r="AS154" s="490">
        <f>IF(AS153=0,IF($E151="USD",AR154*(1+Flags!$D$31)^(1/12)-AS158,AR154-AS158),AS153-AS158)</f>
        <v>0</v>
      </c>
      <c r="AT154" s="490">
        <f>IF(AT153=0,IF($E151="USD",AS154*(1+Flags!$D$31)^(1/12)-AT158,AS154-AT158),AT153-AT158)</f>
        <v>0</v>
      </c>
      <c r="AU154" s="490">
        <f>IF(AU153=0,IF($E151="USD",AT154*(1+Flags!$D$31)^(1/12)-AU158,AT154-AU158),AU153-AU158)</f>
        <v>0</v>
      </c>
      <c r="AV154" s="490">
        <f>IF(AV153=0,IF($E151="USD",AU154*(1+Flags!$D$31)^(1/12)-AV158,AU154-AV158),AV153-AV158)</f>
        <v>0</v>
      </c>
      <c r="AW154" s="490">
        <f>IF(AW153=0,IF($E151="USD",AV154*(1+Flags!$D$31)^(1/12)-AW158,AV154-AW158),AW153-AW158)</f>
        <v>0</v>
      </c>
      <c r="AX154" s="490">
        <f>IF(AX153=0,IF($E151="USD",AW154*(1+Flags!$D$31)^(1/12)-AX158,AW154-AX158),AX153-AX158)</f>
        <v>0</v>
      </c>
      <c r="AY154" s="490">
        <f>IF(AY153=0,IF($E151="USD",AX154*(1+Flags!$D$31)^(1/12)-AY158,AX154-AY158),AY153-AY158)</f>
        <v>0</v>
      </c>
      <c r="AZ154" s="490">
        <f>IF(AZ153=0,IF($E151="USD",AY154*(1+Flags!$D$31)^(1/12)-AZ158,AY154-AZ158),AZ153-AZ158)</f>
        <v>0</v>
      </c>
      <c r="BA154" s="490">
        <f>IF(BA153=0,IF($E151="USD",AZ154*(1+Flags!$D$31)^(1/12)-BA158,AZ154-BA158),BA153-BA158)</f>
        <v>0</v>
      </c>
      <c r="BB154" s="490">
        <f>IF(BB153=0,IF($E151="USD",BA154*(1+Flags!$D$31)^(1/12)-BB158,BA154-BB158),BB153-BB158)</f>
        <v>0</v>
      </c>
      <c r="BC154" s="490">
        <f>IF(BC153=0,IF($E151="USD",BB154*(1+Flags!$D$31)^(1/12)-BC158,BB154-BC158),BC153-BC158)</f>
        <v>0</v>
      </c>
      <c r="BD154" s="490">
        <f>IF(BD153=0,IF($E151="USD",BC154*(1+Flags!$D$31)^(1/12)-BD158,BC154-BD158),BD153-BD158)</f>
        <v>0</v>
      </c>
      <c r="BE154" s="490">
        <f>IF(BE153=0,IF($E151="USD",BD154*(1+Flags!$D$31)^(1/12)-BE158,BD154-BE158),BE153-BE158)</f>
        <v>0</v>
      </c>
      <c r="BF154" s="490">
        <f>IF(BF153=0,IF($E151="USD",BE154*(1+Flags!$D$31)^(1/12)-BF158,BE154-BF158),BF153-BF158)</f>
        <v>0</v>
      </c>
      <c r="BG154" s="490">
        <f>IF(BG153=0,IF($E151="USD",BF154*(1+Flags!$D$31)^(1/12)-BG158,BF154-BG158),BG153-BG158)</f>
        <v>0</v>
      </c>
      <c r="BH154" s="490">
        <f>IF(BH153=0,IF($E151="USD",BG154*(1+Flags!$D$31)^(1/12)-BH158,BG154-BH158),BH153-BH158)</f>
        <v>0</v>
      </c>
      <c r="BI154" s="490">
        <f>IF(BI153=0,IF($E151="USD",BH154*(1+Flags!$D$31)^(1/12)-BI158,BH154-BI158),BI153-BI158)</f>
        <v>0</v>
      </c>
      <c r="BJ154" s="490">
        <f>IF(BJ153=0,IF($E151="USD",BI154*(1+Flags!$D$31)^(1/12)-BJ158,BI154-BJ158),BJ153-BJ158)</f>
        <v>0</v>
      </c>
      <c r="BK154" s="490">
        <f>IF(BK153=0,IF($E151="USD",BJ154*(1+Flags!$D$31)^(1/12)-BK158,BJ154-BK158),BK153-BK158)</f>
        <v>0</v>
      </c>
      <c r="BL154" s="490">
        <f>IF(BL153=0,IF($E151="USD",BK154*(1+Flags!$D$31)^(1/12)-BL158,BK154-BL158),BL153-BL158)</f>
        <v>0</v>
      </c>
      <c r="BM154" s="490">
        <f>IF(BM153=0,IF($E151="USD",BL154*(1+Flags!$D$31)^(1/12)-BM158,BL154-BM158),BM153-BM158)</f>
        <v>0</v>
      </c>
      <c r="BN154" s="490">
        <f>IF(BN153=0,IF($E151="USD",BM154*(1+Flags!$D$31)^(1/12)-BN158,BM154-BN158),BN153-BN158)</f>
        <v>0</v>
      </c>
      <c r="BO154" s="490">
        <f>IF(BO153=0,IF($E151="USD",BN154*(1+Flags!$D$31)^(1/12)-BO158,BN154-BO158),BO153-BO158)</f>
        <v>0</v>
      </c>
      <c r="BP154" s="490">
        <f>IF(BP153=0,IF($E151="USD",BO154*(1+Flags!$D$31)^(1/12)-BP158,BO154-BP158),BP153-BP158)</f>
        <v>0</v>
      </c>
      <c r="BQ154" s="490">
        <f>IF(BQ153=0,IF($E151="USD",BP154*(1+Flags!$D$31)^(1/12)-BQ158,BP154-BQ158),BQ153-BQ158)</f>
        <v>0</v>
      </c>
      <c r="BR154" s="490">
        <f>IF(BR153=0,IF($E151="USD",BQ154*(1+Flags!$D$31)^(1/12)-BR158,BQ154-BR158),BR153-BR158)</f>
        <v>0</v>
      </c>
      <c r="BS154" s="490">
        <f>IF(BS153=0,IF($E151="USD",BR154*(1+Flags!$D$31)^(1/12)-BS158,BR154-BS158),BS153-BS158)</f>
        <v>0</v>
      </c>
      <c r="BT154" s="490">
        <f>IF(BT153=0,IF($E151="USD",BS154*(1+Flags!$D$31)^(1/12)-BT158,BS154-BT158),BT153-BT158)</f>
        <v>0</v>
      </c>
      <c r="BU154" s="490">
        <f>IF(BU153=0,IF($E151="USD",BT154*(1+Flags!$D$31)^(1/12)-BU158,BT154-BU158),BU153-BU158)</f>
        <v>0</v>
      </c>
      <c r="BV154" s="490">
        <f>IF(BV153=0,IF($E151="USD",BU154*(1+Flags!$D$31)^(1/12)-BV158,BU154-BV158),BV153-BV158)</f>
        <v>0</v>
      </c>
      <c r="BW154" s="490">
        <f>IF(BW153=0,IF($E151="USD",BV154*(1+Flags!$D$31)^(1/12)-BW158,BV154-BW158),BW153-BW158)</f>
        <v>0</v>
      </c>
      <c r="BX154" s="490">
        <f>IF(BX153=0,IF($E151="USD",BW154*(1+Flags!$D$31)^(1/12)-BX158,BW154-BX158),BX153-BX158)</f>
        <v>0</v>
      </c>
      <c r="BY154" s="490">
        <f>IF(BY153=0,IF($E151="USD",BX154*(1+Flags!$D$31)^(1/12)-BY158,BX154-BY158),BY153-BY158)</f>
        <v>0</v>
      </c>
      <c r="BZ154" s="490">
        <f>IF(BZ153=0,IF($E151="USD",BY154*(1+Flags!$D$31)^(1/12)-BZ158,BY154-BZ158),BZ153-BZ158)</f>
        <v>0</v>
      </c>
      <c r="CA154" s="490">
        <f>IF(CA153=0,IF($E151="USD",BZ154*(1+Flags!$D$31)^(1/12)-CA158,BZ154-CA158),CA153-CA158)</f>
        <v>0</v>
      </c>
      <c r="CB154" s="490">
        <f>IF(CB153=0,IF($E151="USD",CA154*(1+Flags!$D$31)^(1/12)-CB158,CA154-CB158),CB153-CB158)</f>
        <v>0</v>
      </c>
      <c r="CC154" s="490">
        <f>IF(CC153=0,IF($E151="USD",CB154*(1+Flags!$D$31)^(1/12)-CC158,CB154-CC158),CC153-CC158)</f>
        <v>0</v>
      </c>
      <c r="CD154" s="490">
        <f>IF(CD153=0,IF($E151="USD",CC154*(1+Flags!$D$31)^(1/12)-CD158,CC154-CD158),CD153-CD158)</f>
        <v>0</v>
      </c>
      <c r="CE154" s="490">
        <f>IF(CE153=0,IF($E151="USD",CD154*(1+Flags!$D$31)^(1/12)-CE158,CD154-CE158),CE153-CE158)</f>
        <v>0</v>
      </c>
      <c r="CF154" s="490">
        <f>IF(CF153=0,IF($E151="USD",CE154*(1+Flags!$D$31)^(1/12)-CF158,CE154-CF158),CF153-CF158)</f>
        <v>0</v>
      </c>
      <c r="CG154" s="490">
        <f>IF(CG153=0,IF($E151="USD",CF154*(1+Flags!$D$31)^(1/12)-CG158,CF154-CG158),CG153-CG158)</f>
        <v>0</v>
      </c>
      <c r="CH154" s="490">
        <f>IF(CH153=0,IF($E151="USD",CG154*(1+Flags!$D$31)^(1/12)-CH158,CG154-CH158),CH153-CH158)</f>
        <v>0</v>
      </c>
      <c r="CI154" s="490">
        <f>IF(CI153=0,IF($E151="USD",CH154*(1+Flags!$D$31)^(1/12)-CI158,CH154-CI158),CI153-CI158)</f>
        <v>0</v>
      </c>
      <c r="CJ154" s="490">
        <f>IF(CJ153=0,IF($E151="USD",CI154*(1+Flags!$D$31)^(1/12)-CJ158,CI154-CJ158),CJ153-CJ158)</f>
        <v>0</v>
      </c>
      <c r="CK154" s="490">
        <f>IF(CK153=0,IF($E151="USD",CJ154*(1+Flags!$D$31)^(1/12)-CK158,CJ154-CK158),CK153-CK158)</f>
        <v>0</v>
      </c>
      <c r="CL154" s="490">
        <f>IF(CL153=0,IF($E151="USD",CK154*(1+Flags!$D$31)^(1/12)-CL158,CK154-CL158),CL153-CL158)</f>
        <v>0</v>
      </c>
      <c r="CM154" s="490">
        <f>IF(CM153=0,IF($E151="USD",CL154*(1+Flags!$D$31)^(1/12)-CM158,CL154-CM158),CM153-CM158)</f>
        <v>0</v>
      </c>
      <c r="CN154" s="490">
        <f>IF(CN153=0,IF($E151="USD",CM154*(1+Flags!$D$31)^(1/12)-CN158,CM154-CN158),CN153-CN158)</f>
        <v>0</v>
      </c>
      <c r="CO154" s="490">
        <f>IF(CO153=0,IF($E151="USD",CN154*(1+Flags!$D$31)^(1/12)-CO158,CN154-CO158),CO153-CO158)</f>
        <v>0</v>
      </c>
      <c r="CP154" s="490">
        <f>IF(CP153=0,IF($E151="USD",CO154*(1+Flags!$D$31)^(1/12)-CP158,CO154-CP158),CP153-CP158)</f>
        <v>0</v>
      </c>
      <c r="CQ154" s="490">
        <f>IF(CQ153=0,IF($E151="USD",CP154*(1+Flags!$D$31)^(1/12)-CQ158,CP154-CQ158),CQ153-CQ158)</f>
        <v>0</v>
      </c>
      <c r="CR154" s="490">
        <f>IF(CR153=0,IF($E151="USD",CQ154*(1+Flags!$D$31)^(1/12)-CR158,CQ154-CR158),CR153-CR158)</f>
        <v>0</v>
      </c>
      <c r="CS154" s="490">
        <f>IF(CS153=0,IF($E151="USD",CR154*(1+Flags!$D$31)^(1/12)-CS158,CR154-CS158),CS153-CS158)</f>
        <v>0</v>
      </c>
      <c r="CT154" s="490">
        <f>IF(CT153=0,IF($E151="USD",CS154*(1+Flags!$D$31)^(1/12)-CT158,CS154-CT158),CT153-CT158)</f>
        <v>0</v>
      </c>
      <c r="CU154" s="490">
        <f>IF(CU153=0,IF($E151="USD",CT154*(1+Flags!$D$31)^(1/12)-CU158,CT154-CU158),CU153-CU158)</f>
        <v>0</v>
      </c>
      <c r="CV154" s="490">
        <f>IF(CV153=0,IF($E151="USD",CU154*(1+Flags!$D$31)^(1/12)-CV158,CU154-CV158),CV153-CV158)</f>
        <v>0</v>
      </c>
      <c r="CW154" s="490">
        <f>IF(CW153=0,IF($E151="USD",CV154*(1+Flags!$D$31)^(1/12)-CW158,CV154-CW158),CW153-CW158)</f>
        <v>0</v>
      </c>
      <c r="CX154" s="490">
        <f>IF(CX153=0,IF($E151="USD",CW154*(1+Flags!$D$31)^(1/12)-CX158,CW154-CX158),CX153-CX158)</f>
        <v>0</v>
      </c>
      <c r="CY154" s="490">
        <f>IF(CY153=0,IF($E151="USD",CX154*(1+Flags!$D$31)^(1/12)-CY158,CX154-CY158),CY153-CY158)</f>
        <v>0</v>
      </c>
      <c r="CZ154" s="490">
        <f>IF(CZ153=0,IF($E151="USD",CY154*(1+Flags!$D$31)^(1/12)-CZ158,CY154-CZ158),CZ153-CZ158)</f>
        <v>0</v>
      </c>
      <c r="DA154" s="490">
        <f>IF(DA153=0,IF($E151="USD",CZ154*(1+Flags!$D$31)^(1/12)-DA158,CZ154-DA158),DA153-DA158)</f>
        <v>0</v>
      </c>
      <c r="DB154" s="490">
        <f>IF(DB153=0,IF($E151="USD",DA154*(1+Flags!$D$31)^(1/12)-DB158,DA154-DB158),DB153-DB158)</f>
        <v>0</v>
      </c>
      <c r="DC154" s="490">
        <f>IF(DC153=0,IF($E151="USD",DB154*(1+Flags!$D$31)^(1/12)-DC158,DB154-DC158),DC153-DC158)</f>
        <v>0</v>
      </c>
      <c r="DD154" s="490">
        <f>IF(DD153=0,IF($E151="USD",DC154*(1+Flags!$D$31)^(1/12)-DD158,DC154-DD158),DD153-DD158)</f>
        <v>0</v>
      </c>
      <c r="DE154" s="490">
        <f>IF(DE153=0,IF($E151="USD",DD154*(1+Flags!$D$31)^(1/12)-DE158,DD154-DE158),DE153-DE158)</f>
        <v>0</v>
      </c>
      <c r="DF154" s="490">
        <f>IF(DF153=0,IF($E151="USD",DE154*(1+Flags!$D$31)^(1/12)-DF158,DE154-DF158),DF153-DF158)</f>
        <v>0</v>
      </c>
      <c r="DG154" s="490">
        <f>IF(DG153=0,IF($E151="USD",DF154*(1+Flags!$D$31)^(1/12)-DG158,DF154-DG158),DG153-DG158)</f>
        <v>0</v>
      </c>
      <c r="DH154" s="490">
        <f>IF(DH153=0,IF($E151="USD",DG154*(1+Flags!$D$31)^(1/12)-DH158,DG154-DH158),DH153-DH158)</f>
        <v>0</v>
      </c>
      <c r="DI154" s="490">
        <f>IF(DI153=0,IF($E151="USD",DH154*(1+Flags!$D$31)^(1/12)-DI158,DH154-DI158),DI153-DI158)</f>
        <v>0</v>
      </c>
      <c r="DJ154" s="490">
        <f>IF(DJ153=0,IF($E151="USD",DI154*(1+Flags!$D$31)^(1/12)-DJ158,DI154-DJ158),DJ153-DJ158)</f>
        <v>0</v>
      </c>
      <c r="DK154" s="490">
        <f>IF(DK153=0,IF($E151="USD",DJ154*(1+Flags!$D$31)^(1/12)-DK158,DJ154-DK158),DK153-DK158)</f>
        <v>0</v>
      </c>
      <c r="DL154" s="490">
        <f>IF(DL153=0,IF($E151="USD",DK154*(1+Flags!$D$31)^(1/12)-DL158,DK154-DL158),DL153-DL158)</f>
        <v>0</v>
      </c>
      <c r="DM154" s="490">
        <f>IF(DM153=0,IF($E151="USD",DL154*(1+Flags!$D$31)^(1/12)-DM158,DL154-DM158),DM153-DM158)</f>
        <v>0</v>
      </c>
      <c r="DN154" s="490">
        <f>IF(DN153=0,IF($E151="USD",DM154*(1+Flags!$D$31)^(1/12)-DN158,DM154-DN158),DN153-DN158)</f>
        <v>0</v>
      </c>
      <c r="DO154" s="490">
        <f>IF(DO153=0,IF($E151="USD",DN154*(1+Flags!$D$31)^(1/12)-DO158,DN154-DO158),DO153-DO158)</f>
        <v>0</v>
      </c>
      <c r="DP154" s="490">
        <f>IF(DP153=0,IF($E151="USD",DO154*(1+Flags!$D$31)^(1/12)-DP158,DO154-DP158),DP153-DP158)</f>
        <v>0</v>
      </c>
      <c r="DQ154" s="490">
        <f>IF(DQ153=0,IF($E151="USD",DP154*(1+Flags!$D$31)^(1/12)-DQ158,DP154-DQ158),DQ153-DQ158)</f>
        <v>0</v>
      </c>
      <c r="DR154" s="490">
        <f>IF(DR153=0,IF($E151="USD",DQ154*(1+Flags!$D$31)^(1/12)-DR158,DQ154-DR158),DR153-DR158)</f>
        <v>0</v>
      </c>
      <c r="DS154" s="490">
        <f>IF(DS153=0,IF($E151="USD",DR154*(1+Flags!$D$31)^(1/12)-DS158,DR154-DS158),DS153-DS158)</f>
        <v>0</v>
      </c>
      <c r="DT154" s="490">
        <f>IF(DT153=0,IF($E151="USD",DS154*(1+Flags!$D$31)^(1/12)-DT158,DS154-DT158),DT153-DT158)</f>
        <v>0</v>
      </c>
      <c r="DU154" s="490">
        <f>IF(DU153=0,IF($E151="USD",DT154*(1+Flags!$D$31)^(1/12)-DU158,DT154-DU158),DU153-DU158)</f>
        <v>0</v>
      </c>
      <c r="DV154" s="490">
        <f>IF(DV153=0,IF($E151="USD",DU154*(1+Flags!$D$31)^(1/12)-DV158,DU154-DV158),DV153-DV158)</f>
        <v>0</v>
      </c>
      <c r="DW154" s="490">
        <f>IF(DW153=0,IF($E151="USD",DV154*(1+Flags!$D$31)^(1/12)-DW158,DV154-DW158),DW153-DW158)</f>
        <v>0</v>
      </c>
      <c r="DX154" s="490">
        <f>IF(DX153=0,IF($E151="USD",DW154*(1+Flags!$D$31)^(1/12)-DX158,DW154-DX158),DX153-DX158)</f>
        <v>0</v>
      </c>
      <c r="DY154" s="490">
        <f>IF(DY153=0,IF($E151="USD",DX154*(1+Flags!$D$31)^(1/12)-DY158,DX154-DY158),DY153-DY158)</f>
        <v>0</v>
      </c>
    </row>
    <row r="155" spans="2:129">
      <c r="B155" s="44"/>
      <c r="C155" s="43" t="s">
        <v>388</v>
      </c>
      <c r="D155" s="43"/>
      <c r="E155" s="482" t="str">
        <f>+'Model Assumptions'!N138</f>
        <v/>
      </c>
      <c r="F155" s="126"/>
      <c r="G155" s="126"/>
      <c r="H155" s="126"/>
      <c r="I155" s="43"/>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row>
    <row r="156" spans="2:129">
      <c r="B156" s="43"/>
      <c r="C156" s="43" t="s">
        <v>87</v>
      </c>
      <c r="D156" s="43"/>
      <c r="E156" s="483">
        <f>+'Model Assumptions'!N139</f>
        <v>0</v>
      </c>
      <c r="F156" s="129"/>
      <c r="G156" s="129"/>
      <c r="H156" s="129"/>
      <c r="I156" s="43"/>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row>
    <row r="157" spans="2:129">
      <c r="B157" s="43"/>
      <c r="C157" s="43" t="s">
        <v>395</v>
      </c>
      <c r="D157" s="43"/>
      <c r="E157" s="484">
        <f>+'Model Assumptions'!N140</f>
        <v>0</v>
      </c>
      <c r="F157" s="130"/>
      <c r="G157" s="130"/>
      <c r="H157" s="130"/>
      <c r="I157" s="43"/>
      <c r="J157" s="46">
        <f t="shared" ref="J157:AO157" si="135">+IF(AND(J$1&gt;=DATE(YEAR($E150), MONTH($E150) + $E156*12, DAY($E150)),J$1&lt;DATE(YEAR($E150), MONTH($E150) + $E157*12, DAY($E150))),$E155,0)</f>
        <v>0</v>
      </c>
      <c r="K157" s="46">
        <f t="shared" si="135"/>
        <v>0</v>
      </c>
      <c r="L157" s="46">
        <f t="shared" si="135"/>
        <v>0</v>
      </c>
      <c r="M157" s="46">
        <f t="shared" si="135"/>
        <v>0</v>
      </c>
      <c r="N157" s="46">
        <f t="shared" si="135"/>
        <v>0</v>
      </c>
      <c r="O157" s="46">
        <f t="shared" si="135"/>
        <v>0</v>
      </c>
      <c r="P157" s="46">
        <f t="shared" si="135"/>
        <v>0</v>
      </c>
      <c r="Q157" s="46">
        <f t="shared" si="135"/>
        <v>0</v>
      </c>
      <c r="R157" s="46">
        <f t="shared" si="135"/>
        <v>0</v>
      </c>
      <c r="S157" s="46">
        <f t="shared" si="135"/>
        <v>0</v>
      </c>
      <c r="T157" s="46">
        <f t="shared" si="135"/>
        <v>0</v>
      </c>
      <c r="U157" s="46">
        <f t="shared" si="135"/>
        <v>0</v>
      </c>
      <c r="V157" s="46">
        <f t="shared" si="135"/>
        <v>0</v>
      </c>
      <c r="W157" s="46">
        <f t="shared" si="135"/>
        <v>0</v>
      </c>
      <c r="X157" s="46">
        <f t="shared" si="135"/>
        <v>0</v>
      </c>
      <c r="Y157" s="46">
        <f t="shared" si="135"/>
        <v>0</v>
      </c>
      <c r="Z157" s="46">
        <f t="shared" si="135"/>
        <v>0</v>
      </c>
      <c r="AA157" s="46">
        <f t="shared" si="135"/>
        <v>0</v>
      </c>
      <c r="AB157" s="46">
        <f t="shared" si="135"/>
        <v>0</v>
      </c>
      <c r="AC157" s="46">
        <f t="shared" si="135"/>
        <v>0</v>
      </c>
      <c r="AD157" s="46">
        <f t="shared" si="135"/>
        <v>0</v>
      </c>
      <c r="AE157" s="46">
        <f t="shared" si="135"/>
        <v>0</v>
      </c>
      <c r="AF157" s="46">
        <f t="shared" si="135"/>
        <v>0</v>
      </c>
      <c r="AG157" s="46">
        <f t="shared" si="135"/>
        <v>0</v>
      </c>
      <c r="AH157" s="46">
        <f t="shared" si="135"/>
        <v>0</v>
      </c>
      <c r="AI157" s="46">
        <f t="shared" si="135"/>
        <v>0</v>
      </c>
      <c r="AJ157" s="46">
        <f t="shared" si="135"/>
        <v>0</v>
      </c>
      <c r="AK157" s="46">
        <f t="shared" si="135"/>
        <v>0</v>
      </c>
      <c r="AL157" s="46">
        <f t="shared" si="135"/>
        <v>0</v>
      </c>
      <c r="AM157" s="46">
        <f t="shared" si="135"/>
        <v>0</v>
      </c>
      <c r="AN157" s="46">
        <f t="shared" si="135"/>
        <v>0</v>
      </c>
      <c r="AO157" s="46">
        <f t="shared" si="135"/>
        <v>0</v>
      </c>
      <c r="AP157" s="46">
        <f t="shared" ref="AP157:BU157" si="136">+IF(AND(AP$1&gt;=DATE(YEAR($E150), MONTH($E150) + $E156*12, DAY($E150)),AP$1&lt;DATE(YEAR($E150), MONTH($E150) + $E157*12, DAY($E150))),$E155,0)</f>
        <v>0</v>
      </c>
      <c r="AQ157" s="46">
        <f t="shared" si="136"/>
        <v>0</v>
      </c>
      <c r="AR157" s="46">
        <f t="shared" si="136"/>
        <v>0</v>
      </c>
      <c r="AS157" s="46">
        <f t="shared" si="136"/>
        <v>0</v>
      </c>
      <c r="AT157" s="46">
        <f t="shared" si="136"/>
        <v>0</v>
      </c>
      <c r="AU157" s="46">
        <f t="shared" si="136"/>
        <v>0</v>
      </c>
      <c r="AV157" s="46">
        <f t="shared" si="136"/>
        <v>0</v>
      </c>
      <c r="AW157" s="46">
        <f t="shared" si="136"/>
        <v>0</v>
      </c>
      <c r="AX157" s="46">
        <f t="shared" si="136"/>
        <v>0</v>
      </c>
      <c r="AY157" s="46">
        <f t="shared" si="136"/>
        <v>0</v>
      </c>
      <c r="AZ157" s="46">
        <f t="shared" si="136"/>
        <v>0</v>
      </c>
      <c r="BA157" s="46">
        <f t="shared" si="136"/>
        <v>0</v>
      </c>
      <c r="BB157" s="46">
        <f t="shared" si="136"/>
        <v>0</v>
      </c>
      <c r="BC157" s="46">
        <f t="shared" si="136"/>
        <v>0</v>
      </c>
      <c r="BD157" s="46">
        <f t="shared" si="136"/>
        <v>0</v>
      </c>
      <c r="BE157" s="46">
        <f t="shared" si="136"/>
        <v>0</v>
      </c>
      <c r="BF157" s="46">
        <f t="shared" si="136"/>
        <v>0</v>
      </c>
      <c r="BG157" s="46">
        <f t="shared" si="136"/>
        <v>0</v>
      </c>
      <c r="BH157" s="46">
        <f t="shared" si="136"/>
        <v>0</v>
      </c>
      <c r="BI157" s="46">
        <f t="shared" si="136"/>
        <v>0</v>
      </c>
      <c r="BJ157" s="46">
        <f t="shared" si="136"/>
        <v>0</v>
      </c>
      <c r="BK157" s="46">
        <f t="shared" si="136"/>
        <v>0</v>
      </c>
      <c r="BL157" s="46">
        <f t="shared" si="136"/>
        <v>0</v>
      </c>
      <c r="BM157" s="46">
        <f t="shared" si="136"/>
        <v>0</v>
      </c>
      <c r="BN157" s="46">
        <f t="shared" si="136"/>
        <v>0</v>
      </c>
      <c r="BO157" s="46">
        <f t="shared" si="136"/>
        <v>0</v>
      </c>
      <c r="BP157" s="46">
        <f t="shared" si="136"/>
        <v>0</v>
      </c>
      <c r="BQ157" s="46">
        <f t="shared" si="136"/>
        <v>0</v>
      </c>
      <c r="BR157" s="46">
        <f t="shared" si="136"/>
        <v>0</v>
      </c>
      <c r="BS157" s="46">
        <f t="shared" si="136"/>
        <v>0</v>
      </c>
      <c r="BT157" s="46">
        <f t="shared" si="136"/>
        <v>0</v>
      </c>
      <c r="BU157" s="46">
        <f t="shared" si="136"/>
        <v>0</v>
      </c>
      <c r="BV157" s="46">
        <f t="shared" ref="BV157:CC157" si="137">+IF(AND(BV$1&gt;=DATE(YEAR($E150), MONTH($E150) + $E156*12, DAY($E150)),BV$1&lt;DATE(YEAR($E150), MONTH($E150) + $E157*12, DAY($E150))),$E155,0)</f>
        <v>0</v>
      </c>
      <c r="BW157" s="46">
        <f t="shared" si="137"/>
        <v>0</v>
      </c>
      <c r="BX157" s="46">
        <f t="shared" si="137"/>
        <v>0</v>
      </c>
      <c r="BY157" s="46">
        <f t="shared" si="137"/>
        <v>0</v>
      </c>
      <c r="BZ157" s="46">
        <f t="shared" si="137"/>
        <v>0</v>
      </c>
      <c r="CA157" s="46">
        <f t="shared" si="137"/>
        <v>0</v>
      </c>
      <c r="CB157" s="46">
        <f t="shared" si="137"/>
        <v>0</v>
      </c>
      <c r="CC157" s="46">
        <f t="shared" si="137"/>
        <v>0</v>
      </c>
      <c r="CD157" s="46">
        <f t="shared" ref="CD157:DY157" si="138">+IF(AND(CD$1&gt;=DATE(YEAR($E150), MONTH($E150) + $E156*12, DAY($E150)),CD$1&lt;DATE(YEAR($E150), MONTH($E150) + $E157*12, DAY($E150))),$E155,0)</f>
        <v>0</v>
      </c>
      <c r="CE157" s="46">
        <f t="shared" si="138"/>
        <v>0</v>
      </c>
      <c r="CF157" s="46">
        <f t="shared" si="138"/>
        <v>0</v>
      </c>
      <c r="CG157" s="46">
        <f t="shared" si="138"/>
        <v>0</v>
      </c>
      <c r="CH157" s="46">
        <f t="shared" si="138"/>
        <v>0</v>
      </c>
      <c r="CI157" s="46">
        <f t="shared" si="138"/>
        <v>0</v>
      </c>
      <c r="CJ157" s="46">
        <f t="shared" si="138"/>
        <v>0</v>
      </c>
      <c r="CK157" s="46">
        <f t="shared" si="138"/>
        <v>0</v>
      </c>
      <c r="CL157" s="46">
        <f t="shared" si="138"/>
        <v>0</v>
      </c>
      <c r="CM157" s="46">
        <f t="shared" si="138"/>
        <v>0</v>
      </c>
      <c r="CN157" s="46">
        <f t="shared" si="138"/>
        <v>0</v>
      </c>
      <c r="CO157" s="46">
        <f t="shared" si="138"/>
        <v>0</v>
      </c>
      <c r="CP157" s="46">
        <f t="shared" si="138"/>
        <v>0</v>
      </c>
      <c r="CQ157" s="46">
        <f t="shared" si="138"/>
        <v>0</v>
      </c>
      <c r="CR157" s="46">
        <f t="shared" si="138"/>
        <v>0</v>
      </c>
      <c r="CS157" s="46">
        <f t="shared" si="138"/>
        <v>0</v>
      </c>
      <c r="CT157" s="46">
        <f t="shared" si="138"/>
        <v>0</v>
      </c>
      <c r="CU157" s="46">
        <f t="shared" si="138"/>
        <v>0</v>
      </c>
      <c r="CV157" s="46">
        <f t="shared" si="138"/>
        <v>0</v>
      </c>
      <c r="CW157" s="46">
        <f t="shared" si="138"/>
        <v>0</v>
      </c>
      <c r="CX157" s="46">
        <f t="shared" si="138"/>
        <v>0</v>
      </c>
      <c r="CY157" s="46">
        <f t="shared" si="138"/>
        <v>0</v>
      </c>
      <c r="CZ157" s="46">
        <f t="shared" si="138"/>
        <v>0</v>
      </c>
      <c r="DA157" s="46">
        <f t="shared" si="138"/>
        <v>0</v>
      </c>
      <c r="DB157" s="46">
        <f t="shared" si="138"/>
        <v>0</v>
      </c>
      <c r="DC157" s="46">
        <f t="shared" si="138"/>
        <v>0</v>
      </c>
      <c r="DD157" s="46">
        <f t="shared" si="138"/>
        <v>0</v>
      </c>
      <c r="DE157" s="46">
        <f t="shared" si="138"/>
        <v>0</v>
      </c>
      <c r="DF157" s="46">
        <f t="shared" si="138"/>
        <v>0</v>
      </c>
      <c r="DG157" s="46">
        <f t="shared" si="138"/>
        <v>0</v>
      </c>
      <c r="DH157" s="46">
        <f t="shared" si="138"/>
        <v>0</v>
      </c>
      <c r="DI157" s="46">
        <f t="shared" si="138"/>
        <v>0</v>
      </c>
      <c r="DJ157" s="46">
        <f t="shared" si="138"/>
        <v>0</v>
      </c>
      <c r="DK157" s="46">
        <f t="shared" si="138"/>
        <v>0</v>
      </c>
      <c r="DL157" s="46">
        <f t="shared" si="138"/>
        <v>0</v>
      </c>
      <c r="DM157" s="46">
        <f t="shared" si="138"/>
        <v>0</v>
      </c>
      <c r="DN157" s="46">
        <f t="shared" si="138"/>
        <v>0</v>
      </c>
      <c r="DO157" s="46">
        <f t="shared" si="138"/>
        <v>0</v>
      </c>
      <c r="DP157" s="46">
        <f t="shared" si="138"/>
        <v>0</v>
      </c>
      <c r="DQ157" s="46">
        <f t="shared" si="138"/>
        <v>0</v>
      </c>
      <c r="DR157" s="46">
        <f t="shared" si="138"/>
        <v>0</v>
      </c>
      <c r="DS157" s="46">
        <f t="shared" si="138"/>
        <v>0</v>
      </c>
      <c r="DT157" s="46">
        <f t="shared" si="138"/>
        <v>0</v>
      </c>
      <c r="DU157" s="46">
        <f t="shared" si="138"/>
        <v>0</v>
      </c>
      <c r="DV157" s="46">
        <f t="shared" si="138"/>
        <v>0</v>
      </c>
      <c r="DW157" s="46">
        <f t="shared" si="138"/>
        <v>0</v>
      </c>
      <c r="DX157" s="46">
        <f t="shared" si="138"/>
        <v>0</v>
      </c>
      <c r="DY157" s="46">
        <f t="shared" si="138"/>
        <v>0</v>
      </c>
    </row>
    <row r="158" spans="2:129">
      <c r="B158" s="43"/>
      <c r="C158" s="43" t="s">
        <v>389</v>
      </c>
      <c r="D158" s="43"/>
      <c r="E158" s="527"/>
      <c r="F158" s="130"/>
      <c r="G158" s="130"/>
      <c r="H158" s="130"/>
      <c r="I158" s="43"/>
      <c r="J158" s="491">
        <f>IF($E151="LCY",J157*'Model Assumptions'!$N$135,Financing!J157*Flags!J$30)</f>
        <v>0</v>
      </c>
      <c r="K158" s="491">
        <f>IF($E151="LCY",K157*'Model Assumptions'!$N$135,Financing!K157*Flags!K$30)</f>
        <v>0</v>
      </c>
      <c r="L158" s="491">
        <f>IF($E151="LCY",L157*'Model Assumptions'!$N$135,Financing!L157*Flags!L$30)</f>
        <v>0</v>
      </c>
      <c r="M158" s="491">
        <f>IF($E151="LCY",M157*'Model Assumptions'!$N$135,Financing!M157*Flags!M$30)</f>
        <v>0</v>
      </c>
      <c r="N158" s="491">
        <f>IF($E151="LCY",N157*'Model Assumptions'!$N$135,Financing!N157*Flags!N$30)</f>
        <v>0</v>
      </c>
      <c r="O158" s="491">
        <f>IF($E151="LCY",O157*'Model Assumptions'!$N$135,Financing!O157*Flags!O$30)</f>
        <v>0</v>
      </c>
      <c r="P158" s="491">
        <f>IF($E151="LCY",P157*'Model Assumptions'!$N$135,Financing!P157*Flags!P$30)</f>
        <v>0</v>
      </c>
      <c r="Q158" s="491">
        <f>IF($E151="LCY",Q157*'Model Assumptions'!$N$135,Financing!Q157*Flags!Q$30)</f>
        <v>0</v>
      </c>
      <c r="R158" s="491">
        <f>IF($E151="LCY",R157*'Model Assumptions'!$N$135,Financing!R157*Flags!R$30)</f>
        <v>0</v>
      </c>
      <c r="S158" s="491">
        <f>IF($E151="LCY",S157*'Model Assumptions'!$N$135,Financing!S157*Flags!S$30)</f>
        <v>0</v>
      </c>
      <c r="T158" s="491">
        <f>IF($E151="LCY",T157*'Model Assumptions'!$N$135,Financing!T157*Flags!T$30)</f>
        <v>0</v>
      </c>
      <c r="U158" s="491">
        <f>IF($E151="LCY",U157*'Model Assumptions'!$N$135,Financing!U157*Flags!U$30)</f>
        <v>0</v>
      </c>
      <c r="V158" s="491">
        <f>IF($E151="LCY",V157*'Model Assumptions'!$N$135,Financing!V157*Flags!V$30)</f>
        <v>0</v>
      </c>
      <c r="W158" s="491">
        <f>IF($E151="LCY",W157*'Model Assumptions'!$N$135,Financing!W157*Flags!W$30)</f>
        <v>0</v>
      </c>
      <c r="X158" s="491">
        <f>IF($E151="LCY",X157*'Model Assumptions'!$N$135,Financing!X157*Flags!X$30)</f>
        <v>0</v>
      </c>
      <c r="Y158" s="491">
        <f>IF($E151="LCY",Y157*'Model Assumptions'!$N$135,Financing!Y157*Flags!Y$30)</f>
        <v>0</v>
      </c>
      <c r="Z158" s="491">
        <f>IF($E151="LCY",Z157*'Model Assumptions'!$N$135,Financing!Z157*Flags!Z$30)</f>
        <v>0</v>
      </c>
      <c r="AA158" s="491">
        <f>IF($E151="LCY",AA157*'Model Assumptions'!$N$135,Financing!AA157*Flags!AA$30)</f>
        <v>0</v>
      </c>
      <c r="AB158" s="491">
        <f>IF($E151="LCY",AB157*'Model Assumptions'!$N$135,Financing!AB157*Flags!AB$30)</f>
        <v>0</v>
      </c>
      <c r="AC158" s="491">
        <f>IF($E151="LCY",AC157*'Model Assumptions'!$N$135,Financing!AC157*Flags!AC$30)</f>
        <v>0</v>
      </c>
      <c r="AD158" s="491">
        <f>IF($E151="LCY",AD157*'Model Assumptions'!$N$135,Financing!AD157*Flags!AD$30)</f>
        <v>0</v>
      </c>
      <c r="AE158" s="491">
        <f>IF($E151="LCY",AE157*'Model Assumptions'!$N$135,Financing!AE157*Flags!AE$30)</f>
        <v>0</v>
      </c>
      <c r="AF158" s="491">
        <f>IF($E151="LCY",AF157*'Model Assumptions'!$N$135,Financing!AF157*Flags!AF$30)</f>
        <v>0</v>
      </c>
      <c r="AG158" s="491">
        <f>IF($E151="LCY",AG157*'Model Assumptions'!$N$135,Financing!AG157*Flags!AG$30)</f>
        <v>0</v>
      </c>
      <c r="AH158" s="491">
        <f>IF($E151="LCY",AH157*'Model Assumptions'!$N$135,Financing!AH157*Flags!AH$30)</f>
        <v>0</v>
      </c>
      <c r="AI158" s="491">
        <f>IF($E151="LCY",AI157*'Model Assumptions'!$N$135,Financing!AI157*Flags!AI$30)</f>
        <v>0</v>
      </c>
      <c r="AJ158" s="491">
        <f>IF($E151="LCY",AJ157*'Model Assumptions'!$N$135,Financing!AJ157*Flags!AJ$30)</f>
        <v>0</v>
      </c>
      <c r="AK158" s="491">
        <f>IF($E151="LCY",AK157*'Model Assumptions'!$N$135,Financing!AK157*Flags!AK$30)</f>
        <v>0</v>
      </c>
      <c r="AL158" s="491">
        <f>IF($E151="LCY",AL157*'Model Assumptions'!$N$135,Financing!AL157*Flags!AL$30)</f>
        <v>0</v>
      </c>
      <c r="AM158" s="491">
        <f>IF($E151="LCY",AM157*'Model Assumptions'!$N$135,Financing!AM157*Flags!AM$30)</f>
        <v>0</v>
      </c>
      <c r="AN158" s="491">
        <f>IF($E151="LCY",AN157*'Model Assumptions'!$N$135,Financing!AN157*Flags!AN$30)</f>
        <v>0</v>
      </c>
      <c r="AO158" s="491">
        <f>IF($E151="LCY",AO157*'Model Assumptions'!$N$135,Financing!AO157*Flags!AO$30)</f>
        <v>0</v>
      </c>
      <c r="AP158" s="491">
        <f>IF($E151="LCY",AP157*'Model Assumptions'!$N$135,Financing!AP157*Flags!AP$30)</f>
        <v>0</v>
      </c>
      <c r="AQ158" s="491">
        <f>IF($E151="LCY",AQ157*'Model Assumptions'!$N$135,Financing!AQ157*Flags!AQ$30)</f>
        <v>0</v>
      </c>
      <c r="AR158" s="491">
        <f>IF($E151="LCY",AR157*'Model Assumptions'!$N$135,Financing!AR157*Flags!AR$30)</f>
        <v>0</v>
      </c>
      <c r="AS158" s="491">
        <f>IF($E151="LCY",AS157*'Model Assumptions'!$N$135,Financing!AS157*Flags!AS$30)</f>
        <v>0</v>
      </c>
      <c r="AT158" s="491">
        <f>IF($E151="LCY",AT157*'Model Assumptions'!$N$135,Financing!AT157*Flags!AT$30)</f>
        <v>0</v>
      </c>
      <c r="AU158" s="491">
        <f>IF($E151="LCY",AU157*'Model Assumptions'!$N$135,Financing!AU157*Flags!AU$30)</f>
        <v>0</v>
      </c>
      <c r="AV158" s="491">
        <f>IF($E151="LCY",AV157*'Model Assumptions'!$N$135,Financing!AV157*Flags!AV$30)</f>
        <v>0</v>
      </c>
      <c r="AW158" s="491">
        <f>IF($E151="LCY",AW157*'Model Assumptions'!$N$135,Financing!AW157*Flags!AW$30)</f>
        <v>0</v>
      </c>
      <c r="AX158" s="491">
        <f>IF($E151="LCY",AX157*'Model Assumptions'!$N$135,Financing!AX157*Flags!AX$30)</f>
        <v>0</v>
      </c>
      <c r="AY158" s="491">
        <f>IF($E151="LCY",AY157*'Model Assumptions'!$N$135,Financing!AY157*Flags!AY$30)</f>
        <v>0</v>
      </c>
      <c r="AZ158" s="491">
        <f>IF($E151="LCY",AZ157*'Model Assumptions'!$N$135,Financing!AZ157*Flags!AZ$30)</f>
        <v>0</v>
      </c>
      <c r="BA158" s="491">
        <f>IF($E151="LCY",BA157*'Model Assumptions'!$N$135,Financing!BA157*Flags!BA$30)</f>
        <v>0</v>
      </c>
      <c r="BB158" s="491">
        <f>IF($E151="LCY",BB157*'Model Assumptions'!$N$135,Financing!BB157*Flags!BB$30)</f>
        <v>0</v>
      </c>
      <c r="BC158" s="491">
        <f>IF($E151="LCY",BC157*'Model Assumptions'!$N$135,Financing!BC157*Flags!BC$30)</f>
        <v>0</v>
      </c>
      <c r="BD158" s="491">
        <f>IF($E151="LCY",BD157*'Model Assumptions'!$N$135,Financing!BD157*Flags!BD$30)</f>
        <v>0</v>
      </c>
      <c r="BE158" s="491">
        <f>IF($E151="LCY",BE157*'Model Assumptions'!$N$135,Financing!BE157*Flags!BE$30)</f>
        <v>0</v>
      </c>
      <c r="BF158" s="491">
        <f>IF($E151="LCY",BF157*'Model Assumptions'!$N$135,Financing!BF157*Flags!BF$30)</f>
        <v>0</v>
      </c>
      <c r="BG158" s="491">
        <f>IF($E151="LCY",BG157*'Model Assumptions'!$N$135,Financing!BG157*Flags!BG$30)</f>
        <v>0</v>
      </c>
      <c r="BH158" s="491">
        <f>IF($E151="LCY",BH157*'Model Assumptions'!$N$135,Financing!BH157*Flags!BH$30)</f>
        <v>0</v>
      </c>
      <c r="BI158" s="491">
        <f>IF($E151="LCY",BI157*'Model Assumptions'!$N$135,Financing!BI157*Flags!BI$30)</f>
        <v>0</v>
      </c>
      <c r="BJ158" s="491">
        <f>IF($E151="LCY",BJ157*'Model Assumptions'!$N$135,Financing!BJ157*Flags!BJ$30)</f>
        <v>0</v>
      </c>
      <c r="BK158" s="491">
        <f>IF($E151="LCY",BK157*'Model Assumptions'!$N$135,Financing!BK157*Flags!BK$30)</f>
        <v>0</v>
      </c>
      <c r="BL158" s="491">
        <f>IF($E151="LCY",BL157*'Model Assumptions'!$N$135,Financing!BL157*Flags!BL$30)</f>
        <v>0</v>
      </c>
      <c r="BM158" s="491">
        <f>IF($E151="LCY",BM157*'Model Assumptions'!$N$135,Financing!BM157*Flags!BM$30)</f>
        <v>0</v>
      </c>
      <c r="BN158" s="491">
        <f>IF($E151="LCY",BN157*'Model Assumptions'!$N$135,Financing!BN157*Flags!BN$30)</f>
        <v>0</v>
      </c>
      <c r="BO158" s="491">
        <f>IF($E151="LCY",BO157*'Model Assumptions'!$N$135,Financing!BO157*Flags!BO$30)</f>
        <v>0</v>
      </c>
      <c r="BP158" s="491">
        <f>IF($E151="LCY",BP157*'Model Assumptions'!$N$135,Financing!BP157*Flags!BP$30)</f>
        <v>0</v>
      </c>
      <c r="BQ158" s="491">
        <f>IF($E151="LCY",BQ157*'Model Assumptions'!$N$135,Financing!BQ157*Flags!BQ$30)</f>
        <v>0</v>
      </c>
      <c r="BR158" s="491">
        <f>IF($E151="LCY",BR157*'Model Assumptions'!$N$135,Financing!BR157*Flags!BR$30)</f>
        <v>0</v>
      </c>
      <c r="BS158" s="491">
        <f>IF($E151="LCY",BS157*'Model Assumptions'!$N$135,Financing!BS157*Flags!BS$30)</f>
        <v>0</v>
      </c>
      <c r="BT158" s="491">
        <f>IF($E151="LCY",BT157*'Model Assumptions'!$N$135,Financing!BT157*Flags!BT$30)</f>
        <v>0</v>
      </c>
      <c r="BU158" s="491">
        <f>IF($E151="LCY",BU157*'Model Assumptions'!$N$135,Financing!BU157*Flags!BU$30)</f>
        <v>0</v>
      </c>
      <c r="BV158" s="491">
        <f>IF($E151="LCY",BV157*'Model Assumptions'!$N$135,Financing!BV157*Flags!BV$30)</f>
        <v>0</v>
      </c>
      <c r="BW158" s="491">
        <f>IF($E151="LCY",BW157*'Model Assumptions'!$N$135,Financing!BW157*Flags!BW$30)</f>
        <v>0</v>
      </c>
      <c r="BX158" s="491">
        <f>IF($E151="LCY",BX157*'Model Assumptions'!$N$135,Financing!BX157*Flags!BX$30)</f>
        <v>0</v>
      </c>
      <c r="BY158" s="491">
        <f>IF($E151="LCY",BY157*'Model Assumptions'!$N$135,Financing!BY157*Flags!BY$30)</f>
        <v>0</v>
      </c>
      <c r="BZ158" s="491">
        <f>IF($E151="LCY",BZ157*'Model Assumptions'!$N$135,Financing!BZ157*Flags!BZ$30)</f>
        <v>0</v>
      </c>
      <c r="CA158" s="491">
        <f>IF($E151="LCY",CA157*'Model Assumptions'!$N$135,Financing!CA157*Flags!CA$30)</f>
        <v>0</v>
      </c>
      <c r="CB158" s="491">
        <f>IF($E151="LCY",CB157*'Model Assumptions'!$N$135,Financing!CB157*Flags!CB$30)</f>
        <v>0</v>
      </c>
      <c r="CC158" s="491">
        <f>IF($E151="LCY",CC157*'Model Assumptions'!$N$135,Financing!CC157*Flags!CC$30)</f>
        <v>0</v>
      </c>
      <c r="CD158" s="491">
        <f>IF($E151="LCY",CD157*'Model Assumptions'!$N$135,Financing!CD157*Flags!CD$30)</f>
        <v>0</v>
      </c>
      <c r="CE158" s="491">
        <f>IF($E151="LCY",CE157*'Model Assumptions'!$N$135,Financing!CE157*Flags!CE$30)</f>
        <v>0</v>
      </c>
      <c r="CF158" s="491">
        <f>IF($E151="LCY",CF157*'Model Assumptions'!$N$135,Financing!CF157*Flags!CF$30)</f>
        <v>0</v>
      </c>
      <c r="CG158" s="491">
        <f>IF($E151="LCY",CG157*'Model Assumptions'!$N$135,Financing!CG157*Flags!CG$30)</f>
        <v>0</v>
      </c>
      <c r="CH158" s="491">
        <f>IF($E151="LCY",CH157*'Model Assumptions'!$N$135,Financing!CH157*Flags!CH$30)</f>
        <v>0</v>
      </c>
      <c r="CI158" s="491">
        <f>IF($E151="LCY",CI157*'Model Assumptions'!$N$135,Financing!CI157*Flags!CI$30)</f>
        <v>0</v>
      </c>
      <c r="CJ158" s="491">
        <f>IF($E151="LCY",CJ157*'Model Assumptions'!$N$135,Financing!CJ157*Flags!CJ$30)</f>
        <v>0</v>
      </c>
      <c r="CK158" s="491">
        <f>IF($E151="LCY",CK157*'Model Assumptions'!$N$135,Financing!CK157*Flags!CK$30)</f>
        <v>0</v>
      </c>
      <c r="CL158" s="491">
        <f>IF($E151="LCY",CL157*'Model Assumptions'!$N$135,Financing!CL157*Flags!CL$30)</f>
        <v>0</v>
      </c>
      <c r="CM158" s="491">
        <f>IF($E151="LCY",CM157*'Model Assumptions'!$N$135,Financing!CM157*Flags!CM$30)</f>
        <v>0</v>
      </c>
      <c r="CN158" s="491">
        <f>IF($E151="LCY",CN157*'Model Assumptions'!$N$135,Financing!CN157*Flags!CN$30)</f>
        <v>0</v>
      </c>
      <c r="CO158" s="491">
        <f>IF($E151="LCY",CO157*'Model Assumptions'!$N$135,Financing!CO157*Flags!CO$30)</f>
        <v>0</v>
      </c>
      <c r="CP158" s="491">
        <f>IF($E151="LCY",CP157*'Model Assumptions'!$N$135,Financing!CP157*Flags!CP$30)</f>
        <v>0</v>
      </c>
      <c r="CQ158" s="491">
        <f>IF($E151="LCY",CQ157*'Model Assumptions'!$N$135,Financing!CQ157*Flags!CQ$30)</f>
        <v>0</v>
      </c>
      <c r="CR158" s="491">
        <f>IF($E151="LCY",CR157*'Model Assumptions'!$N$135,Financing!CR157*Flags!CR$30)</f>
        <v>0</v>
      </c>
      <c r="CS158" s="491">
        <f>IF($E151="LCY",CS157*'Model Assumptions'!$N$135,Financing!CS157*Flags!CS$30)</f>
        <v>0</v>
      </c>
      <c r="CT158" s="491">
        <f>IF($E151="LCY",CT157*'Model Assumptions'!$N$135,Financing!CT157*Flags!CT$30)</f>
        <v>0</v>
      </c>
      <c r="CU158" s="491">
        <f>IF($E151="LCY",CU157*'Model Assumptions'!$N$135,Financing!CU157*Flags!CU$30)</f>
        <v>0</v>
      </c>
      <c r="CV158" s="491">
        <f>IF($E151="LCY",CV157*'Model Assumptions'!$N$135,Financing!CV157*Flags!CV$30)</f>
        <v>0</v>
      </c>
      <c r="CW158" s="491">
        <f>IF($E151="LCY",CW157*'Model Assumptions'!$N$135,Financing!CW157*Flags!CW$30)</f>
        <v>0</v>
      </c>
      <c r="CX158" s="491">
        <f>IF($E151="LCY",CX157*'Model Assumptions'!$N$135,Financing!CX157*Flags!CX$30)</f>
        <v>0</v>
      </c>
      <c r="CY158" s="491">
        <f>IF($E151="LCY",CY157*'Model Assumptions'!$N$135,Financing!CY157*Flags!CY$30)</f>
        <v>0</v>
      </c>
      <c r="CZ158" s="491">
        <f>IF($E151="LCY",CZ157*'Model Assumptions'!$N$135,Financing!CZ157*Flags!CZ$30)</f>
        <v>0</v>
      </c>
      <c r="DA158" s="491">
        <f>IF($E151="LCY",DA157*'Model Assumptions'!$N$135,Financing!DA157*Flags!DA$30)</f>
        <v>0</v>
      </c>
      <c r="DB158" s="491">
        <f>IF($E151="LCY",DB157*'Model Assumptions'!$N$135,Financing!DB157*Flags!DB$30)</f>
        <v>0</v>
      </c>
      <c r="DC158" s="491">
        <f>IF($E151="LCY",DC157*'Model Assumptions'!$N$135,Financing!DC157*Flags!DC$30)</f>
        <v>0</v>
      </c>
      <c r="DD158" s="491">
        <f>IF($E151="LCY",DD157*'Model Assumptions'!$N$135,Financing!DD157*Flags!DD$30)</f>
        <v>0</v>
      </c>
      <c r="DE158" s="491">
        <f>IF($E151="LCY",DE157*'Model Assumptions'!$N$135,Financing!DE157*Flags!DE$30)</f>
        <v>0</v>
      </c>
      <c r="DF158" s="491">
        <f>IF($E151="LCY",DF157*'Model Assumptions'!$N$135,Financing!DF157*Flags!DF$30)</f>
        <v>0</v>
      </c>
      <c r="DG158" s="491">
        <f>IF($E151="LCY",DG157*'Model Assumptions'!$N$135,Financing!DG157*Flags!DG$30)</f>
        <v>0</v>
      </c>
      <c r="DH158" s="491">
        <f>IF($E151="LCY",DH157*'Model Assumptions'!$N$135,Financing!DH157*Flags!DH$30)</f>
        <v>0</v>
      </c>
      <c r="DI158" s="491">
        <f>IF($E151="LCY",DI157*'Model Assumptions'!$N$135,Financing!DI157*Flags!DI$30)</f>
        <v>0</v>
      </c>
      <c r="DJ158" s="491">
        <f>IF($E151="LCY",DJ157*'Model Assumptions'!$N$135,Financing!DJ157*Flags!DJ$30)</f>
        <v>0</v>
      </c>
      <c r="DK158" s="491">
        <f>IF($E151="LCY",DK157*'Model Assumptions'!$N$135,Financing!DK157*Flags!DK$30)</f>
        <v>0</v>
      </c>
      <c r="DL158" s="491">
        <f>IF($E151="LCY",DL157*'Model Assumptions'!$N$135,Financing!DL157*Flags!DL$30)</f>
        <v>0</v>
      </c>
      <c r="DM158" s="491">
        <f>IF($E151="LCY",DM157*'Model Assumptions'!$N$135,Financing!DM157*Flags!DM$30)</f>
        <v>0</v>
      </c>
      <c r="DN158" s="491">
        <f>IF($E151="LCY",DN157*'Model Assumptions'!$N$135,Financing!DN157*Flags!DN$30)</f>
        <v>0</v>
      </c>
      <c r="DO158" s="491">
        <f>IF($E151="LCY",DO157*'Model Assumptions'!$N$135,Financing!DO157*Flags!DO$30)</f>
        <v>0</v>
      </c>
      <c r="DP158" s="491">
        <f>IF($E151="LCY",DP157*'Model Assumptions'!$N$135,Financing!DP157*Flags!DP$30)</f>
        <v>0</v>
      </c>
      <c r="DQ158" s="491">
        <f>IF($E151="LCY",DQ157*'Model Assumptions'!$N$135,Financing!DQ157*Flags!DQ$30)</f>
        <v>0</v>
      </c>
      <c r="DR158" s="491">
        <f>IF($E151="LCY",DR157*'Model Assumptions'!$N$135,Financing!DR157*Flags!DR$30)</f>
        <v>0</v>
      </c>
      <c r="DS158" s="491">
        <f>IF($E151="LCY",DS157*'Model Assumptions'!$N$135,Financing!DS157*Flags!DS$30)</f>
        <v>0</v>
      </c>
      <c r="DT158" s="491">
        <f>IF($E151="LCY",DT157*'Model Assumptions'!$N$135,Financing!DT157*Flags!DT$30)</f>
        <v>0</v>
      </c>
      <c r="DU158" s="491">
        <f>IF($E151="LCY",DU157*'Model Assumptions'!$N$135,Financing!DU157*Flags!DU$30)</f>
        <v>0</v>
      </c>
      <c r="DV158" s="491">
        <f>IF($E151="LCY",DV157*'Model Assumptions'!$N$135,Financing!DV157*Flags!DV$30)</f>
        <v>0</v>
      </c>
      <c r="DW158" s="491">
        <f>IF($E151="LCY",DW157*'Model Assumptions'!$N$135,Financing!DW157*Flags!DW$30)</f>
        <v>0</v>
      </c>
      <c r="DX158" s="491">
        <f>IF($E151="LCY",DX157*'Model Assumptions'!$N$135,Financing!DX157*Flags!DX$30)</f>
        <v>0</v>
      </c>
      <c r="DY158" s="491">
        <f>IF($E151="LCY",DY157*'Model Assumptions'!$N$135,Financing!DY157*Flags!DY$30)</f>
        <v>0</v>
      </c>
    </row>
    <row r="159" spans="2:129">
      <c r="B159" s="43"/>
      <c r="C159" s="43" t="s">
        <v>396</v>
      </c>
      <c r="D159" s="43"/>
      <c r="E159" s="485">
        <f>+'Model Assumptions'!N141</f>
        <v>0</v>
      </c>
      <c r="F159" s="131"/>
      <c r="G159" s="131"/>
      <c r="H159" s="131"/>
      <c r="I159" s="43"/>
      <c r="J159" s="251">
        <f>(SUM(J152:$J152)-SUM(J157:$J157))*$E159/12</f>
        <v>0</v>
      </c>
      <c r="K159" s="251">
        <f>(SUM($J152:K152)-SUM($J157:K157))*$E159/12</f>
        <v>0</v>
      </c>
      <c r="L159" s="251">
        <f>(SUM($J152:L152)-SUM($J157:L157))*$E159/12</f>
        <v>0</v>
      </c>
      <c r="M159" s="251">
        <f>(SUM($J152:M152)-SUM($J157:M157))*$E159/12</f>
        <v>0</v>
      </c>
      <c r="N159" s="251">
        <f>(SUM($J152:N152)-SUM($J157:N157))*$E159/12</f>
        <v>0</v>
      </c>
      <c r="O159" s="251">
        <f>(SUM($J152:O152)-SUM($J157:O157))*$E159/12</f>
        <v>0</v>
      </c>
      <c r="P159" s="251">
        <f>(SUM($J152:P152)-SUM($J157:P157))*$E159/12</f>
        <v>0</v>
      </c>
      <c r="Q159" s="251">
        <f>(SUM($J152:Q152)-SUM($J157:Q157))*$E159/12</f>
        <v>0</v>
      </c>
      <c r="R159" s="251">
        <f>(SUM($J152:R152)-SUM($J157:R157))*$E159/12</f>
        <v>0</v>
      </c>
      <c r="S159" s="251">
        <f>(SUM($J152:S152)-SUM($J157:S157))*$E159/12</f>
        <v>0</v>
      </c>
      <c r="T159" s="251">
        <f>(SUM($J152:T152)-SUM($J157:T157))*$E159/12</f>
        <v>0</v>
      </c>
      <c r="U159" s="251">
        <f>(SUM($J152:U152)-SUM($J157:U157))*$E159/12</f>
        <v>0</v>
      </c>
      <c r="V159" s="251">
        <f>(SUM($J152:V152)-SUM($J157:V157))*$E159/12</f>
        <v>0</v>
      </c>
      <c r="W159" s="251">
        <f>(SUM($J152:W152)-SUM($J157:W157))*$E159/12</f>
        <v>0</v>
      </c>
      <c r="X159" s="251">
        <f>(SUM($J152:X152)-SUM($J157:X157))*$E159/12</f>
        <v>0</v>
      </c>
      <c r="Y159" s="251">
        <f>(SUM($J152:Y152)-SUM($J157:Y157))*$E159/12</f>
        <v>0</v>
      </c>
      <c r="Z159" s="251">
        <f>(SUM($J152:Z152)-SUM($J157:Z157))*$E159/12</f>
        <v>0</v>
      </c>
      <c r="AA159" s="251">
        <f>(SUM($J152:AA152)-SUM($J157:AA157))*$E159/12</f>
        <v>0</v>
      </c>
      <c r="AB159" s="251">
        <f>(SUM($J152:AB152)-SUM($J157:AB157))*$E159/12</f>
        <v>0</v>
      </c>
      <c r="AC159" s="251">
        <f>(SUM($J152:AC152)-SUM($J157:AC157))*$E159/12</f>
        <v>0</v>
      </c>
      <c r="AD159" s="251">
        <f>(SUM($J152:AD152)-SUM($J157:AD157))*$E159/12</f>
        <v>0</v>
      </c>
      <c r="AE159" s="251">
        <f>(SUM($J152:AE152)-SUM($J157:AE157))*$E159/12</f>
        <v>0</v>
      </c>
      <c r="AF159" s="251">
        <f>(SUM($J152:AF152)-SUM($J157:AF157))*$E159/12</f>
        <v>0</v>
      </c>
      <c r="AG159" s="251">
        <f>(SUM($J152:AG152)-SUM($J157:AG157))*$E159/12</f>
        <v>0</v>
      </c>
      <c r="AH159" s="251">
        <f>(SUM($J152:AH152)-SUM($J157:AH157))*$E159/12</f>
        <v>0</v>
      </c>
      <c r="AI159" s="251">
        <f>(SUM($J152:AI152)-SUM($J157:AI157))*$E159/12</f>
        <v>0</v>
      </c>
      <c r="AJ159" s="251">
        <f>(SUM($J152:AJ152)-SUM($J157:AJ157))*$E159/12</f>
        <v>0</v>
      </c>
      <c r="AK159" s="251">
        <f>(SUM($J152:AK152)-SUM($J157:AK157))*$E159/12</f>
        <v>0</v>
      </c>
      <c r="AL159" s="251">
        <f>(SUM($J152:AL152)-SUM($J157:AL157))*$E159/12</f>
        <v>0</v>
      </c>
      <c r="AM159" s="251">
        <f>(SUM($J152:AM152)-SUM($J157:AM157))*$E159/12</f>
        <v>0</v>
      </c>
      <c r="AN159" s="251">
        <f>(SUM($J152:AN152)-SUM($J157:AN157))*$E159/12</f>
        <v>0</v>
      </c>
      <c r="AO159" s="251">
        <f>(SUM($J152:AO152)-SUM($J157:AO157))*$E159/12</f>
        <v>0</v>
      </c>
      <c r="AP159" s="251">
        <f>(SUM($J152:AP152)-SUM($J157:AP157))*$E159/12</f>
        <v>0</v>
      </c>
      <c r="AQ159" s="251">
        <f>(SUM($J152:AQ152)-SUM($J157:AQ157))*$E159/12</f>
        <v>0</v>
      </c>
      <c r="AR159" s="251">
        <f>(SUM($J152:AR152)-SUM($J157:AR157))*$E159/12</f>
        <v>0</v>
      </c>
      <c r="AS159" s="251">
        <f>(SUM($J152:AS152)-SUM($J157:AS157))*$E159/12</f>
        <v>0</v>
      </c>
      <c r="AT159" s="251">
        <f>(SUM($J152:AT152)-SUM($J157:AT157))*$E159/12</f>
        <v>0</v>
      </c>
      <c r="AU159" s="251">
        <f>(SUM($J152:AU152)-SUM($J157:AU157))*$E159/12</f>
        <v>0</v>
      </c>
      <c r="AV159" s="251">
        <f>(SUM($J152:AV152)-SUM($J157:AV157))*$E159/12</f>
        <v>0</v>
      </c>
      <c r="AW159" s="251">
        <f>(SUM($J152:AW152)-SUM($J157:AW157))*$E159/12</f>
        <v>0</v>
      </c>
      <c r="AX159" s="251">
        <f>(SUM($J152:AX152)-SUM($J157:AX157))*$E159/12</f>
        <v>0</v>
      </c>
      <c r="AY159" s="251">
        <f>(SUM($J152:AY152)-SUM($J157:AY157))*$E159/12</f>
        <v>0</v>
      </c>
      <c r="AZ159" s="251">
        <f>(SUM($J152:AZ152)-SUM($J157:AZ157))*$E159/12</f>
        <v>0</v>
      </c>
      <c r="BA159" s="251">
        <f>(SUM($J152:BA152)-SUM($J157:BA157))*$E159/12</f>
        <v>0</v>
      </c>
      <c r="BB159" s="251">
        <f>(SUM($J152:BB152)-SUM($J157:BB157))*$E159/12</f>
        <v>0</v>
      </c>
      <c r="BC159" s="251">
        <f>(SUM($J152:BC152)-SUM($J157:BC157))*$E159/12</f>
        <v>0</v>
      </c>
      <c r="BD159" s="251">
        <f>(SUM($J152:BD152)-SUM($J157:BD157))*$E159/12</f>
        <v>0</v>
      </c>
      <c r="BE159" s="251">
        <f>(SUM($J152:BE152)-SUM($J157:BE157))*$E159/12</f>
        <v>0</v>
      </c>
      <c r="BF159" s="251">
        <f>(SUM($J152:BF152)-SUM($J157:BF157))*$E159/12</f>
        <v>0</v>
      </c>
      <c r="BG159" s="251">
        <f>(SUM($J152:BG152)-SUM($J157:BG157))*$E159/12</f>
        <v>0</v>
      </c>
      <c r="BH159" s="251">
        <f>(SUM($J152:BH152)-SUM($J157:BH157))*$E159/12</f>
        <v>0</v>
      </c>
      <c r="BI159" s="251">
        <f>(SUM($J152:BI152)-SUM($J157:BI157))*$E159/12</f>
        <v>0</v>
      </c>
      <c r="BJ159" s="251">
        <f>(SUM($J152:BJ152)-SUM($J157:BJ157))*$E159/12</f>
        <v>0</v>
      </c>
      <c r="BK159" s="251">
        <f>(SUM($J152:BK152)-SUM($J157:BK157))*$E159/12</f>
        <v>0</v>
      </c>
      <c r="BL159" s="251">
        <f>(SUM($J152:BL152)-SUM($J157:BL157))*$E159/12</f>
        <v>0</v>
      </c>
      <c r="BM159" s="251">
        <f>(SUM($J152:BM152)-SUM($J157:BM157))*$E159/12</f>
        <v>0</v>
      </c>
      <c r="BN159" s="251">
        <f>(SUM($J152:BN152)-SUM($J157:BN157))*$E159/12</f>
        <v>0</v>
      </c>
      <c r="BO159" s="251">
        <f>(SUM($J152:BO152)-SUM($J157:BO157))*$E159/12</f>
        <v>0</v>
      </c>
      <c r="BP159" s="251">
        <f>(SUM($J152:BP152)-SUM($J157:BP157))*$E159/12</f>
        <v>0</v>
      </c>
      <c r="BQ159" s="251">
        <f>(SUM($J152:BQ152)-SUM($J157:BQ157))*$E159/12</f>
        <v>0</v>
      </c>
      <c r="BR159" s="251">
        <f>(SUM($J152:BR152)-SUM($J157:BR157))*$E159/12</f>
        <v>0</v>
      </c>
      <c r="BS159" s="251">
        <f>(SUM($J152:BS152)-SUM($J157:BS157))*$E159/12</f>
        <v>0</v>
      </c>
      <c r="BT159" s="251">
        <f>(SUM($J152:BT152)-SUM($J157:BT157))*$E159/12</f>
        <v>0</v>
      </c>
      <c r="BU159" s="251">
        <f>(SUM($J152:BU152)-SUM($J157:BU157))*$E159/12</f>
        <v>0</v>
      </c>
      <c r="BV159" s="251">
        <f>(SUM($J152:BV152)-SUM($J157:BV157))*$E159/12</f>
        <v>0</v>
      </c>
      <c r="BW159" s="251">
        <f>(SUM($J152:BW152)-SUM($J157:BW157))*$E159/12</f>
        <v>0</v>
      </c>
      <c r="BX159" s="251">
        <f>(SUM($J152:BX152)-SUM($J157:BX157))*$E159/12</f>
        <v>0</v>
      </c>
      <c r="BY159" s="251">
        <f>(SUM($J152:BY152)-SUM($J157:BY157))*$E159/12</f>
        <v>0</v>
      </c>
      <c r="BZ159" s="251">
        <f>(SUM($J152:BZ152)-SUM($J157:BZ157))*$E159/12</f>
        <v>0</v>
      </c>
      <c r="CA159" s="251">
        <f>(SUM($J152:CA152)-SUM($J157:CA157))*$E159/12</f>
        <v>0</v>
      </c>
      <c r="CB159" s="251">
        <f>(SUM($J152:CB152)-SUM($J157:CB157))*$E159/12</f>
        <v>0</v>
      </c>
      <c r="CC159" s="251">
        <f>(SUM($J152:CC152)-SUM($J157:CC157))*$E159/12</f>
        <v>0</v>
      </c>
      <c r="CD159" s="251">
        <f>(SUM($J152:CD152)-SUM($J157:CD157))*$E159/12</f>
        <v>0</v>
      </c>
      <c r="CE159" s="251">
        <f>(SUM($J152:CE152)-SUM($J157:CE157))*$E159/12</f>
        <v>0</v>
      </c>
      <c r="CF159" s="251">
        <f>(SUM($J152:CF152)-SUM($J157:CF157))*$E159/12</f>
        <v>0</v>
      </c>
      <c r="CG159" s="251">
        <f>(SUM($J152:CG152)-SUM($J157:CG157))*$E159/12</f>
        <v>0</v>
      </c>
      <c r="CH159" s="251">
        <f>(SUM($J152:CH152)-SUM($J157:CH157))*$E159/12</f>
        <v>0</v>
      </c>
      <c r="CI159" s="251">
        <f>(SUM($J152:CI152)-SUM($J157:CI157))*$E159/12</f>
        <v>0</v>
      </c>
      <c r="CJ159" s="251">
        <f>(SUM($J152:CJ152)-SUM($J157:CJ157))*$E159/12</f>
        <v>0</v>
      </c>
      <c r="CK159" s="251">
        <f>(SUM($J152:CK152)-SUM($J157:CK157))*$E159/12</f>
        <v>0</v>
      </c>
      <c r="CL159" s="251">
        <f>(SUM($J152:CL152)-SUM($J157:CL157))*$E159/12</f>
        <v>0</v>
      </c>
      <c r="CM159" s="251">
        <f>(SUM($J152:CM152)-SUM($J157:CM157))*$E159/12</f>
        <v>0</v>
      </c>
      <c r="CN159" s="251">
        <f>(SUM($J152:CN152)-SUM($J157:CN157))*$E159/12</f>
        <v>0</v>
      </c>
      <c r="CO159" s="251">
        <f>(SUM($J152:CO152)-SUM($J157:CO157))*$E159/12</f>
        <v>0</v>
      </c>
      <c r="CP159" s="251">
        <f>(SUM($J152:CP152)-SUM($J157:CP157))*$E159/12</f>
        <v>0</v>
      </c>
      <c r="CQ159" s="251">
        <f>(SUM($J152:CQ152)-SUM($J157:CQ157))*$E159/12</f>
        <v>0</v>
      </c>
      <c r="CR159" s="251">
        <f>(SUM($J152:CR152)-SUM($J157:CR157))*$E159/12</f>
        <v>0</v>
      </c>
      <c r="CS159" s="251">
        <f>(SUM($J152:CS152)-SUM($J157:CS157))*$E159/12</f>
        <v>0</v>
      </c>
      <c r="CT159" s="251">
        <f>(SUM($J152:CT152)-SUM($J157:CT157))*$E159/12</f>
        <v>0</v>
      </c>
      <c r="CU159" s="251">
        <f>(SUM($J152:CU152)-SUM($J157:CU157))*$E159/12</f>
        <v>0</v>
      </c>
      <c r="CV159" s="251">
        <f>(SUM($J152:CV152)-SUM($J157:CV157))*$E159/12</f>
        <v>0</v>
      </c>
      <c r="CW159" s="251">
        <f>(SUM($J152:CW152)-SUM($J157:CW157))*$E159/12</f>
        <v>0</v>
      </c>
      <c r="CX159" s="251">
        <f>(SUM($J152:CX152)-SUM($J157:CX157))*$E159/12</f>
        <v>0</v>
      </c>
      <c r="CY159" s="251">
        <f>(SUM($J152:CY152)-SUM($J157:CY157))*$E159/12</f>
        <v>0</v>
      </c>
      <c r="CZ159" s="251">
        <f>(SUM($J152:CZ152)-SUM($J157:CZ157))*$E159/12</f>
        <v>0</v>
      </c>
      <c r="DA159" s="251">
        <f>(SUM($J152:DA152)-SUM($J157:DA157))*$E159/12</f>
        <v>0</v>
      </c>
      <c r="DB159" s="251">
        <f>(SUM($J152:DB152)-SUM($J157:DB157))*$E159/12</f>
        <v>0</v>
      </c>
      <c r="DC159" s="251">
        <f>(SUM($J152:DC152)-SUM($J157:DC157))*$E159/12</f>
        <v>0</v>
      </c>
      <c r="DD159" s="251">
        <f>(SUM($J152:DD152)-SUM($J157:DD157))*$E159/12</f>
        <v>0</v>
      </c>
      <c r="DE159" s="251">
        <f>(SUM($J152:DE152)-SUM($J157:DE157))*$E159/12</f>
        <v>0</v>
      </c>
      <c r="DF159" s="251">
        <f>(SUM($J152:DF152)-SUM($J157:DF157))*$E159/12</f>
        <v>0</v>
      </c>
      <c r="DG159" s="251">
        <f>(SUM($J152:DG152)-SUM($J157:DG157))*$E159/12</f>
        <v>0</v>
      </c>
      <c r="DH159" s="251">
        <f>(SUM($J152:DH152)-SUM($J157:DH157))*$E159/12</f>
        <v>0</v>
      </c>
      <c r="DI159" s="251">
        <f>(SUM($J152:DI152)-SUM($J157:DI157))*$E159/12</f>
        <v>0</v>
      </c>
      <c r="DJ159" s="251">
        <f>(SUM($J152:DJ152)-SUM($J157:DJ157))*$E159/12</f>
        <v>0</v>
      </c>
      <c r="DK159" s="251">
        <f>(SUM($J152:DK152)-SUM($J157:DK157))*$E159/12</f>
        <v>0</v>
      </c>
      <c r="DL159" s="251">
        <f>(SUM($J152:DL152)-SUM($J157:DL157))*$E159/12</f>
        <v>0</v>
      </c>
      <c r="DM159" s="251">
        <f>(SUM($J152:DM152)-SUM($J157:DM157))*$E159/12</f>
        <v>0</v>
      </c>
      <c r="DN159" s="251">
        <f>(SUM($J152:DN152)-SUM($J157:DN157))*$E159/12</f>
        <v>0</v>
      </c>
      <c r="DO159" s="251">
        <f>(SUM($J152:DO152)-SUM($J157:DO157))*$E159/12</f>
        <v>0</v>
      </c>
      <c r="DP159" s="251">
        <f>(SUM($J152:DP152)-SUM($J157:DP157))*$E159/12</f>
        <v>0</v>
      </c>
      <c r="DQ159" s="251">
        <f>(SUM($J152:DQ152)-SUM($J157:DQ157))*$E159/12</f>
        <v>0</v>
      </c>
      <c r="DR159" s="251">
        <f>(SUM($J152:DR152)-SUM($J157:DR157))*$E159/12</f>
        <v>0</v>
      </c>
      <c r="DS159" s="251">
        <f>(SUM($J152:DS152)-SUM($J157:DS157))*$E159/12</f>
        <v>0</v>
      </c>
      <c r="DT159" s="251">
        <f>(SUM($J152:DT152)-SUM($J157:DT157))*$E159/12</f>
        <v>0</v>
      </c>
      <c r="DU159" s="251">
        <f>(SUM($J152:DU152)-SUM($J157:DU157))*$E159/12</f>
        <v>0</v>
      </c>
      <c r="DV159" s="251">
        <f>(SUM($J152:DV152)-SUM($J157:DV157))*$E159/12</f>
        <v>0</v>
      </c>
      <c r="DW159" s="251">
        <f>(SUM($J152:DW152)-SUM($J157:DW157))*$E159/12</f>
        <v>0</v>
      </c>
      <c r="DX159" s="251">
        <f>(SUM($J152:DX152)-SUM($J157:DX157))*$E159/12</f>
        <v>0</v>
      </c>
      <c r="DY159" s="251">
        <f>(SUM($J152:DY152)-SUM($J157:DY157))*$E159/12</f>
        <v>0</v>
      </c>
    </row>
    <row r="160" spans="2:129">
      <c r="B160" s="43"/>
      <c r="C160" s="43" t="s">
        <v>390</v>
      </c>
      <c r="D160" s="43"/>
      <c r="E160" s="526"/>
      <c r="F160" s="131"/>
      <c r="G160" s="131"/>
      <c r="H160" s="131"/>
      <c r="I160" s="43"/>
      <c r="J160" s="491">
        <f>J154*$E159/12</f>
        <v>0</v>
      </c>
      <c r="K160" s="491">
        <f t="shared" ref="K160:BV160" si="139">K154*$E159/12</f>
        <v>0</v>
      </c>
      <c r="L160" s="491">
        <f t="shared" si="139"/>
        <v>0</v>
      </c>
      <c r="M160" s="491">
        <f t="shared" si="139"/>
        <v>0</v>
      </c>
      <c r="N160" s="491">
        <f t="shared" si="139"/>
        <v>0</v>
      </c>
      <c r="O160" s="491">
        <f t="shared" si="139"/>
        <v>0</v>
      </c>
      <c r="P160" s="491">
        <f t="shared" si="139"/>
        <v>0</v>
      </c>
      <c r="Q160" s="491">
        <f t="shared" si="139"/>
        <v>0</v>
      </c>
      <c r="R160" s="491">
        <f t="shared" si="139"/>
        <v>0</v>
      </c>
      <c r="S160" s="491">
        <f t="shared" si="139"/>
        <v>0</v>
      </c>
      <c r="T160" s="491">
        <f t="shared" si="139"/>
        <v>0</v>
      </c>
      <c r="U160" s="491">
        <f t="shared" si="139"/>
        <v>0</v>
      </c>
      <c r="V160" s="491">
        <f t="shared" si="139"/>
        <v>0</v>
      </c>
      <c r="W160" s="491">
        <f t="shared" si="139"/>
        <v>0</v>
      </c>
      <c r="X160" s="491">
        <f t="shared" si="139"/>
        <v>0</v>
      </c>
      <c r="Y160" s="491">
        <f t="shared" si="139"/>
        <v>0</v>
      </c>
      <c r="Z160" s="491">
        <f t="shared" si="139"/>
        <v>0</v>
      </c>
      <c r="AA160" s="491">
        <f t="shared" si="139"/>
        <v>0</v>
      </c>
      <c r="AB160" s="491">
        <f t="shared" si="139"/>
        <v>0</v>
      </c>
      <c r="AC160" s="491">
        <f t="shared" si="139"/>
        <v>0</v>
      </c>
      <c r="AD160" s="491">
        <f t="shared" si="139"/>
        <v>0</v>
      </c>
      <c r="AE160" s="491">
        <f t="shared" si="139"/>
        <v>0</v>
      </c>
      <c r="AF160" s="491">
        <f t="shared" si="139"/>
        <v>0</v>
      </c>
      <c r="AG160" s="491">
        <f t="shared" si="139"/>
        <v>0</v>
      </c>
      <c r="AH160" s="491">
        <f t="shared" si="139"/>
        <v>0</v>
      </c>
      <c r="AI160" s="491">
        <f t="shared" si="139"/>
        <v>0</v>
      </c>
      <c r="AJ160" s="491">
        <f t="shared" si="139"/>
        <v>0</v>
      </c>
      <c r="AK160" s="491">
        <f t="shared" si="139"/>
        <v>0</v>
      </c>
      <c r="AL160" s="491">
        <f t="shared" si="139"/>
        <v>0</v>
      </c>
      <c r="AM160" s="491">
        <f t="shared" si="139"/>
        <v>0</v>
      </c>
      <c r="AN160" s="491">
        <f t="shared" si="139"/>
        <v>0</v>
      </c>
      <c r="AO160" s="491">
        <f t="shared" si="139"/>
        <v>0</v>
      </c>
      <c r="AP160" s="491">
        <f t="shared" si="139"/>
        <v>0</v>
      </c>
      <c r="AQ160" s="491">
        <f t="shared" si="139"/>
        <v>0</v>
      </c>
      <c r="AR160" s="491">
        <f t="shared" si="139"/>
        <v>0</v>
      </c>
      <c r="AS160" s="491">
        <f t="shared" si="139"/>
        <v>0</v>
      </c>
      <c r="AT160" s="491">
        <f t="shared" si="139"/>
        <v>0</v>
      </c>
      <c r="AU160" s="491">
        <f t="shared" si="139"/>
        <v>0</v>
      </c>
      <c r="AV160" s="491">
        <f t="shared" si="139"/>
        <v>0</v>
      </c>
      <c r="AW160" s="491">
        <f t="shared" si="139"/>
        <v>0</v>
      </c>
      <c r="AX160" s="491">
        <f t="shared" si="139"/>
        <v>0</v>
      </c>
      <c r="AY160" s="491">
        <f t="shared" si="139"/>
        <v>0</v>
      </c>
      <c r="AZ160" s="491">
        <f t="shared" si="139"/>
        <v>0</v>
      </c>
      <c r="BA160" s="491">
        <f t="shared" si="139"/>
        <v>0</v>
      </c>
      <c r="BB160" s="491">
        <f t="shared" si="139"/>
        <v>0</v>
      </c>
      <c r="BC160" s="491">
        <f t="shared" si="139"/>
        <v>0</v>
      </c>
      <c r="BD160" s="491">
        <f t="shared" si="139"/>
        <v>0</v>
      </c>
      <c r="BE160" s="491">
        <f t="shared" si="139"/>
        <v>0</v>
      </c>
      <c r="BF160" s="491">
        <f t="shared" si="139"/>
        <v>0</v>
      </c>
      <c r="BG160" s="491">
        <f t="shared" si="139"/>
        <v>0</v>
      </c>
      <c r="BH160" s="491">
        <f t="shared" si="139"/>
        <v>0</v>
      </c>
      <c r="BI160" s="491">
        <f t="shared" si="139"/>
        <v>0</v>
      </c>
      <c r="BJ160" s="491">
        <f t="shared" si="139"/>
        <v>0</v>
      </c>
      <c r="BK160" s="491">
        <f t="shared" si="139"/>
        <v>0</v>
      </c>
      <c r="BL160" s="491">
        <f t="shared" si="139"/>
        <v>0</v>
      </c>
      <c r="BM160" s="491">
        <f t="shared" si="139"/>
        <v>0</v>
      </c>
      <c r="BN160" s="491">
        <f t="shared" si="139"/>
        <v>0</v>
      </c>
      <c r="BO160" s="491">
        <f t="shared" si="139"/>
        <v>0</v>
      </c>
      <c r="BP160" s="491">
        <f t="shared" si="139"/>
        <v>0</v>
      </c>
      <c r="BQ160" s="491">
        <f t="shared" si="139"/>
        <v>0</v>
      </c>
      <c r="BR160" s="491">
        <f t="shared" si="139"/>
        <v>0</v>
      </c>
      <c r="BS160" s="491">
        <f t="shared" si="139"/>
        <v>0</v>
      </c>
      <c r="BT160" s="491">
        <f t="shared" si="139"/>
        <v>0</v>
      </c>
      <c r="BU160" s="491">
        <f t="shared" si="139"/>
        <v>0</v>
      </c>
      <c r="BV160" s="491">
        <f t="shared" si="139"/>
        <v>0</v>
      </c>
      <c r="BW160" s="491">
        <f t="shared" ref="BW160:CC160" si="140">BW154*$E159/12</f>
        <v>0</v>
      </c>
      <c r="BX160" s="491">
        <f t="shared" si="140"/>
        <v>0</v>
      </c>
      <c r="BY160" s="491">
        <f t="shared" si="140"/>
        <v>0</v>
      </c>
      <c r="BZ160" s="491">
        <f t="shared" si="140"/>
        <v>0</v>
      </c>
      <c r="CA160" s="491">
        <f t="shared" si="140"/>
        <v>0</v>
      </c>
      <c r="CB160" s="491">
        <f t="shared" si="140"/>
        <v>0</v>
      </c>
      <c r="CC160" s="491">
        <f t="shared" si="140"/>
        <v>0</v>
      </c>
      <c r="CD160" s="491">
        <f t="shared" ref="CD160:DY160" si="141">CD154*$E159/12</f>
        <v>0</v>
      </c>
      <c r="CE160" s="491">
        <f t="shared" si="141"/>
        <v>0</v>
      </c>
      <c r="CF160" s="491">
        <f t="shared" si="141"/>
        <v>0</v>
      </c>
      <c r="CG160" s="491">
        <f t="shared" si="141"/>
        <v>0</v>
      </c>
      <c r="CH160" s="491">
        <f t="shared" si="141"/>
        <v>0</v>
      </c>
      <c r="CI160" s="491">
        <f t="shared" si="141"/>
        <v>0</v>
      </c>
      <c r="CJ160" s="491">
        <f t="shared" si="141"/>
        <v>0</v>
      </c>
      <c r="CK160" s="491">
        <f t="shared" si="141"/>
        <v>0</v>
      </c>
      <c r="CL160" s="491">
        <f t="shared" si="141"/>
        <v>0</v>
      </c>
      <c r="CM160" s="491">
        <f t="shared" si="141"/>
        <v>0</v>
      </c>
      <c r="CN160" s="491">
        <f t="shared" si="141"/>
        <v>0</v>
      </c>
      <c r="CO160" s="491">
        <f t="shared" si="141"/>
        <v>0</v>
      </c>
      <c r="CP160" s="491">
        <f t="shared" si="141"/>
        <v>0</v>
      </c>
      <c r="CQ160" s="491">
        <f t="shared" si="141"/>
        <v>0</v>
      </c>
      <c r="CR160" s="491">
        <f t="shared" si="141"/>
        <v>0</v>
      </c>
      <c r="CS160" s="491">
        <f t="shared" si="141"/>
        <v>0</v>
      </c>
      <c r="CT160" s="491">
        <f t="shared" si="141"/>
        <v>0</v>
      </c>
      <c r="CU160" s="491">
        <f t="shared" si="141"/>
        <v>0</v>
      </c>
      <c r="CV160" s="491">
        <f t="shared" si="141"/>
        <v>0</v>
      </c>
      <c r="CW160" s="491">
        <f t="shared" si="141"/>
        <v>0</v>
      </c>
      <c r="CX160" s="491">
        <f t="shared" si="141"/>
        <v>0</v>
      </c>
      <c r="CY160" s="491">
        <f t="shared" si="141"/>
        <v>0</v>
      </c>
      <c r="CZ160" s="491">
        <f t="shared" si="141"/>
        <v>0</v>
      </c>
      <c r="DA160" s="491">
        <f t="shared" si="141"/>
        <v>0</v>
      </c>
      <c r="DB160" s="491">
        <f t="shared" si="141"/>
        <v>0</v>
      </c>
      <c r="DC160" s="491">
        <f t="shared" si="141"/>
        <v>0</v>
      </c>
      <c r="DD160" s="491">
        <f t="shared" si="141"/>
        <v>0</v>
      </c>
      <c r="DE160" s="491">
        <f t="shared" si="141"/>
        <v>0</v>
      </c>
      <c r="DF160" s="491">
        <f t="shared" si="141"/>
        <v>0</v>
      </c>
      <c r="DG160" s="491">
        <f t="shared" si="141"/>
        <v>0</v>
      </c>
      <c r="DH160" s="491">
        <f t="shared" si="141"/>
        <v>0</v>
      </c>
      <c r="DI160" s="491">
        <f t="shared" si="141"/>
        <v>0</v>
      </c>
      <c r="DJ160" s="491">
        <f t="shared" si="141"/>
        <v>0</v>
      </c>
      <c r="DK160" s="491">
        <f t="shared" si="141"/>
        <v>0</v>
      </c>
      <c r="DL160" s="491">
        <f t="shared" si="141"/>
        <v>0</v>
      </c>
      <c r="DM160" s="491">
        <f t="shared" si="141"/>
        <v>0</v>
      </c>
      <c r="DN160" s="491">
        <f t="shared" si="141"/>
        <v>0</v>
      </c>
      <c r="DO160" s="491">
        <f t="shared" si="141"/>
        <v>0</v>
      </c>
      <c r="DP160" s="491">
        <f t="shared" si="141"/>
        <v>0</v>
      </c>
      <c r="DQ160" s="491">
        <f t="shared" si="141"/>
        <v>0</v>
      </c>
      <c r="DR160" s="491">
        <f t="shared" si="141"/>
        <v>0</v>
      </c>
      <c r="DS160" s="491">
        <f t="shared" si="141"/>
        <v>0</v>
      </c>
      <c r="DT160" s="491">
        <f t="shared" si="141"/>
        <v>0</v>
      </c>
      <c r="DU160" s="491">
        <f t="shared" si="141"/>
        <v>0</v>
      </c>
      <c r="DV160" s="491">
        <f t="shared" si="141"/>
        <v>0</v>
      </c>
      <c r="DW160" s="491">
        <f t="shared" si="141"/>
        <v>0</v>
      </c>
      <c r="DX160" s="491">
        <f t="shared" si="141"/>
        <v>0</v>
      </c>
      <c r="DY160" s="491">
        <f t="shared" si="141"/>
        <v>0</v>
      </c>
    </row>
    <row r="161" spans="2:129">
      <c r="B161" s="43"/>
      <c r="C161" s="43" t="s">
        <v>392</v>
      </c>
      <c r="D161" s="43"/>
      <c r="E161" s="486"/>
      <c r="F161" s="127"/>
      <c r="G161" s="127"/>
      <c r="H161" s="127"/>
      <c r="I161" s="43"/>
      <c r="J161" s="491">
        <f>IF($E151="USD",J154*(1-Flags!$K$29),0)</f>
        <v>0</v>
      </c>
      <c r="K161" s="491">
        <f>IF($E151="USD",K154*(1-Flags!$K$29),0)</f>
        <v>0</v>
      </c>
      <c r="L161" s="491">
        <f>IF($E151="USD",L154*(1-Flags!$K$29),0)</f>
        <v>0</v>
      </c>
      <c r="M161" s="491">
        <f>IF($E151="USD",M154*(1-Flags!$K$29),0)</f>
        <v>0</v>
      </c>
      <c r="N161" s="491">
        <f>IF($E151="USD",N154*(1-Flags!$K$29),0)</f>
        <v>0</v>
      </c>
      <c r="O161" s="491">
        <f>IF($E151="USD",O154*(1-Flags!$K$29),0)</f>
        <v>0</v>
      </c>
      <c r="P161" s="491">
        <f>IF($E151="USD",P154*(1-Flags!$K$29),0)</f>
        <v>0</v>
      </c>
      <c r="Q161" s="491">
        <f>IF($E151="USD",Q154*(1-Flags!$K$29),0)</f>
        <v>0</v>
      </c>
      <c r="R161" s="491">
        <f>IF($E151="USD",R154*(1-Flags!$K$29),0)</f>
        <v>0</v>
      </c>
      <c r="S161" s="491">
        <f>IF($E151="USD",S154*(1-Flags!$K$29),0)</f>
        <v>0</v>
      </c>
      <c r="T161" s="491">
        <f>IF($E151="USD",T154*(1-Flags!$K$29),0)</f>
        <v>0</v>
      </c>
      <c r="U161" s="491">
        <f>IF($E151="USD",U154*(1-Flags!$K$29),0)</f>
        <v>0</v>
      </c>
      <c r="V161" s="491">
        <f>IF($E151="USD",V154*(1-Flags!$K$29),0)</f>
        <v>0</v>
      </c>
      <c r="W161" s="491">
        <f>IF($E151="USD",W154*(1-Flags!$K$29),0)</f>
        <v>0</v>
      </c>
      <c r="X161" s="491">
        <f>IF($E151="USD",X154*(1-Flags!$K$29),0)</f>
        <v>0</v>
      </c>
      <c r="Y161" s="491">
        <f>IF($E151="USD",Y154*(1-Flags!$K$29),0)</f>
        <v>0</v>
      </c>
      <c r="Z161" s="491">
        <f>IF($E151="USD",Z154*(1-Flags!$K$29),0)</f>
        <v>0</v>
      </c>
      <c r="AA161" s="491">
        <f>IF($E151="USD",AA154*(1-Flags!$K$29),0)</f>
        <v>0</v>
      </c>
      <c r="AB161" s="491">
        <f>IF($E151="USD",AB154*(1-Flags!$K$29),0)</f>
        <v>0</v>
      </c>
      <c r="AC161" s="491">
        <f>IF($E151="USD",AC154*(1-Flags!$K$29),0)</f>
        <v>0</v>
      </c>
      <c r="AD161" s="491">
        <f>IF($E151="USD",AD154*(1-Flags!$K$29),0)</f>
        <v>0</v>
      </c>
      <c r="AE161" s="491">
        <f>IF($E151="USD",AE154*(1-Flags!$K$29),0)</f>
        <v>0</v>
      </c>
      <c r="AF161" s="491">
        <f>IF($E151="USD",AF154*(1-Flags!$K$29),0)</f>
        <v>0</v>
      </c>
      <c r="AG161" s="491">
        <f>IF($E151="USD",AG154*(1-Flags!$K$29),0)</f>
        <v>0</v>
      </c>
      <c r="AH161" s="491">
        <f>IF($E151="USD",AH154*(1-Flags!$K$29),0)</f>
        <v>0</v>
      </c>
      <c r="AI161" s="491">
        <f>IF($E151="USD",AI154*(1-Flags!$K$29),0)</f>
        <v>0</v>
      </c>
      <c r="AJ161" s="491">
        <f>IF($E151="USD",AJ154*(1-Flags!$K$29),0)</f>
        <v>0</v>
      </c>
      <c r="AK161" s="491">
        <f>IF($E151="USD",AK154*(1-Flags!$K$29),0)</f>
        <v>0</v>
      </c>
      <c r="AL161" s="491">
        <f>IF($E151="USD",AL154*(1-Flags!$K$29),0)</f>
        <v>0</v>
      </c>
      <c r="AM161" s="491">
        <f>IF($E151="USD",AM154*(1-Flags!$K$29),0)</f>
        <v>0</v>
      </c>
      <c r="AN161" s="491">
        <f>IF($E151="USD",AN154*(1-Flags!$K$29),0)</f>
        <v>0</v>
      </c>
      <c r="AO161" s="491">
        <f>IF($E151="USD",AO154*(1-Flags!$K$29),0)</f>
        <v>0</v>
      </c>
      <c r="AP161" s="491">
        <f>IF($E151="USD",AP154*(1-Flags!$K$29),0)</f>
        <v>0</v>
      </c>
      <c r="AQ161" s="491">
        <f>IF($E151="USD",AQ154*(1-Flags!$K$29),0)</f>
        <v>0</v>
      </c>
      <c r="AR161" s="491">
        <f>IF($E151="USD",AR154*(1-Flags!$K$29),0)</f>
        <v>0</v>
      </c>
      <c r="AS161" s="491">
        <f>IF($E151="USD",AS154*(1-Flags!$K$29),0)</f>
        <v>0</v>
      </c>
      <c r="AT161" s="491">
        <f>IF($E151="USD",AT154*(1-Flags!$K$29),0)</f>
        <v>0</v>
      </c>
      <c r="AU161" s="491">
        <f>IF($E151="USD",AU154*(1-Flags!$K$29),0)</f>
        <v>0</v>
      </c>
      <c r="AV161" s="491">
        <f>IF($E151="USD",AV154*(1-Flags!$K$29),0)</f>
        <v>0</v>
      </c>
      <c r="AW161" s="491">
        <f>IF($E151="USD",AW154*(1-Flags!$K$29),0)</f>
        <v>0</v>
      </c>
      <c r="AX161" s="491">
        <f>IF($E151="USD",AX154*(1-Flags!$K$29),0)</f>
        <v>0</v>
      </c>
      <c r="AY161" s="491">
        <f>IF($E151="USD",AY154*(1-Flags!$K$29),0)</f>
        <v>0</v>
      </c>
      <c r="AZ161" s="491">
        <f>IF($E151="USD",AZ154*(1-Flags!$K$29),0)</f>
        <v>0</v>
      </c>
      <c r="BA161" s="491">
        <f>IF($E151="USD",BA154*(1-Flags!$K$29),0)</f>
        <v>0</v>
      </c>
      <c r="BB161" s="491">
        <f>IF($E151="USD",BB154*(1-Flags!$K$29),0)</f>
        <v>0</v>
      </c>
      <c r="BC161" s="491">
        <f>IF($E151="USD",BC154*(1-Flags!$K$29),0)</f>
        <v>0</v>
      </c>
      <c r="BD161" s="491">
        <f>IF($E151="USD",BD154*(1-Flags!$K$29),0)</f>
        <v>0</v>
      </c>
      <c r="BE161" s="491">
        <f>IF($E151="USD",BE154*(1-Flags!$K$29),0)</f>
        <v>0</v>
      </c>
      <c r="BF161" s="491">
        <f>IF($E151="USD",BF154*(1-Flags!$K$29),0)</f>
        <v>0</v>
      </c>
      <c r="BG161" s="491">
        <f>IF($E151="USD",BG154*(1-Flags!$K$29),0)</f>
        <v>0</v>
      </c>
      <c r="BH161" s="491">
        <f>IF($E151="USD",BH154*(1-Flags!$K$29),0)</f>
        <v>0</v>
      </c>
      <c r="BI161" s="491">
        <f>IF($E151="USD",BI154*(1-Flags!$K$29),0)</f>
        <v>0</v>
      </c>
      <c r="BJ161" s="491">
        <f>IF($E151="USD",BJ154*(1-Flags!$K$29),0)</f>
        <v>0</v>
      </c>
      <c r="BK161" s="491">
        <f>IF($E151="USD",BK154*(1-Flags!$K$29),0)</f>
        <v>0</v>
      </c>
      <c r="BL161" s="491">
        <f>IF($E151="USD",BL154*(1-Flags!$K$29),0)</f>
        <v>0</v>
      </c>
      <c r="BM161" s="491">
        <f>IF($E151="USD",BM154*(1-Flags!$K$29),0)</f>
        <v>0</v>
      </c>
      <c r="BN161" s="491">
        <f>IF($E151="USD",BN154*(1-Flags!$K$29),0)</f>
        <v>0</v>
      </c>
      <c r="BO161" s="491">
        <f>IF($E151="USD",BO154*(1-Flags!$K$29),0)</f>
        <v>0</v>
      </c>
      <c r="BP161" s="491">
        <f>IF($E151="USD",BP154*(1-Flags!$K$29),0)</f>
        <v>0</v>
      </c>
      <c r="BQ161" s="491">
        <f>IF($E151="USD",BQ154*(1-Flags!$K$29),0)</f>
        <v>0</v>
      </c>
      <c r="BR161" s="491">
        <f>IF($E151="USD",BR154*(1-Flags!$K$29),0)</f>
        <v>0</v>
      </c>
      <c r="BS161" s="491">
        <f>IF($E151="USD",BS154*(1-Flags!$K$29),0)</f>
        <v>0</v>
      </c>
      <c r="BT161" s="491">
        <f>IF($E151="USD",BT154*(1-Flags!$K$29),0)</f>
        <v>0</v>
      </c>
      <c r="BU161" s="491">
        <f>IF($E151="USD",BU154*(1-Flags!$K$29),0)</f>
        <v>0</v>
      </c>
      <c r="BV161" s="491">
        <f>IF($E151="USD",BV154*(1-Flags!$K$29),0)</f>
        <v>0</v>
      </c>
      <c r="BW161" s="491">
        <f>IF($E151="USD",BW154*(1-Flags!$K$29),0)</f>
        <v>0</v>
      </c>
      <c r="BX161" s="491">
        <f>IF($E151="USD",BX154*(1-Flags!$K$29),0)</f>
        <v>0</v>
      </c>
      <c r="BY161" s="491">
        <f>IF($E151="USD",BY154*(1-Flags!$K$29),0)</f>
        <v>0</v>
      </c>
      <c r="BZ161" s="491">
        <f>IF($E151="USD",BZ154*(1-Flags!$K$29),0)</f>
        <v>0</v>
      </c>
      <c r="CA161" s="491">
        <f>IF($E151="USD",CA154*(1-Flags!$K$29),0)</f>
        <v>0</v>
      </c>
      <c r="CB161" s="491">
        <f>IF($E151="USD",CB154*(1-Flags!$K$29),0)</f>
        <v>0</v>
      </c>
      <c r="CC161" s="491">
        <f>IF($E151="USD",CC154*(1-Flags!$K$29),0)</f>
        <v>0</v>
      </c>
      <c r="CD161" s="491">
        <f>IF($E151="USD",CD154*(1-Flags!$K$29),0)</f>
        <v>0</v>
      </c>
      <c r="CE161" s="491">
        <f>IF($E151="USD",CE154*(1-Flags!$K$29),0)</f>
        <v>0</v>
      </c>
      <c r="CF161" s="491">
        <f>IF($E151="USD",CF154*(1-Flags!$K$29),0)</f>
        <v>0</v>
      </c>
      <c r="CG161" s="491">
        <f>IF($E151="USD",CG154*(1-Flags!$K$29),0)</f>
        <v>0</v>
      </c>
      <c r="CH161" s="491">
        <f>IF($E151="USD",CH154*(1-Flags!$K$29),0)</f>
        <v>0</v>
      </c>
      <c r="CI161" s="491">
        <f>IF($E151="USD",CI154*(1-Flags!$K$29),0)</f>
        <v>0</v>
      </c>
      <c r="CJ161" s="491">
        <f>IF($E151="USD",CJ154*(1-Flags!$K$29),0)</f>
        <v>0</v>
      </c>
      <c r="CK161" s="491">
        <f>IF($E151="USD",CK154*(1-Flags!$K$29),0)</f>
        <v>0</v>
      </c>
      <c r="CL161" s="491">
        <f>IF($E151="USD",CL154*(1-Flags!$K$29),0)</f>
        <v>0</v>
      </c>
      <c r="CM161" s="491">
        <f>IF($E151="USD",CM154*(1-Flags!$K$29),0)</f>
        <v>0</v>
      </c>
      <c r="CN161" s="491">
        <f>IF($E151="USD",CN154*(1-Flags!$K$29),0)</f>
        <v>0</v>
      </c>
      <c r="CO161" s="491">
        <f>IF($E151="USD",CO154*(1-Flags!$K$29),0)</f>
        <v>0</v>
      </c>
      <c r="CP161" s="491">
        <f>IF($E151="USD",CP154*(1-Flags!$K$29),0)</f>
        <v>0</v>
      </c>
      <c r="CQ161" s="491">
        <f>IF($E151="USD",CQ154*(1-Flags!$K$29),0)</f>
        <v>0</v>
      </c>
      <c r="CR161" s="491">
        <f>IF($E151="USD",CR154*(1-Flags!$K$29),0)</f>
        <v>0</v>
      </c>
      <c r="CS161" s="491">
        <f>IF($E151="USD",CS154*(1-Flags!$K$29),0)</f>
        <v>0</v>
      </c>
      <c r="CT161" s="491">
        <f>IF($E151="USD",CT154*(1-Flags!$K$29),0)</f>
        <v>0</v>
      </c>
      <c r="CU161" s="491">
        <f>IF($E151="USD",CU154*(1-Flags!$K$29),0)</f>
        <v>0</v>
      </c>
      <c r="CV161" s="491">
        <f>IF($E151="USD",CV154*(1-Flags!$K$29),0)</f>
        <v>0</v>
      </c>
      <c r="CW161" s="491">
        <f>IF($E151="USD",CW154*(1-Flags!$K$29),0)</f>
        <v>0</v>
      </c>
      <c r="CX161" s="491">
        <f>IF($E151="USD",CX154*(1-Flags!$K$29),0)</f>
        <v>0</v>
      </c>
      <c r="CY161" s="491">
        <f>IF($E151="USD",CY154*(1-Flags!$K$29),0)</f>
        <v>0</v>
      </c>
      <c r="CZ161" s="491">
        <f>IF($E151="USD",CZ154*(1-Flags!$K$29),0)</f>
        <v>0</v>
      </c>
      <c r="DA161" s="491">
        <f>IF($E151="USD",DA154*(1-Flags!$K$29),0)</f>
        <v>0</v>
      </c>
      <c r="DB161" s="491">
        <f>IF($E151="USD",DB154*(1-Flags!$K$29),0)</f>
        <v>0</v>
      </c>
      <c r="DC161" s="491">
        <f>IF($E151="USD",DC154*(1-Flags!$K$29),0)</f>
        <v>0</v>
      </c>
      <c r="DD161" s="491">
        <f>IF($E151="USD",DD154*(1-Flags!$K$29),0)</f>
        <v>0</v>
      </c>
      <c r="DE161" s="491">
        <f>IF($E151="USD",DE154*(1-Flags!$K$29),0)</f>
        <v>0</v>
      </c>
      <c r="DF161" s="491">
        <f>IF($E151="USD",DF154*(1-Flags!$K$29),0)</f>
        <v>0</v>
      </c>
      <c r="DG161" s="491">
        <f>IF($E151="USD",DG154*(1-Flags!$K$29),0)</f>
        <v>0</v>
      </c>
      <c r="DH161" s="491">
        <f>IF($E151="USD",DH154*(1-Flags!$K$29),0)</f>
        <v>0</v>
      </c>
      <c r="DI161" s="491">
        <f>IF($E151="USD",DI154*(1-Flags!$K$29),0)</f>
        <v>0</v>
      </c>
      <c r="DJ161" s="491">
        <f>IF($E151="USD",DJ154*(1-Flags!$K$29),0)</f>
        <v>0</v>
      </c>
      <c r="DK161" s="491">
        <f>IF($E151="USD",DK154*(1-Flags!$K$29),0)</f>
        <v>0</v>
      </c>
      <c r="DL161" s="491">
        <f>IF($E151="USD",DL154*(1-Flags!$K$29),0)</f>
        <v>0</v>
      </c>
      <c r="DM161" s="491">
        <f>IF($E151="USD",DM154*(1-Flags!$K$29),0)</f>
        <v>0</v>
      </c>
      <c r="DN161" s="491">
        <f>IF($E151="USD",DN154*(1-Flags!$K$29),0)</f>
        <v>0</v>
      </c>
      <c r="DO161" s="491">
        <f>IF($E151="USD",DO154*(1-Flags!$K$29),0)</f>
        <v>0</v>
      </c>
      <c r="DP161" s="491">
        <f>IF($E151="USD",DP154*(1-Flags!$K$29),0)</f>
        <v>0</v>
      </c>
      <c r="DQ161" s="491">
        <f>IF($E151="USD",DQ154*(1-Flags!$K$29),0)</f>
        <v>0</v>
      </c>
      <c r="DR161" s="491">
        <f>IF($E151="USD",DR154*(1-Flags!$K$29),0)</f>
        <v>0</v>
      </c>
      <c r="DS161" s="491">
        <f>IF($E151="USD",DS154*(1-Flags!$K$29),0)</f>
        <v>0</v>
      </c>
      <c r="DT161" s="491">
        <f>IF($E151="USD",DT154*(1-Flags!$K$29),0)</f>
        <v>0</v>
      </c>
      <c r="DU161" s="491">
        <f>IF($E151="USD",DU154*(1-Flags!$K$29),0)</f>
        <v>0</v>
      </c>
      <c r="DV161" s="491">
        <f>IF($E151="USD",DV154*(1-Flags!$K$29),0)</f>
        <v>0</v>
      </c>
      <c r="DW161" s="491">
        <f>IF($E151="USD",DW154*(1-Flags!$K$29),0)</f>
        <v>0</v>
      </c>
      <c r="DX161" s="491">
        <f>IF($E151="USD",DX154*(1-Flags!$K$29),0)</f>
        <v>0</v>
      </c>
      <c r="DY161" s="491">
        <f>IF($E151="USD",DY154*(1-Flags!$K$29),0)</f>
        <v>0</v>
      </c>
    </row>
    <row r="162" spans="2:129">
      <c r="C162" s="43" t="s">
        <v>637</v>
      </c>
      <c r="E162" s="578">
        <f>'Model Assumptions'!N142</f>
        <v>0</v>
      </c>
      <c r="J162" s="159">
        <f>J152*$E$162</f>
        <v>0</v>
      </c>
      <c r="K162" s="159">
        <f t="shared" ref="K162:BV162" si="142">K152*$E$162</f>
        <v>0</v>
      </c>
      <c r="L162" s="159">
        <f t="shared" si="142"/>
        <v>0</v>
      </c>
      <c r="M162" s="159">
        <f>M152*$E$162</f>
        <v>0</v>
      </c>
      <c r="N162" s="159">
        <f t="shared" si="142"/>
        <v>0</v>
      </c>
      <c r="O162" s="159">
        <f t="shared" si="142"/>
        <v>0</v>
      </c>
      <c r="P162" s="159">
        <f t="shared" si="142"/>
        <v>0</v>
      </c>
      <c r="Q162" s="159">
        <f t="shared" si="142"/>
        <v>0</v>
      </c>
      <c r="R162" s="159">
        <f t="shared" si="142"/>
        <v>0</v>
      </c>
      <c r="S162" s="159">
        <f t="shared" si="142"/>
        <v>0</v>
      </c>
      <c r="T162" s="159">
        <f t="shared" si="142"/>
        <v>0</v>
      </c>
      <c r="U162" s="159">
        <f t="shared" si="142"/>
        <v>0</v>
      </c>
      <c r="V162" s="159">
        <f t="shared" si="142"/>
        <v>0</v>
      </c>
      <c r="W162" s="159">
        <f t="shared" si="142"/>
        <v>0</v>
      </c>
      <c r="X162" s="159">
        <f t="shared" si="142"/>
        <v>0</v>
      </c>
      <c r="Y162" s="159">
        <f t="shared" si="142"/>
        <v>0</v>
      </c>
      <c r="Z162" s="159">
        <f t="shared" si="142"/>
        <v>0</v>
      </c>
      <c r="AA162" s="159">
        <f t="shared" si="142"/>
        <v>0</v>
      </c>
      <c r="AB162" s="159">
        <f t="shared" si="142"/>
        <v>0</v>
      </c>
      <c r="AC162" s="159">
        <f t="shared" si="142"/>
        <v>0</v>
      </c>
      <c r="AD162" s="159">
        <f t="shared" si="142"/>
        <v>0</v>
      </c>
      <c r="AE162" s="159">
        <f t="shared" si="142"/>
        <v>0</v>
      </c>
      <c r="AF162" s="159">
        <f t="shared" si="142"/>
        <v>0</v>
      </c>
      <c r="AG162" s="159">
        <f t="shared" si="142"/>
        <v>0</v>
      </c>
      <c r="AH162" s="159">
        <f t="shared" si="142"/>
        <v>0</v>
      </c>
      <c r="AI162" s="159">
        <f t="shared" si="142"/>
        <v>0</v>
      </c>
      <c r="AJ162" s="159">
        <f t="shared" si="142"/>
        <v>0</v>
      </c>
      <c r="AK162" s="159">
        <f t="shared" si="142"/>
        <v>0</v>
      </c>
      <c r="AL162" s="159">
        <f t="shared" si="142"/>
        <v>0</v>
      </c>
      <c r="AM162" s="159">
        <f t="shared" si="142"/>
        <v>0</v>
      </c>
      <c r="AN162" s="159">
        <f t="shared" si="142"/>
        <v>0</v>
      </c>
      <c r="AO162" s="159">
        <f t="shared" si="142"/>
        <v>0</v>
      </c>
      <c r="AP162" s="159">
        <f t="shared" si="142"/>
        <v>0</v>
      </c>
      <c r="AQ162" s="159">
        <f t="shared" si="142"/>
        <v>0</v>
      </c>
      <c r="AR162" s="159">
        <f t="shared" si="142"/>
        <v>0</v>
      </c>
      <c r="AS162" s="159">
        <f t="shared" si="142"/>
        <v>0</v>
      </c>
      <c r="AT162" s="159">
        <f t="shared" si="142"/>
        <v>0</v>
      </c>
      <c r="AU162" s="159">
        <f t="shared" si="142"/>
        <v>0</v>
      </c>
      <c r="AV162" s="159">
        <f t="shared" si="142"/>
        <v>0</v>
      </c>
      <c r="AW162" s="159">
        <f t="shared" si="142"/>
        <v>0</v>
      </c>
      <c r="AX162" s="159">
        <f t="shared" si="142"/>
        <v>0</v>
      </c>
      <c r="AY162" s="159">
        <f t="shared" si="142"/>
        <v>0</v>
      </c>
      <c r="AZ162" s="159">
        <f t="shared" si="142"/>
        <v>0</v>
      </c>
      <c r="BA162" s="159">
        <f t="shared" si="142"/>
        <v>0</v>
      </c>
      <c r="BB162" s="159">
        <f t="shared" si="142"/>
        <v>0</v>
      </c>
      <c r="BC162" s="159">
        <f t="shared" si="142"/>
        <v>0</v>
      </c>
      <c r="BD162" s="159">
        <f t="shared" si="142"/>
        <v>0</v>
      </c>
      <c r="BE162" s="159">
        <f t="shared" si="142"/>
        <v>0</v>
      </c>
      <c r="BF162" s="159">
        <f t="shared" si="142"/>
        <v>0</v>
      </c>
      <c r="BG162" s="159">
        <f t="shared" si="142"/>
        <v>0</v>
      </c>
      <c r="BH162" s="159">
        <f t="shared" si="142"/>
        <v>0</v>
      </c>
      <c r="BI162" s="159">
        <f t="shared" si="142"/>
        <v>0</v>
      </c>
      <c r="BJ162" s="159">
        <f t="shared" si="142"/>
        <v>0</v>
      </c>
      <c r="BK162" s="159">
        <f t="shared" si="142"/>
        <v>0</v>
      </c>
      <c r="BL162" s="159">
        <f t="shared" si="142"/>
        <v>0</v>
      </c>
      <c r="BM162" s="159">
        <f t="shared" si="142"/>
        <v>0</v>
      </c>
      <c r="BN162" s="159">
        <f t="shared" si="142"/>
        <v>0</v>
      </c>
      <c r="BO162" s="159">
        <f t="shared" si="142"/>
        <v>0</v>
      </c>
      <c r="BP162" s="159">
        <f t="shared" si="142"/>
        <v>0</v>
      </c>
      <c r="BQ162" s="159">
        <f t="shared" si="142"/>
        <v>0</v>
      </c>
      <c r="BR162" s="159">
        <f t="shared" si="142"/>
        <v>0</v>
      </c>
      <c r="BS162" s="159">
        <f t="shared" si="142"/>
        <v>0</v>
      </c>
      <c r="BT162" s="159">
        <f t="shared" si="142"/>
        <v>0</v>
      </c>
      <c r="BU162" s="159">
        <f t="shared" si="142"/>
        <v>0</v>
      </c>
      <c r="BV162" s="159">
        <f t="shared" si="142"/>
        <v>0</v>
      </c>
      <c r="BW162" s="159">
        <f t="shared" ref="BW162:DY162" si="143">BW152*$E$162</f>
        <v>0</v>
      </c>
      <c r="BX162" s="159">
        <f t="shared" si="143"/>
        <v>0</v>
      </c>
      <c r="BY162" s="159">
        <f t="shared" si="143"/>
        <v>0</v>
      </c>
      <c r="BZ162" s="159">
        <f t="shared" si="143"/>
        <v>0</v>
      </c>
      <c r="CA162" s="159">
        <f t="shared" si="143"/>
        <v>0</v>
      </c>
      <c r="CB162" s="159">
        <f t="shared" si="143"/>
        <v>0</v>
      </c>
      <c r="CC162" s="159">
        <f t="shared" si="143"/>
        <v>0</v>
      </c>
      <c r="CD162" s="159">
        <f t="shared" si="143"/>
        <v>0</v>
      </c>
      <c r="CE162" s="159">
        <f t="shared" si="143"/>
        <v>0</v>
      </c>
      <c r="CF162" s="159">
        <f t="shared" si="143"/>
        <v>0</v>
      </c>
      <c r="CG162" s="159">
        <f t="shared" si="143"/>
        <v>0</v>
      </c>
      <c r="CH162" s="159">
        <f t="shared" si="143"/>
        <v>0</v>
      </c>
      <c r="CI162" s="159">
        <f t="shared" si="143"/>
        <v>0</v>
      </c>
      <c r="CJ162" s="159">
        <f t="shared" si="143"/>
        <v>0</v>
      </c>
      <c r="CK162" s="159">
        <f t="shared" si="143"/>
        <v>0</v>
      </c>
      <c r="CL162" s="159">
        <f t="shared" si="143"/>
        <v>0</v>
      </c>
      <c r="CM162" s="159">
        <f t="shared" si="143"/>
        <v>0</v>
      </c>
      <c r="CN162" s="159">
        <f t="shared" si="143"/>
        <v>0</v>
      </c>
      <c r="CO162" s="159">
        <f t="shared" si="143"/>
        <v>0</v>
      </c>
      <c r="CP162" s="159">
        <f t="shared" si="143"/>
        <v>0</v>
      </c>
      <c r="CQ162" s="159">
        <f t="shared" si="143"/>
        <v>0</v>
      </c>
      <c r="CR162" s="159">
        <f t="shared" si="143"/>
        <v>0</v>
      </c>
      <c r="CS162" s="159">
        <f t="shared" si="143"/>
        <v>0</v>
      </c>
      <c r="CT162" s="159">
        <f t="shared" si="143"/>
        <v>0</v>
      </c>
      <c r="CU162" s="159">
        <f t="shared" si="143"/>
        <v>0</v>
      </c>
      <c r="CV162" s="159">
        <f t="shared" si="143"/>
        <v>0</v>
      </c>
      <c r="CW162" s="159">
        <f t="shared" si="143"/>
        <v>0</v>
      </c>
      <c r="CX162" s="159">
        <f t="shared" si="143"/>
        <v>0</v>
      </c>
      <c r="CY162" s="159">
        <f t="shared" si="143"/>
        <v>0</v>
      </c>
      <c r="CZ162" s="159">
        <f t="shared" si="143"/>
        <v>0</v>
      </c>
      <c r="DA162" s="159">
        <f t="shared" si="143"/>
        <v>0</v>
      </c>
      <c r="DB162" s="159">
        <f t="shared" si="143"/>
        <v>0</v>
      </c>
      <c r="DC162" s="159">
        <f t="shared" si="143"/>
        <v>0</v>
      </c>
      <c r="DD162" s="159">
        <f t="shared" si="143"/>
        <v>0</v>
      </c>
      <c r="DE162" s="159">
        <f t="shared" si="143"/>
        <v>0</v>
      </c>
      <c r="DF162" s="159">
        <f t="shared" si="143"/>
        <v>0</v>
      </c>
      <c r="DG162" s="159">
        <f t="shared" si="143"/>
        <v>0</v>
      </c>
      <c r="DH162" s="159">
        <f t="shared" si="143"/>
        <v>0</v>
      </c>
      <c r="DI162" s="159">
        <f t="shared" si="143"/>
        <v>0</v>
      </c>
      <c r="DJ162" s="159">
        <f t="shared" si="143"/>
        <v>0</v>
      </c>
      <c r="DK162" s="159">
        <f t="shared" si="143"/>
        <v>0</v>
      </c>
      <c r="DL162" s="159">
        <f t="shared" si="143"/>
        <v>0</v>
      </c>
      <c r="DM162" s="159">
        <f t="shared" si="143"/>
        <v>0</v>
      </c>
      <c r="DN162" s="159">
        <f t="shared" si="143"/>
        <v>0</v>
      </c>
      <c r="DO162" s="159">
        <f t="shared" si="143"/>
        <v>0</v>
      </c>
      <c r="DP162" s="159">
        <f t="shared" si="143"/>
        <v>0</v>
      </c>
      <c r="DQ162" s="159">
        <f t="shared" si="143"/>
        <v>0</v>
      </c>
      <c r="DR162" s="159">
        <f t="shared" si="143"/>
        <v>0</v>
      </c>
      <c r="DS162" s="159">
        <f t="shared" si="143"/>
        <v>0</v>
      </c>
      <c r="DT162" s="159">
        <f t="shared" si="143"/>
        <v>0</v>
      </c>
      <c r="DU162" s="159">
        <f t="shared" si="143"/>
        <v>0</v>
      </c>
      <c r="DV162" s="159">
        <f t="shared" si="143"/>
        <v>0</v>
      </c>
      <c r="DW162" s="159">
        <f t="shared" si="143"/>
        <v>0</v>
      </c>
      <c r="DX162" s="159">
        <f t="shared" si="143"/>
        <v>0</v>
      </c>
      <c r="DY162" s="159">
        <f t="shared" si="143"/>
        <v>0</v>
      </c>
    </row>
    <row r="163" spans="2:129">
      <c r="C163" s="43" t="s">
        <v>638</v>
      </c>
      <c r="J163" s="579">
        <f>J153*$E$162</f>
        <v>0</v>
      </c>
      <c r="K163" s="579">
        <f t="shared" ref="K163:BV163" si="144">K153*$E$162</f>
        <v>0</v>
      </c>
      <c r="L163" s="579">
        <f t="shared" si="144"/>
        <v>0</v>
      </c>
      <c r="M163" s="579">
        <f>M153*$E$162</f>
        <v>0</v>
      </c>
      <c r="N163" s="579">
        <f t="shared" si="144"/>
        <v>0</v>
      </c>
      <c r="O163" s="579">
        <f t="shared" si="144"/>
        <v>0</v>
      </c>
      <c r="P163" s="579">
        <f t="shared" si="144"/>
        <v>0</v>
      </c>
      <c r="Q163" s="579">
        <f t="shared" si="144"/>
        <v>0</v>
      </c>
      <c r="R163" s="579">
        <f t="shared" si="144"/>
        <v>0</v>
      </c>
      <c r="S163" s="579">
        <f t="shared" si="144"/>
        <v>0</v>
      </c>
      <c r="T163" s="579">
        <f t="shared" si="144"/>
        <v>0</v>
      </c>
      <c r="U163" s="579">
        <f t="shared" si="144"/>
        <v>0</v>
      </c>
      <c r="V163" s="579">
        <f t="shared" si="144"/>
        <v>0</v>
      </c>
      <c r="W163" s="579">
        <f t="shared" si="144"/>
        <v>0</v>
      </c>
      <c r="X163" s="579">
        <f t="shared" si="144"/>
        <v>0</v>
      </c>
      <c r="Y163" s="579">
        <f t="shared" si="144"/>
        <v>0</v>
      </c>
      <c r="Z163" s="579">
        <f t="shared" si="144"/>
        <v>0</v>
      </c>
      <c r="AA163" s="579">
        <f t="shared" si="144"/>
        <v>0</v>
      </c>
      <c r="AB163" s="579">
        <f t="shared" si="144"/>
        <v>0</v>
      </c>
      <c r="AC163" s="579">
        <f t="shared" si="144"/>
        <v>0</v>
      </c>
      <c r="AD163" s="579">
        <f t="shared" si="144"/>
        <v>0</v>
      </c>
      <c r="AE163" s="579">
        <f t="shared" si="144"/>
        <v>0</v>
      </c>
      <c r="AF163" s="579">
        <f t="shared" si="144"/>
        <v>0</v>
      </c>
      <c r="AG163" s="579">
        <f t="shared" si="144"/>
        <v>0</v>
      </c>
      <c r="AH163" s="579">
        <f t="shared" si="144"/>
        <v>0</v>
      </c>
      <c r="AI163" s="579">
        <f t="shared" si="144"/>
        <v>0</v>
      </c>
      <c r="AJ163" s="579">
        <f t="shared" si="144"/>
        <v>0</v>
      </c>
      <c r="AK163" s="579">
        <f t="shared" si="144"/>
        <v>0</v>
      </c>
      <c r="AL163" s="579">
        <f t="shared" si="144"/>
        <v>0</v>
      </c>
      <c r="AM163" s="579">
        <f t="shared" si="144"/>
        <v>0</v>
      </c>
      <c r="AN163" s="579">
        <f t="shared" si="144"/>
        <v>0</v>
      </c>
      <c r="AO163" s="579">
        <f t="shared" si="144"/>
        <v>0</v>
      </c>
      <c r="AP163" s="579">
        <f t="shared" si="144"/>
        <v>0</v>
      </c>
      <c r="AQ163" s="579">
        <f t="shared" si="144"/>
        <v>0</v>
      </c>
      <c r="AR163" s="579">
        <f t="shared" si="144"/>
        <v>0</v>
      </c>
      <c r="AS163" s="579">
        <f t="shared" si="144"/>
        <v>0</v>
      </c>
      <c r="AT163" s="579">
        <f t="shared" si="144"/>
        <v>0</v>
      </c>
      <c r="AU163" s="579">
        <f t="shared" si="144"/>
        <v>0</v>
      </c>
      <c r="AV163" s="579">
        <f t="shared" si="144"/>
        <v>0</v>
      </c>
      <c r="AW163" s="579">
        <f t="shared" si="144"/>
        <v>0</v>
      </c>
      <c r="AX163" s="579">
        <f t="shared" si="144"/>
        <v>0</v>
      </c>
      <c r="AY163" s="579">
        <f t="shared" si="144"/>
        <v>0</v>
      </c>
      <c r="AZ163" s="579">
        <f t="shared" si="144"/>
        <v>0</v>
      </c>
      <c r="BA163" s="579">
        <f t="shared" si="144"/>
        <v>0</v>
      </c>
      <c r="BB163" s="579">
        <f t="shared" si="144"/>
        <v>0</v>
      </c>
      <c r="BC163" s="579">
        <f t="shared" si="144"/>
        <v>0</v>
      </c>
      <c r="BD163" s="579">
        <f t="shared" si="144"/>
        <v>0</v>
      </c>
      <c r="BE163" s="579">
        <f t="shared" si="144"/>
        <v>0</v>
      </c>
      <c r="BF163" s="579">
        <f t="shared" si="144"/>
        <v>0</v>
      </c>
      <c r="BG163" s="579">
        <f t="shared" si="144"/>
        <v>0</v>
      </c>
      <c r="BH163" s="579">
        <f t="shared" si="144"/>
        <v>0</v>
      </c>
      <c r="BI163" s="579">
        <f t="shared" si="144"/>
        <v>0</v>
      </c>
      <c r="BJ163" s="579">
        <f t="shared" si="144"/>
        <v>0</v>
      </c>
      <c r="BK163" s="579">
        <f t="shared" si="144"/>
        <v>0</v>
      </c>
      <c r="BL163" s="579">
        <f t="shared" si="144"/>
        <v>0</v>
      </c>
      <c r="BM163" s="579">
        <f t="shared" si="144"/>
        <v>0</v>
      </c>
      <c r="BN163" s="579">
        <f t="shared" si="144"/>
        <v>0</v>
      </c>
      <c r="BO163" s="579">
        <f t="shared" si="144"/>
        <v>0</v>
      </c>
      <c r="BP163" s="579">
        <f t="shared" si="144"/>
        <v>0</v>
      </c>
      <c r="BQ163" s="579">
        <f t="shared" si="144"/>
        <v>0</v>
      </c>
      <c r="BR163" s="579">
        <f t="shared" si="144"/>
        <v>0</v>
      </c>
      <c r="BS163" s="579">
        <f t="shared" si="144"/>
        <v>0</v>
      </c>
      <c r="BT163" s="579">
        <f t="shared" si="144"/>
        <v>0</v>
      </c>
      <c r="BU163" s="579">
        <f t="shared" si="144"/>
        <v>0</v>
      </c>
      <c r="BV163" s="579">
        <f t="shared" si="144"/>
        <v>0</v>
      </c>
      <c r="BW163" s="579">
        <f t="shared" ref="BW163:DY163" si="145">BW153*$E$162</f>
        <v>0</v>
      </c>
      <c r="BX163" s="579">
        <f t="shared" si="145"/>
        <v>0</v>
      </c>
      <c r="BY163" s="579">
        <f t="shared" si="145"/>
        <v>0</v>
      </c>
      <c r="BZ163" s="579">
        <f t="shared" si="145"/>
        <v>0</v>
      </c>
      <c r="CA163" s="579">
        <f t="shared" si="145"/>
        <v>0</v>
      </c>
      <c r="CB163" s="579">
        <f t="shared" si="145"/>
        <v>0</v>
      </c>
      <c r="CC163" s="579">
        <f t="shared" si="145"/>
        <v>0</v>
      </c>
      <c r="CD163" s="579">
        <f t="shared" si="145"/>
        <v>0</v>
      </c>
      <c r="CE163" s="579">
        <f t="shared" si="145"/>
        <v>0</v>
      </c>
      <c r="CF163" s="579">
        <f t="shared" si="145"/>
        <v>0</v>
      </c>
      <c r="CG163" s="579">
        <f t="shared" si="145"/>
        <v>0</v>
      </c>
      <c r="CH163" s="579">
        <f t="shared" si="145"/>
        <v>0</v>
      </c>
      <c r="CI163" s="579">
        <f t="shared" si="145"/>
        <v>0</v>
      </c>
      <c r="CJ163" s="579">
        <f t="shared" si="145"/>
        <v>0</v>
      </c>
      <c r="CK163" s="579">
        <f t="shared" si="145"/>
        <v>0</v>
      </c>
      <c r="CL163" s="579">
        <f t="shared" si="145"/>
        <v>0</v>
      </c>
      <c r="CM163" s="579">
        <f t="shared" si="145"/>
        <v>0</v>
      </c>
      <c r="CN163" s="579">
        <f t="shared" si="145"/>
        <v>0</v>
      </c>
      <c r="CO163" s="579">
        <f t="shared" si="145"/>
        <v>0</v>
      </c>
      <c r="CP163" s="579">
        <f t="shared" si="145"/>
        <v>0</v>
      </c>
      <c r="CQ163" s="579">
        <f t="shared" si="145"/>
        <v>0</v>
      </c>
      <c r="CR163" s="579">
        <f t="shared" si="145"/>
        <v>0</v>
      </c>
      <c r="CS163" s="579">
        <f t="shared" si="145"/>
        <v>0</v>
      </c>
      <c r="CT163" s="579">
        <f t="shared" si="145"/>
        <v>0</v>
      </c>
      <c r="CU163" s="579">
        <f t="shared" si="145"/>
        <v>0</v>
      </c>
      <c r="CV163" s="579">
        <f t="shared" si="145"/>
        <v>0</v>
      </c>
      <c r="CW163" s="579">
        <f t="shared" si="145"/>
        <v>0</v>
      </c>
      <c r="CX163" s="579">
        <f t="shared" si="145"/>
        <v>0</v>
      </c>
      <c r="CY163" s="579">
        <f t="shared" si="145"/>
        <v>0</v>
      </c>
      <c r="CZ163" s="579">
        <f t="shared" si="145"/>
        <v>0</v>
      </c>
      <c r="DA163" s="579">
        <f t="shared" si="145"/>
        <v>0</v>
      </c>
      <c r="DB163" s="579">
        <f t="shared" si="145"/>
        <v>0</v>
      </c>
      <c r="DC163" s="579">
        <f t="shared" si="145"/>
        <v>0</v>
      </c>
      <c r="DD163" s="579">
        <f t="shared" si="145"/>
        <v>0</v>
      </c>
      <c r="DE163" s="579">
        <f t="shared" si="145"/>
        <v>0</v>
      </c>
      <c r="DF163" s="579">
        <f t="shared" si="145"/>
        <v>0</v>
      </c>
      <c r="DG163" s="579">
        <f t="shared" si="145"/>
        <v>0</v>
      </c>
      <c r="DH163" s="579">
        <f t="shared" si="145"/>
        <v>0</v>
      </c>
      <c r="DI163" s="579">
        <f t="shared" si="145"/>
        <v>0</v>
      </c>
      <c r="DJ163" s="579">
        <f t="shared" si="145"/>
        <v>0</v>
      </c>
      <c r="DK163" s="579">
        <f t="shared" si="145"/>
        <v>0</v>
      </c>
      <c r="DL163" s="579">
        <f t="shared" si="145"/>
        <v>0</v>
      </c>
      <c r="DM163" s="579">
        <f t="shared" si="145"/>
        <v>0</v>
      </c>
      <c r="DN163" s="579">
        <f t="shared" si="145"/>
        <v>0</v>
      </c>
      <c r="DO163" s="579">
        <f t="shared" si="145"/>
        <v>0</v>
      </c>
      <c r="DP163" s="579">
        <f t="shared" si="145"/>
        <v>0</v>
      </c>
      <c r="DQ163" s="579">
        <f t="shared" si="145"/>
        <v>0</v>
      </c>
      <c r="DR163" s="579">
        <f t="shared" si="145"/>
        <v>0</v>
      </c>
      <c r="DS163" s="579">
        <f t="shared" si="145"/>
        <v>0</v>
      </c>
      <c r="DT163" s="579">
        <f t="shared" si="145"/>
        <v>0</v>
      </c>
      <c r="DU163" s="579">
        <f t="shared" si="145"/>
        <v>0</v>
      </c>
      <c r="DV163" s="579">
        <f t="shared" si="145"/>
        <v>0</v>
      </c>
      <c r="DW163" s="579">
        <f t="shared" si="145"/>
        <v>0</v>
      </c>
      <c r="DX163" s="579">
        <f t="shared" si="145"/>
        <v>0</v>
      </c>
      <c r="DY163" s="579">
        <f t="shared" si="145"/>
        <v>0</v>
      </c>
    </row>
    <row r="164" spans="2:129">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row>
    <row r="165" spans="2:129">
      <c r="B165" s="44" t="s">
        <v>329</v>
      </c>
      <c r="C165" s="43" t="s">
        <v>44</v>
      </c>
      <c r="D165" s="43"/>
      <c r="E165" s="481">
        <f>+'Model Assumptions'!O133</f>
        <v>0</v>
      </c>
      <c r="F165" s="125"/>
      <c r="G165" s="125"/>
      <c r="H165" s="125"/>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row>
    <row r="166" spans="2:129">
      <c r="B166" s="44"/>
      <c r="C166" s="43" t="s">
        <v>394</v>
      </c>
      <c r="D166" s="43"/>
      <c r="E166" s="482">
        <f>+'Model Assumptions'!O137</f>
        <v>0</v>
      </c>
      <c r="F166" s="125"/>
      <c r="G166" s="125"/>
      <c r="H166" s="125"/>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row>
    <row r="167" spans="2:129">
      <c r="B167" s="44"/>
      <c r="C167" s="43" t="s">
        <v>386</v>
      </c>
      <c r="D167" s="43"/>
      <c r="E167" s="482">
        <f>+'Model Assumptions'!O134</f>
        <v>0</v>
      </c>
      <c r="F167" s="126"/>
      <c r="G167" s="126"/>
      <c r="H167" s="126"/>
      <c r="I167" s="43"/>
      <c r="J167" s="46">
        <f t="shared" ref="J167:AO167" si="146">+IF(J$1=$E$165,$E$167,0)</f>
        <v>0</v>
      </c>
      <c r="K167" s="46">
        <f t="shared" si="146"/>
        <v>0</v>
      </c>
      <c r="L167" s="46">
        <f t="shared" si="146"/>
        <v>0</v>
      </c>
      <c r="M167" s="46">
        <f t="shared" si="146"/>
        <v>0</v>
      </c>
      <c r="N167" s="46">
        <f t="shared" si="146"/>
        <v>0</v>
      </c>
      <c r="O167" s="46">
        <f t="shared" si="146"/>
        <v>0</v>
      </c>
      <c r="P167" s="46">
        <f t="shared" si="146"/>
        <v>0</v>
      </c>
      <c r="Q167" s="46">
        <f t="shared" si="146"/>
        <v>0</v>
      </c>
      <c r="R167" s="46">
        <f t="shared" si="146"/>
        <v>0</v>
      </c>
      <c r="S167" s="46">
        <f t="shared" si="146"/>
        <v>0</v>
      </c>
      <c r="T167" s="46">
        <f t="shared" si="146"/>
        <v>0</v>
      </c>
      <c r="U167" s="46">
        <f t="shared" si="146"/>
        <v>0</v>
      </c>
      <c r="V167" s="46">
        <f t="shared" si="146"/>
        <v>0</v>
      </c>
      <c r="W167" s="46">
        <f t="shared" si="146"/>
        <v>0</v>
      </c>
      <c r="X167" s="46">
        <f t="shared" si="146"/>
        <v>0</v>
      </c>
      <c r="Y167" s="46">
        <f t="shared" si="146"/>
        <v>0</v>
      </c>
      <c r="Z167" s="46">
        <f t="shared" si="146"/>
        <v>0</v>
      </c>
      <c r="AA167" s="46">
        <f t="shared" si="146"/>
        <v>0</v>
      </c>
      <c r="AB167" s="46">
        <f t="shared" si="146"/>
        <v>0</v>
      </c>
      <c r="AC167" s="46">
        <f t="shared" si="146"/>
        <v>0</v>
      </c>
      <c r="AD167" s="46">
        <f t="shared" si="146"/>
        <v>0</v>
      </c>
      <c r="AE167" s="46">
        <f t="shared" si="146"/>
        <v>0</v>
      </c>
      <c r="AF167" s="46">
        <f t="shared" si="146"/>
        <v>0</v>
      </c>
      <c r="AG167" s="46">
        <f t="shared" si="146"/>
        <v>0</v>
      </c>
      <c r="AH167" s="46">
        <f t="shared" si="146"/>
        <v>0</v>
      </c>
      <c r="AI167" s="46">
        <f t="shared" si="146"/>
        <v>0</v>
      </c>
      <c r="AJ167" s="46">
        <f t="shared" si="146"/>
        <v>0</v>
      </c>
      <c r="AK167" s="46">
        <f t="shared" si="146"/>
        <v>0</v>
      </c>
      <c r="AL167" s="46">
        <f t="shared" si="146"/>
        <v>0</v>
      </c>
      <c r="AM167" s="46">
        <f t="shared" si="146"/>
        <v>0</v>
      </c>
      <c r="AN167" s="46">
        <f t="shared" si="146"/>
        <v>0</v>
      </c>
      <c r="AO167" s="46">
        <f t="shared" si="146"/>
        <v>0</v>
      </c>
      <c r="AP167" s="46">
        <f t="shared" ref="AP167:BU167" si="147">+IF(AP$1=$E$165,$E$167,0)</f>
        <v>0</v>
      </c>
      <c r="AQ167" s="46">
        <f t="shared" si="147"/>
        <v>0</v>
      </c>
      <c r="AR167" s="46">
        <f t="shared" si="147"/>
        <v>0</v>
      </c>
      <c r="AS167" s="46">
        <f t="shared" si="147"/>
        <v>0</v>
      </c>
      <c r="AT167" s="46">
        <f t="shared" si="147"/>
        <v>0</v>
      </c>
      <c r="AU167" s="46">
        <f t="shared" si="147"/>
        <v>0</v>
      </c>
      <c r="AV167" s="46">
        <f t="shared" si="147"/>
        <v>0</v>
      </c>
      <c r="AW167" s="46">
        <f t="shared" si="147"/>
        <v>0</v>
      </c>
      <c r="AX167" s="46">
        <f t="shared" si="147"/>
        <v>0</v>
      </c>
      <c r="AY167" s="46">
        <f t="shared" si="147"/>
        <v>0</v>
      </c>
      <c r="AZ167" s="46">
        <f t="shared" si="147"/>
        <v>0</v>
      </c>
      <c r="BA167" s="46">
        <f t="shared" si="147"/>
        <v>0</v>
      </c>
      <c r="BB167" s="46">
        <f t="shared" si="147"/>
        <v>0</v>
      </c>
      <c r="BC167" s="46">
        <f t="shared" si="147"/>
        <v>0</v>
      </c>
      <c r="BD167" s="46">
        <f t="shared" si="147"/>
        <v>0</v>
      </c>
      <c r="BE167" s="46">
        <f t="shared" si="147"/>
        <v>0</v>
      </c>
      <c r="BF167" s="46">
        <f t="shared" si="147"/>
        <v>0</v>
      </c>
      <c r="BG167" s="46">
        <f t="shared" si="147"/>
        <v>0</v>
      </c>
      <c r="BH167" s="46">
        <f t="shared" si="147"/>
        <v>0</v>
      </c>
      <c r="BI167" s="46">
        <f t="shared" si="147"/>
        <v>0</v>
      </c>
      <c r="BJ167" s="46">
        <f t="shared" si="147"/>
        <v>0</v>
      </c>
      <c r="BK167" s="46">
        <f t="shared" si="147"/>
        <v>0</v>
      </c>
      <c r="BL167" s="46">
        <f t="shared" si="147"/>
        <v>0</v>
      </c>
      <c r="BM167" s="46">
        <f t="shared" si="147"/>
        <v>0</v>
      </c>
      <c r="BN167" s="46">
        <f t="shared" si="147"/>
        <v>0</v>
      </c>
      <c r="BO167" s="46">
        <f t="shared" si="147"/>
        <v>0</v>
      </c>
      <c r="BP167" s="46">
        <f t="shared" si="147"/>
        <v>0</v>
      </c>
      <c r="BQ167" s="46">
        <f t="shared" si="147"/>
        <v>0</v>
      </c>
      <c r="BR167" s="46">
        <f t="shared" si="147"/>
        <v>0</v>
      </c>
      <c r="BS167" s="46">
        <f t="shared" si="147"/>
        <v>0</v>
      </c>
      <c r="BT167" s="46">
        <f t="shared" si="147"/>
        <v>0</v>
      </c>
      <c r="BU167" s="46">
        <f t="shared" si="147"/>
        <v>0</v>
      </c>
      <c r="BV167" s="46">
        <f t="shared" ref="BV167:DY167" si="148">+IF(BV$1=$E$165,$E$167,0)</f>
        <v>0</v>
      </c>
      <c r="BW167" s="46">
        <f t="shared" si="148"/>
        <v>0</v>
      </c>
      <c r="BX167" s="46">
        <f t="shared" si="148"/>
        <v>0</v>
      </c>
      <c r="BY167" s="46">
        <f t="shared" si="148"/>
        <v>0</v>
      </c>
      <c r="BZ167" s="46">
        <f t="shared" si="148"/>
        <v>0</v>
      </c>
      <c r="CA167" s="46">
        <f t="shared" si="148"/>
        <v>0</v>
      </c>
      <c r="CB167" s="46">
        <f t="shared" si="148"/>
        <v>0</v>
      </c>
      <c r="CC167" s="46">
        <f t="shared" si="148"/>
        <v>0</v>
      </c>
      <c r="CD167" s="46">
        <f t="shared" si="148"/>
        <v>0</v>
      </c>
      <c r="CE167" s="46">
        <f t="shared" si="148"/>
        <v>0</v>
      </c>
      <c r="CF167" s="46">
        <f t="shared" si="148"/>
        <v>0</v>
      </c>
      <c r="CG167" s="46">
        <f t="shared" si="148"/>
        <v>0</v>
      </c>
      <c r="CH167" s="46">
        <f t="shared" si="148"/>
        <v>0</v>
      </c>
      <c r="CI167" s="46">
        <f t="shared" si="148"/>
        <v>0</v>
      </c>
      <c r="CJ167" s="46">
        <f t="shared" si="148"/>
        <v>0</v>
      </c>
      <c r="CK167" s="46">
        <f t="shared" si="148"/>
        <v>0</v>
      </c>
      <c r="CL167" s="46">
        <f t="shared" si="148"/>
        <v>0</v>
      </c>
      <c r="CM167" s="46">
        <f t="shared" si="148"/>
        <v>0</v>
      </c>
      <c r="CN167" s="46">
        <f t="shared" si="148"/>
        <v>0</v>
      </c>
      <c r="CO167" s="46">
        <f t="shared" si="148"/>
        <v>0</v>
      </c>
      <c r="CP167" s="46">
        <f t="shared" si="148"/>
        <v>0</v>
      </c>
      <c r="CQ167" s="46">
        <f t="shared" si="148"/>
        <v>0</v>
      </c>
      <c r="CR167" s="46">
        <f t="shared" si="148"/>
        <v>0</v>
      </c>
      <c r="CS167" s="46">
        <f t="shared" si="148"/>
        <v>0</v>
      </c>
      <c r="CT167" s="46">
        <f t="shared" si="148"/>
        <v>0</v>
      </c>
      <c r="CU167" s="46">
        <f t="shared" si="148"/>
        <v>0</v>
      </c>
      <c r="CV167" s="46">
        <f t="shared" si="148"/>
        <v>0</v>
      </c>
      <c r="CW167" s="46">
        <f t="shared" si="148"/>
        <v>0</v>
      </c>
      <c r="CX167" s="46">
        <f t="shared" si="148"/>
        <v>0</v>
      </c>
      <c r="CY167" s="46">
        <f t="shared" si="148"/>
        <v>0</v>
      </c>
      <c r="CZ167" s="46">
        <f t="shared" si="148"/>
        <v>0</v>
      </c>
      <c r="DA167" s="46">
        <f t="shared" si="148"/>
        <v>0</v>
      </c>
      <c r="DB167" s="46">
        <f t="shared" si="148"/>
        <v>0</v>
      </c>
      <c r="DC167" s="46">
        <f t="shared" si="148"/>
        <v>0</v>
      </c>
      <c r="DD167" s="46">
        <f t="shared" si="148"/>
        <v>0</v>
      </c>
      <c r="DE167" s="46">
        <f t="shared" si="148"/>
        <v>0</v>
      </c>
      <c r="DF167" s="46">
        <f t="shared" si="148"/>
        <v>0</v>
      </c>
      <c r="DG167" s="46">
        <f t="shared" si="148"/>
        <v>0</v>
      </c>
      <c r="DH167" s="46">
        <f t="shared" si="148"/>
        <v>0</v>
      </c>
      <c r="DI167" s="46">
        <f t="shared" si="148"/>
        <v>0</v>
      </c>
      <c r="DJ167" s="46">
        <f t="shared" si="148"/>
        <v>0</v>
      </c>
      <c r="DK167" s="46">
        <f t="shared" si="148"/>
        <v>0</v>
      </c>
      <c r="DL167" s="46">
        <f t="shared" si="148"/>
        <v>0</v>
      </c>
      <c r="DM167" s="46">
        <f t="shared" si="148"/>
        <v>0</v>
      </c>
      <c r="DN167" s="46">
        <f t="shared" si="148"/>
        <v>0</v>
      </c>
      <c r="DO167" s="46">
        <f t="shared" si="148"/>
        <v>0</v>
      </c>
      <c r="DP167" s="46">
        <f t="shared" si="148"/>
        <v>0</v>
      </c>
      <c r="DQ167" s="46">
        <f t="shared" si="148"/>
        <v>0</v>
      </c>
      <c r="DR167" s="46">
        <f t="shared" si="148"/>
        <v>0</v>
      </c>
      <c r="DS167" s="46">
        <f t="shared" si="148"/>
        <v>0</v>
      </c>
      <c r="DT167" s="46">
        <f t="shared" si="148"/>
        <v>0</v>
      </c>
      <c r="DU167" s="46">
        <f t="shared" si="148"/>
        <v>0</v>
      </c>
      <c r="DV167" s="46">
        <f t="shared" si="148"/>
        <v>0</v>
      </c>
      <c r="DW167" s="46">
        <f t="shared" si="148"/>
        <v>0</v>
      </c>
      <c r="DX167" s="46">
        <f t="shared" si="148"/>
        <v>0</v>
      </c>
      <c r="DY167" s="46">
        <f t="shared" si="148"/>
        <v>0</v>
      </c>
    </row>
    <row r="168" spans="2:129">
      <c r="B168" s="44"/>
      <c r="C168" s="43" t="s">
        <v>387</v>
      </c>
      <c r="D168" s="43"/>
      <c r="E168" s="482" t="str">
        <f>+'Model Assumptions'!O136</f>
        <v/>
      </c>
      <c r="F168" s="126"/>
      <c r="G168" s="126"/>
      <c r="H168" s="126"/>
      <c r="I168" s="43"/>
      <c r="J168" s="490">
        <f>J167*Flags!J$30</f>
        <v>0</v>
      </c>
      <c r="K168" s="490">
        <f>K167*Flags!K$30</f>
        <v>0</v>
      </c>
      <c r="L168" s="490">
        <f>L167*Flags!L$30</f>
        <v>0</v>
      </c>
      <c r="M168" s="490">
        <f>M167*Flags!M$30</f>
        <v>0</v>
      </c>
      <c r="N168" s="490">
        <f>N167*Flags!N$30</f>
        <v>0</v>
      </c>
      <c r="O168" s="490">
        <f>O167*Flags!O$30</f>
        <v>0</v>
      </c>
      <c r="P168" s="490">
        <f>P167*Flags!P$30</f>
        <v>0</v>
      </c>
      <c r="Q168" s="490">
        <f>Q167*Flags!Q$30</f>
        <v>0</v>
      </c>
      <c r="R168" s="490">
        <f>R167*Flags!R$30</f>
        <v>0</v>
      </c>
      <c r="S168" s="490">
        <f>S167*Flags!S$30</f>
        <v>0</v>
      </c>
      <c r="T168" s="490">
        <f>T167*Flags!T$30</f>
        <v>0</v>
      </c>
      <c r="U168" s="490">
        <f>U167*Flags!U$30</f>
        <v>0</v>
      </c>
      <c r="V168" s="490">
        <f>V167*Flags!V$30</f>
        <v>0</v>
      </c>
      <c r="W168" s="490">
        <f>W167*Flags!W$30</f>
        <v>0</v>
      </c>
      <c r="X168" s="490">
        <f>X167*Flags!X$30</f>
        <v>0</v>
      </c>
      <c r="Y168" s="490">
        <f>Y167*Flags!Y$30</f>
        <v>0</v>
      </c>
      <c r="Z168" s="490">
        <f>Z167*Flags!Z$30</f>
        <v>0</v>
      </c>
      <c r="AA168" s="490">
        <f>AA167*Flags!AA$30</f>
        <v>0</v>
      </c>
      <c r="AB168" s="490">
        <f>AB167*Flags!AB$30</f>
        <v>0</v>
      </c>
      <c r="AC168" s="490">
        <f>AC167*Flags!AC$30</f>
        <v>0</v>
      </c>
      <c r="AD168" s="490">
        <f>AD167*Flags!AD$30</f>
        <v>0</v>
      </c>
      <c r="AE168" s="490">
        <f>AE167*Flags!AE$30</f>
        <v>0</v>
      </c>
      <c r="AF168" s="490">
        <f>AF167*Flags!AF$30</f>
        <v>0</v>
      </c>
      <c r="AG168" s="490">
        <f>AG167*Flags!AG$30</f>
        <v>0</v>
      </c>
      <c r="AH168" s="490">
        <f>AH167*Flags!AH$30</f>
        <v>0</v>
      </c>
      <c r="AI168" s="490">
        <f>AI167*Flags!AI$30</f>
        <v>0</v>
      </c>
      <c r="AJ168" s="490">
        <f>AJ167*Flags!AJ$30</f>
        <v>0</v>
      </c>
      <c r="AK168" s="490">
        <f>AK167*Flags!AK$30</f>
        <v>0</v>
      </c>
      <c r="AL168" s="490">
        <f>AL167*Flags!AL$30</f>
        <v>0</v>
      </c>
      <c r="AM168" s="490">
        <f>AM167*Flags!AM$30</f>
        <v>0</v>
      </c>
      <c r="AN168" s="490">
        <f>AN167*Flags!AN$30</f>
        <v>0</v>
      </c>
      <c r="AO168" s="490">
        <f>AO167*Flags!AO$30</f>
        <v>0</v>
      </c>
      <c r="AP168" s="490">
        <f>AP167*Flags!AP$30</f>
        <v>0</v>
      </c>
      <c r="AQ168" s="490">
        <f>AQ167*Flags!AQ$30</f>
        <v>0</v>
      </c>
      <c r="AR168" s="490">
        <f>AR167*Flags!AR$30</f>
        <v>0</v>
      </c>
      <c r="AS168" s="490">
        <f>AS167*Flags!AS$30</f>
        <v>0</v>
      </c>
      <c r="AT168" s="490">
        <f>AT167*Flags!AT$30</f>
        <v>0</v>
      </c>
      <c r="AU168" s="490">
        <f>AU167*Flags!AU$30</f>
        <v>0</v>
      </c>
      <c r="AV168" s="490">
        <f>AV167*Flags!AV$30</f>
        <v>0</v>
      </c>
      <c r="AW168" s="490">
        <f>AW167*Flags!AW$30</f>
        <v>0</v>
      </c>
      <c r="AX168" s="490">
        <f>AX167*Flags!AX$30</f>
        <v>0</v>
      </c>
      <c r="AY168" s="490">
        <f>AY167*Flags!AY$30</f>
        <v>0</v>
      </c>
      <c r="AZ168" s="490">
        <f>AZ167*Flags!AZ$30</f>
        <v>0</v>
      </c>
      <c r="BA168" s="490">
        <f>BA167*Flags!BA$30</f>
        <v>0</v>
      </c>
      <c r="BB168" s="490">
        <f>BB167*Flags!BB$30</f>
        <v>0</v>
      </c>
      <c r="BC168" s="490">
        <f>BC167*Flags!BC$30</f>
        <v>0</v>
      </c>
      <c r="BD168" s="490">
        <f>BD167*Flags!BD$30</f>
        <v>0</v>
      </c>
      <c r="BE168" s="490">
        <f>BE167*Flags!BE$30</f>
        <v>0</v>
      </c>
      <c r="BF168" s="490">
        <f>BF167*Flags!BF$30</f>
        <v>0</v>
      </c>
      <c r="BG168" s="490">
        <f>BG167*Flags!BG$30</f>
        <v>0</v>
      </c>
      <c r="BH168" s="490">
        <f>BH167*Flags!BH$30</f>
        <v>0</v>
      </c>
      <c r="BI168" s="490">
        <f>BI167*Flags!BI$30</f>
        <v>0</v>
      </c>
      <c r="BJ168" s="490">
        <f>BJ167*Flags!BJ$30</f>
        <v>0</v>
      </c>
      <c r="BK168" s="490">
        <f>BK167*Flags!BK$30</f>
        <v>0</v>
      </c>
      <c r="BL168" s="490">
        <f>BL167*Flags!BL$30</f>
        <v>0</v>
      </c>
      <c r="BM168" s="490">
        <f>BM167*Flags!BM$30</f>
        <v>0</v>
      </c>
      <c r="BN168" s="490">
        <f>BN167*Flags!BN$30</f>
        <v>0</v>
      </c>
      <c r="BO168" s="490">
        <f>BO167*Flags!BO$30</f>
        <v>0</v>
      </c>
      <c r="BP168" s="490">
        <f>BP167*Flags!BP$30</f>
        <v>0</v>
      </c>
      <c r="BQ168" s="490">
        <f>BQ167*Flags!BQ$30</f>
        <v>0</v>
      </c>
      <c r="BR168" s="490">
        <f>BR167*Flags!BR$30</f>
        <v>0</v>
      </c>
      <c r="BS168" s="490">
        <f>BS167*Flags!BS$30</f>
        <v>0</v>
      </c>
      <c r="BT168" s="490">
        <f>BT167*Flags!BT$30</f>
        <v>0</v>
      </c>
      <c r="BU168" s="490">
        <f>BU167*Flags!BU$30</f>
        <v>0</v>
      </c>
      <c r="BV168" s="490">
        <f>BV167*Flags!BV$30</f>
        <v>0</v>
      </c>
      <c r="BW168" s="490">
        <f>BW167*Flags!BW$30</f>
        <v>0</v>
      </c>
      <c r="BX168" s="490">
        <f>BX167*Flags!BX$30</f>
        <v>0</v>
      </c>
      <c r="BY168" s="490">
        <f>BY167*Flags!BY$30</f>
        <v>0</v>
      </c>
      <c r="BZ168" s="490">
        <f>BZ167*Flags!BZ$30</f>
        <v>0</v>
      </c>
      <c r="CA168" s="490">
        <f>CA167*Flags!CA$30</f>
        <v>0</v>
      </c>
      <c r="CB168" s="490">
        <f>CB167*Flags!CB$30</f>
        <v>0</v>
      </c>
      <c r="CC168" s="490">
        <f>CC167*Flags!CC$30</f>
        <v>0</v>
      </c>
      <c r="CD168" s="490">
        <f>CD167*Flags!CD$30</f>
        <v>0</v>
      </c>
      <c r="CE168" s="490">
        <f>CE167*Flags!CE$30</f>
        <v>0</v>
      </c>
      <c r="CF168" s="490">
        <f>CF167*Flags!CF$30</f>
        <v>0</v>
      </c>
      <c r="CG168" s="490">
        <f>CG167*Flags!CG$30</f>
        <v>0</v>
      </c>
      <c r="CH168" s="490">
        <f>CH167*Flags!CH$30</f>
        <v>0</v>
      </c>
      <c r="CI168" s="490">
        <f>CI167*Flags!CI$30</f>
        <v>0</v>
      </c>
      <c r="CJ168" s="490">
        <f>CJ167*Flags!CJ$30</f>
        <v>0</v>
      </c>
      <c r="CK168" s="490">
        <f>CK167*Flags!CK$30</f>
        <v>0</v>
      </c>
      <c r="CL168" s="490">
        <f>CL167*Flags!CL$30</f>
        <v>0</v>
      </c>
      <c r="CM168" s="490">
        <f>CM167*Flags!CM$30</f>
        <v>0</v>
      </c>
      <c r="CN168" s="490">
        <f>CN167*Flags!CN$30</f>
        <v>0</v>
      </c>
      <c r="CO168" s="490">
        <f>CO167*Flags!CO$30</f>
        <v>0</v>
      </c>
      <c r="CP168" s="490">
        <f>CP167*Flags!CP$30</f>
        <v>0</v>
      </c>
      <c r="CQ168" s="490">
        <f>CQ167*Flags!CQ$30</f>
        <v>0</v>
      </c>
      <c r="CR168" s="490">
        <f>CR167*Flags!CR$30</f>
        <v>0</v>
      </c>
      <c r="CS168" s="490">
        <f>CS167*Flags!CS$30</f>
        <v>0</v>
      </c>
      <c r="CT168" s="490">
        <f>CT167*Flags!CT$30</f>
        <v>0</v>
      </c>
      <c r="CU168" s="490">
        <f>CU167*Flags!CU$30</f>
        <v>0</v>
      </c>
      <c r="CV168" s="490">
        <f>CV167*Flags!CV$30</f>
        <v>0</v>
      </c>
      <c r="CW168" s="490">
        <f>CW167*Flags!CW$30</f>
        <v>0</v>
      </c>
      <c r="CX168" s="490">
        <f>CX167*Flags!CX$30</f>
        <v>0</v>
      </c>
      <c r="CY168" s="490">
        <f>CY167*Flags!CY$30</f>
        <v>0</v>
      </c>
      <c r="CZ168" s="490">
        <f>CZ167*Flags!CZ$30</f>
        <v>0</v>
      </c>
      <c r="DA168" s="490">
        <f>DA167*Flags!DA$30</f>
        <v>0</v>
      </c>
      <c r="DB168" s="490">
        <f>DB167*Flags!DB$30</f>
        <v>0</v>
      </c>
      <c r="DC168" s="490">
        <f>DC167*Flags!DC$30</f>
        <v>0</v>
      </c>
      <c r="DD168" s="490">
        <f>DD167*Flags!DD$30</f>
        <v>0</v>
      </c>
      <c r="DE168" s="490">
        <f>DE167*Flags!DE$30</f>
        <v>0</v>
      </c>
      <c r="DF168" s="490">
        <f>DF167*Flags!DF$30</f>
        <v>0</v>
      </c>
      <c r="DG168" s="490">
        <f>DG167*Flags!DG$30</f>
        <v>0</v>
      </c>
      <c r="DH168" s="490">
        <f>DH167*Flags!DH$30</f>
        <v>0</v>
      </c>
      <c r="DI168" s="490">
        <f>DI167*Flags!DI$30</f>
        <v>0</v>
      </c>
      <c r="DJ168" s="490">
        <f>DJ167*Flags!DJ$30</f>
        <v>0</v>
      </c>
      <c r="DK168" s="490">
        <f>DK167*Flags!DK$30</f>
        <v>0</v>
      </c>
      <c r="DL168" s="490">
        <f>DL167*Flags!DL$30</f>
        <v>0</v>
      </c>
      <c r="DM168" s="490">
        <f>DM167*Flags!DM$30</f>
        <v>0</v>
      </c>
      <c r="DN168" s="490">
        <f>DN167*Flags!DN$30</f>
        <v>0</v>
      </c>
      <c r="DO168" s="490">
        <f>DO167*Flags!DO$30</f>
        <v>0</v>
      </c>
      <c r="DP168" s="490">
        <f>DP167*Flags!DP$30</f>
        <v>0</v>
      </c>
      <c r="DQ168" s="490">
        <f>DQ167*Flags!DQ$30</f>
        <v>0</v>
      </c>
      <c r="DR168" s="490">
        <f>DR167*Flags!DR$30</f>
        <v>0</v>
      </c>
      <c r="DS168" s="490">
        <f>DS167*Flags!DS$30</f>
        <v>0</v>
      </c>
      <c r="DT168" s="490">
        <f>DT167*Flags!DT$30</f>
        <v>0</v>
      </c>
      <c r="DU168" s="490">
        <f>DU167*Flags!DU$30</f>
        <v>0</v>
      </c>
      <c r="DV168" s="490">
        <f>DV167*Flags!DV$30</f>
        <v>0</v>
      </c>
      <c r="DW168" s="490">
        <f>DW167*Flags!DW$30</f>
        <v>0</v>
      </c>
      <c r="DX168" s="490">
        <f>DX167*Flags!DX$30</f>
        <v>0</v>
      </c>
      <c r="DY168" s="490">
        <f>DY167*Flags!DY$30</f>
        <v>0</v>
      </c>
    </row>
    <row r="169" spans="2:129">
      <c r="B169" s="44"/>
      <c r="C169" s="43" t="s">
        <v>640</v>
      </c>
      <c r="D169" s="43"/>
      <c r="E169"/>
      <c r="F169" s="126"/>
      <c r="G169" s="126"/>
      <c r="H169" s="126"/>
      <c r="I169" s="43"/>
      <c r="J169" s="490">
        <f>IF(J168=0,IF($E166="USD",I169*(1+Flags!$D$31)^(1/12)-J173,I169-J173),J168-J173)</f>
        <v>0</v>
      </c>
      <c r="K169" s="490">
        <f>IF(K168=0,IF($E166="USD",J169*(1+Flags!$D$31)^(1/12)-K173,J169-K173),K168-K173)</f>
        <v>0</v>
      </c>
      <c r="L169" s="490">
        <f>IF(L168=0,IF($E166="USD",K169*(1+Flags!$D$31)^(1/12)-L173,K169-L173),L168-L173)</f>
        <v>0</v>
      </c>
      <c r="M169" s="490">
        <f>IF(M168=0,IF($E166="USD",L169*(1+Flags!$D$31)^(1/12)-M173,L169-M173),M168-M173)</f>
        <v>0</v>
      </c>
      <c r="N169" s="490">
        <f>IF(N168=0,IF($E166="USD",M169*(1+Flags!$D$31)^(1/12)-N173,M169-N173),N168-N173)</f>
        <v>0</v>
      </c>
      <c r="O169" s="490">
        <f>IF(O168=0,IF($E166="USD",N169*(1+Flags!$D$31)^(1/12)-O173,N169-O173),O168-O173)</f>
        <v>0</v>
      </c>
      <c r="P169" s="490">
        <f>IF(P168=0,IF($E166="USD",O169*(1+Flags!$D$31)^(1/12)-P173,O169-P173),P168-P173)</f>
        <v>0</v>
      </c>
      <c r="Q169" s="490">
        <f>IF(Q168=0,IF($E166="USD",P169*(1+Flags!$D$31)^(1/12)-Q173,P169-Q173),Q168-Q173)</f>
        <v>0</v>
      </c>
      <c r="R169" s="490">
        <f>IF(R168=0,IF($E166="USD",Q169*(1+Flags!$D$31)^(1/12)-R173,Q169-R173),R168-R173)</f>
        <v>0</v>
      </c>
      <c r="S169" s="490">
        <f>IF(S168=0,IF($E166="USD",R169*(1+Flags!$D$31)^(1/12)-S173,R169-S173),S168-S173)</f>
        <v>0</v>
      </c>
      <c r="T169" s="490">
        <f>IF(T168=0,IF($E166="USD",S169*(1+Flags!$D$31)^(1/12)-T173,S169-T173),T168-T173)</f>
        <v>0</v>
      </c>
      <c r="U169" s="490">
        <f>IF(U168=0,IF($E166="USD",T169*(1+Flags!$D$31)^(1/12)-U173,T169-U173),U168-U173)</f>
        <v>0</v>
      </c>
      <c r="V169" s="490">
        <f>IF(V168=0,IF($E166="USD",U169*(1+Flags!$D$31)^(1/12)-V173,U169-V173),V168-V173)</f>
        <v>0</v>
      </c>
      <c r="W169" s="490">
        <f>IF(W168=0,IF($E166="USD",V169*(1+Flags!$D$31)^(1/12)-W173,V169-W173),W168-W173)</f>
        <v>0</v>
      </c>
      <c r="X169" s="490">
        <f>IF(X168=0,IF($E166="USD",W169*(1+Flags!$D$31)^(1/12)-X173,W169-X173),X168-X173)</f>
        <v>0</v>
      </c>
      <c r="Y169" s="490">
        <f>IF(Y168=0,IF($E166="USD",X169*(1+Flags!$D$31)^(1/12)-Y173,X169-Y173),Y168-Y173)</f>
        <v>0</v>
      </c>
      <c r="Z169" s="490">
        <f>IF(Z168=0,IF($E166="USD",Y169*(1+Flags!$D$31)^(1/12)-Z173,Y169-Z173),Z168-Z173)</f>
        <v>0</v>
      </c>
      <c r="AA169" s="490">
        <f>IF(AA168=0,IF($E166="USD",Z169*(1+Flags!$D$31)^(1/12)-AA173,Z169-AA173),AA168-AA173)</f>
        <v>0</v>
      </c>
      <c r="AB169" s="490">
        <f>IF(AB168=0,IF($E166="USD",AA169*(1+Flags!$D$31)^(1/12)-AB173,AA169-AB173),AB168-AB173)</f>
        <v>0</v>
      </c>
      <c r="AC169" s="490">
        <f>IF(AC168=0,IF($E166="USD",AB169*(1+Flags!$D$31)^(1/12)-AC173,AB169-AC173),AC168-AC173)</f>
        <v>0</v>
      </c>
      <c r="AD169" s="490">
        <f>IF(AD168=0,IF($E166="USD",AC169*(1+Flags!$D$31)^(1/12)-AD173,AC169-AD173),AD168-AD173)</f>
        <v>0</v>
      </c>
      <c r="AE169" s="490">
        <f>IF(AE168=0,IF($E166="USD",AD169*(1+Flags!$D$31)^(1/12)-AE173,AD169-AE173),AE168-AE173)</f>
        <v>0</v>
      </c>
      <c r="AF169" s="490">
        <f>IF(AF168=0,IF($E166="USD",AE169*(1+Flags!$D$31)^(1/12)-AF173,AE169-AF173),AF168-AF173)</f>
        <v>0</v>
      </c>
      <c r="AG169" s="490">
        <f>IF(AG168=0,IF($E166="USD",AF169*(1+Flags!$D$31)^(1/12)-AG173,AF169-AG173),AG168-AG173)</f>
        <v>0</v>
      </c>
      <c r="AH169" s="490">
        <f>IF(AH168=0,IF($E166="USD",AG169*(1+Flags!$D$31)^(1/12)-AH173,AG169-AH173),AH168-AH173)</f>
        <v>0</v>
      </c>
      <c r="AI169" s="490">
        <f>IF(AI168=0,IF($E166="USD",AH169*(1+Flags!$D$31)^(1/12)-AI173,AH169-AI173),AI168-AI173)</f>
        <v>0</v>
      </c>
      <c r="AJ169" s="490">
        <f>IF(AJ168=0,IF($E166="USD",AI169*(1+Flags!$D$31)^(1/12)-AJ173,AI169-AJ173),AJ168-AJ173)</f>
        <v>0</v>
      </c>
      <c r="AK169" s="490">
        <f>IF(AK168=0,IF($E166="USD",AJ169*(1+Flags!$D$31)^(1/12)-AK173,AJ169-AK173),AK168-AK173)</f>
        <v>0</v>
      </c>
      <c r="AL169" s="490">
        <f>IF(AL168=0,IF($E166="USD",AK169*(1+Flags!$D$31)^(1/12)-AL173,AK169-AL173),AL168-AL173)</f>
        <v>0</v>
      </c>
      <c r="AM169" s="490">
        <f>IF(AM168=0,IF($E166="USD",AL169*(1+Flags!$D$31)^(1/12)-AM173,AL169-AM173),AM168-AM173)</f>
        <v>0</v>
      </c>
      <c r="AN169" s="490">
        <f>IF(AN168=0,IF($E166="USD",AM169*(1+Flags!$D$31)^(1/12)-AN173,AM169-AN173),AN168-AN173)</f>
        <v>0</v>
      </c>
      <c r="AO169" s="490">
        <f>IF(AO168=0,IF($E166="USD",AN169*(1+Flags!$D$31)^(1/12)-AO173,AN169-AO173),AO168-AO173)</f>
        <v>0</v>
      </c>
      <c r="AP169" s="490">
        <f>IF(AP168=0,IF($E166="USD",AO169*(1+Flags!$D$31)^(1/12)-AP173,AO169-AP173),AP168-AP173)</f>
        <v>0</v>
      </c>
      <c r="AQ169" s="490">
        <f>IF(AQ168=0,IF($E166="USD",AP169*(1+Flags!$D$31)^(1/12)-AQ173,AP169-AQ173),AQ168-AQ173)</f>
        <v>0</v>
      </c>
      <c r="AR169" s="490">
        <f>IF(AR168=0,IF($E166="USD",AQ169*(1+Flags!$D$31)^(1/12)-AR173,AQ169-AR173),AR168-AR173)</f>
        <v>0</v>
      </c>
      <c r="AS169" s="490">
        <f>IF(AS168=0,IF($E166="USD",AR169*(1+Flags!$D$31)^(1/12)-AS173,AR169-AS173),AS168-AS173)</f>
        <v>0</v>
      </c>
      <c r="AT169" s="490">
        <f>IF(AT168=0,IF($E166="USD",AS169*(1+Flags!$D$31)^(1/12)-AT173,AS169-AT173),AT168-AT173)</f>
        <v>0</v>
      </c>
      <c r="AU169" s="490">
        <f>IF(AU168=0,IF($E166="USD",AT169*(1+Flags!$D$31)^(1/12)-AU173,AT169-AU173),AU168-AU173)</f>
        <v>0</v>
      </c>
      <c r="AV169" s="490">
        <f>IF(AV168=0,IF($E166="USD",AU169*(1+Flags!$D$31)^(1/12)-AV173,AU169-AV173),AV168-AV173)</f>
        <v>0</v>
      </c>
      <c r="AW169" s="490">
        <f>IF(AW168=0,IF($E166="USD",AV169*(1+Flags!$D$31)^(1/12)-AW173,AV169-AW173),AW168-AW173)</f>
        <v>0</v>
      </c>
      <c r="AX169" s="490">
        <f>IF(AX168=0,IF($E166="USD",AW169*(1+Flags!$D$31)^(1/12)-AX173,AW169-AX173),AX168-AX173)</f>
        <v>0</v>
      </c>
      <c r="AY169" s="490">
        <f>IF(AY168=0,IF($E166="USD",AX169*(1+Flags!$D$31)^(1/12)-AY173,AX169-AY173),AY168-AY173)</f>
        <v>0</v>
      </c>
      <c r="AZ169" s="490">
        <f>IF(AZ168=0,IF($E166="USD",AY169*(1+Flags!$D$31)^(1/12)-AZ173,AY169-AZ173),AZ168-AZ173)</f>
        <v>0</v>
      </c>
      <c r="BA169" s="490">
        <f>IF(BA168=0,IF($E166="USD",AZ169*(1+Flags!$D$31)^(1/12)-BA173,AZ169-BA173),BA168-BA173)</f>
        <v>0</v>
      </c>
      <c r="BB169" s="490">
        <f>IF(BB168=0,IF($E166="USD",BA169*(1+Flags!$D$31)^(1/12)-BB173,BA169-BB173),BB168-BB173)</f>
        <v>0</v>
      </c>
      <c r="BC169" s="490">
        <f>IF(BC168=0,IF($E166="USD",BB169*(1+Flags!$D$31)^(1/12)-BC173,BB169-BC173),BC168-BC173)</f>
        <v>0</v>
      </c>
      <c r="BD169" s="490">
        <f>IF(BD168=0,IF($E166="USD",BC169*(1+Flags!$D$31)^(1/12)-BD173,BC169-BD173),BD168-BD173)</f>
        <v>0</v>
      </c>
      <c r="BE169" s="490">
        <f>IF(BE168=0,IF($E166="USD",BD169*(1+Flags!$D$31)^(1/12)-BE173,BD169-BE173),BE168-BE173)</f>
        <v>0</v>
      </c>
      <c r="BF169" s="490">
        <f>IF(BF168=0,IF($E166="USD",BE169*(1+Flags!$D$31)^(1/12)-BF173,BE169-BF173),BF168-BF173)</f>
        <v>0</v>
      </c>
      <c r="BG169" s="490">
        <f>IF(BG168=0,IF($E166="USD",BF169*(1+Flags!$D$31)^(1/12)-BG173,BF169-BG173),BG168-BG173)</f>
        <v>0</v>
      </c>
      <c r="BH169" s="490">
        <f>IF(BH168=0,IF($E166="USD",BG169*(1+Flags!$D$31)^(1/12)-BH173,BG169-BH173),BH168-BH173)</f>
        <v>0</v>
      </c>
      <c r="BI169" s="490">
        <f>IF(BI168=0,IF($E166="USD",BH169*(1+Flags!$D$31)^(1/12)-BI173,BH169-BI173),BI168-BI173)</f>
        <v>0</v>
      </c>
      <c r="BJ169" s="490">
        <f>IF(BJ168=0,IF($E166="USD",BI169*(1+Flags!$D$31)^(1/12)-BJ173,BI169-BJ173),BJ168-BJ173)</f>
        <v>0</v>
      </c>
      <c r="BK169" s="490">
        <f>IF(BK168=0,IF($E166="USD",BJ169*(1+Flags!$D$31)^(1/12)-BK173,BJ169-BK173),BK168-BK173)</f>
        <v>0</v>
      </c>
      <c r="BL169" s="490">
        <f>IF(BL168=0,IF($E166="USD",BK169*(1+Flags!$D$31)^(1/12)-BL173,BK169-BL173),BL168-BL173)</f>
        <v>0</v>
      </c>
      <c r="BM169" s="490">
        <f>IF(BM168=0,IF($E166="USD",BL169*(1+Flags!$D$31)^(1/12)-BM173,BL169-BM173),BM168-BM173)</f>
        <v>0</v>
      </c>
      <c r="BN169" s="490">
        <f>IF(BN168=0,IF($E166="USD",BM169*(1+Flags!$D$31)^(1/12)-BN173,BM169-BN173),BN168-BN173)</f>
        <v>0</v>
      </c>
      <c r="BO169" s="490">
        <f>IF(BO168=0,IF($E166="USD",BN169*(1+Flags!$D$31)^(1/12)-BO173,BN169-BO173),BO168-BO173)</f>
        <v>0</v>
      </c>
      <c r="BP169" s="490">
        <f>IF(BP168=0,IF($E166="USD",BO169*(1+Flags!$D$31)^(1/12)-BP173,BO169-BP173),BP168-BP173)</f>
        <v>0</v>
      </c>
      <c r="BQ169" s="490">
        <f>IF(BQ168=0,IF($E166="USD",BP169*(1+Flags!$D$31)^(1/12)-BQ173,BP169-BQ173),BQ168-BQ173)</f>
        <v>0</v>
      </c>
      <c r="BR169" s="490">
        <f>IF(BR168=0,IF($E166="USD",BQ169*(1+Flags!$D$31)^(1/12)-BR173,BQ169-BR173),BR168-BR173)</f>
        <v>0</v>
      </c>
      <c r="BS169" s="490">
        <f>IF(BS168=0,IF($E166="USD",BR169*(1+Flags!$D$31)^(1/12)-BS173,BR169-BS173),BS168-BS173)</f>
        <v>0</v>
      </c>
      <c r="BT169" s="490">
        <f>IF(BT168=0,IF($E166="USD",BS169*(1+Flags!$D$31)^(1/12)-BT173,BS169-BT173),BT168-BT173)</f>
        <v>0</v>
      </c>
      <c r="BU169" s="490">
        <f>IF(BU168=0,IF($E166="USD",BT169*(1+Flags!$D$31)^(1/12)-BU173,BT169-BU173),BU168-BU173)</f>
        <v>0</v>
      </c>
      <c r="BV169" s="490">
        <f>IF(BV168=0,IF($E166="USD",BU169*(1+Flags!$D$31)^(1/12)-BV173,BU169-BV173),BV168-BV173)</f>
        <v>0</v>
      </c>
      <c r="BW169" s="490">
        <f>IF(BW168=0,IF($E166="USD",BV169*(1+Flags!$D$31)^(1/12)-BW173,BV169-BW173),BW168-BW173)</f>
        <v>0</v>
      </c>
      <c r="BX169" s="490">
        <f>IF(BX168=0,IF($E166="USD",BW169*(1+Flags!$D$31)^(1/12)-BX173,BW169-BX173),BX168-BX173)</f>
        <v>0</v>
      </c>
      <c r="BY169" s="490">
        <f>IF(BY168=0,IF($E166="USD",BX169*(1+Flags!$D$31)^(1/12)-BY173,BX169-BY173),BY168-BY173)</f>
        <v>0</v>
      </c>
      <c r="BZ169" s="490">
        <f>IF(BZ168=0,IF($E166="USD",BY169*(1+Flags!$D$31)^(1/12)-BZ173,BY169-BZ173),BZ168-BZ173)</f>
        <v>0</v>
      </c>
      <c r="CA169" s="490">
        <f>IF(CA168=0,IF($E166="USD",BZ169*(1+Flags!$D$31)^(1/12)-CA173,BZ169-CA173),CA168-CA173)</f>
        <v>0</v>
      </c>
      <c r="CB169" s="490">
        <f>IF(CB168=0,IF($E166="USD",CA169*(1+Flags!$D$31)^(1/12)-CB173,CA169-CB173),CB168-CB173)</f>
        <v>0</v>
      </c>
      <c r="CC169" s="490">
        <f>IF(CC168=0,IF($E166="USD",CB169*(1+Flags!$D$31)^(1/12)-CC173,CB169-CC173),CC168-CC173)</f>
        <v>0</v>
      </c>
      <c r="CD169" s="490">
        <f>IF(CD168=0,IF($E166="USD",CC169*(1+Flags!$D$31)^(1/12)-CD173,CC169-CD173),CD168-CD173)</f>
        <v>0</v>
      </c>
      <c r="CE169" s="490">
        <f>IF(CE168=0,IF($E166="USD",CD169*(1+Flags!$D$31)^(1/12)-CE173,CD169-CE173),CE168-CE173)</f>
        <v>0</v>
      </c>
      <c r="CF169" s="490">
        <f>IF(CF168=0,IF($E166="USD",CE169*(1+Flags!$D$31)^(1/12)-CF173,CE169-CF173),CF168-CF173)</f>
        <v>0</v>
      </c>
      <c r="CG169" s="490">
        <f>IF(CG168=0,IF($E166="USD",CF169*(1+Flags!$D$31)^(1/12)-CG173,CF169-CG173),CG168-CG173)</f>
        <v>0</v>
      </c>
      <c r="CH169" s="490">
        <f>IF(CH168=0,IF($E166="USD",CG169*(1+Flags!$D$31)^(1/12)-CH173,CG169-CH173),CH168-CH173)</f>
        <v>0</v>
      </c>
      <c r="CI169" s="490">
        <f>IF(CI168=0,IF($E166="USD",CH169*(1+Flags!$D$31)^(1/12)-CI173,CH169-CI173),CI168-CI173)</f>
        <v>0</v>
      </c>
      <c r="CJ169" s="490">
        <f>IF(CJ168=0,IF($E166="USD",CI169*(1+Flags!$D$31)^(1/12)-CJ173,CI169-CJ173),CJ168-CJ173)</f>
        <v>0</v>
      </c>
      <c r="CK169" s="490">
        <f>IF(CK168=0,IF($E166="USD",CJ169*(1+Flags!$D$31)^(1/12)-CK173,CJ169-CK173),CK168-CK173)</f>
        <v>0</v>
      </c>
      <c r="CL169" s="490">
        <f>IF(CL168=0,IF($E166="USD",CK169*(1+Flags!$D$31)^(1/12)-CL173,CK169-CL173),CL168-CL173)</f>
        <v>0</v>
      </c>
      <c r="CM169" s="490">
        <f>IF(CM168=0,IF($E166="USD",CL169*(1+Flags!$D$31)^(1/12)-CM173,CL169-CM173),CM168-CM173)</f>
        <v>0</v>
      </c>
      <c r="CN169" s="490">
        <f>IF(CN168=0,IF($E166="USD",CM169*(1+Flags!$D$31)^(1/12)-CN173,CM169-CN173),CN168-CN173)</f>
        <v>0</v>
      </c>
      <c r="CO169" s="490">
        <f>IF(CO168=0,IF($E166="USD",CN169*(1+Flags!$D$31)^(1/12)-CO173,CN169-CO173),CO168-CO173)</f>
        <v>0</v>
      </c>
      <c r="CP169" s="490">
        <f>IF(CP168=0,IF($E166="USD",CO169*(1+Flags!$D$31)^(1/12)-CP173,CO169-CP173),CP168-CP173)</f>
        <v>0</v>
      </c>
      <c r="CQ169" s="490">
        <f>IF(CQ168=0,IF($E166="USD",CP169*(1+Flags!$D$31)^(1/12)-CQ173,CP169-CQ173),CQ168-CQ173)</f>
        <v>0</v>
      </c>
      <c r="CR169" s="490">
        <f>IF(CR168=0,IF($E166="USD",CQ169*(1+Flags!$D$31)^(1/12)-CR173,CQ169-CR173),CR168-CR173)</f>
        <v>0</v>
      </c>
      <c r="CS169" s="490">
        <f>IF(CS168=0,IF($E166="USD",CR169*(1+Flags!$D$31)^(1/12)-CS173,CR169-CS173),CS168-CS173)</f>
        <v>0</v>
      </c>
      <c r="CT169" s="490">
        <f>IF(CT168=0,IF($E166="USD",CS169*(1+Flags!$D$31)^(1/12)-CT173,CS169-CT173),CT168-CT173)</f>
        <v>0</v>
      </c>
      <c r="CU169" s="490">
        <f>IF(CU168=0,IF($E166="USD",CT169*(1+Flags!$D$31)^(1/12)-CU173,CT169-CU173),CU168-CU173)</f>
        <v>0</v>
      </c>
      <c r="CV169" s="490">
        <f>IF(CV168=0,IF($E166="USD",CU169*(1+Flags!$D$31)^(1/12)-CV173,CU169-CV173),CV168-CV173)</f>
        <v>0</v>
      </c>
      <c r="CW169" s="490">
        <f>IF(CW168=0,IF($E166="USD",CV169*(1+Flags!$D$31)^(1/12)-CW173,CV169-CW173),CW168-CW173)</f>
        <v>0</v>
      </c>
      <c r="CX169" s="490">
        <f>IF(CX168=0,IF($E166="USD",CW169*(1+Flags!$D$31)^(1/12)-CX173,CW169-CX173),CX168-CX173)</f>
        <v>0</v>
      </c>
      <c r="CY169" s="490">
        <f>IF(CY168=0,IF($E166="USD",CX169*(1+Flags!$D$31)^(1/12)-CY173,CX169-CY173),CY168-CY173)</f>
        <v>0</v>
      </c>
      <c r="CZ169" s="490">
        <f>IF(CZ168=0,IF($E166="USD",CY169*(1+Flags!$D$31)^(1/12)-CZ173,CY169-CZ173),CZ168-CZ173)</f>
        <v>0</v>
      </c>
      <c r="DA169" s="490">
        <f>IF(DA168=0,IF($E166="USD",CZ169*(1+Flags!$D$31)^(1/12)-DA173,CZ169-DA173),DA168-DA173)</f>
        <v>0</v>
      </c>
      <c r="DB169" s="490">
        <f>IF(DB168=0,IF($E166="USD",DA169*(1+Flags!$D$31)^(1/12)-DB173,DA169-DB173),DB168-DB173)</f>
        <v>0</v>
      </c>
      <c r="DC169" s="490">
        <f>IF(DC168=0,IF($E166="USD",DB169*(1+Flags!$D$31)^(1/12)-DC173,DB169-DC173),DC168-DC173)</f>
        <v>0</v>
      </c>
      <c r="DD169" s="490">
        <f>IF(DD168=0,IF($E166="USD",DC169*(1+Flags!$D$31)^(1/12)-DD173,DC169-DD173),DD168-DD173)</f>
        <v>0</v>
      </c>
      <c r="DE169" s="490">
        <f>IF(DE168=0,IF($E166="USD",DD169*(1+Flags!$D$31)^(1/12)-DE173,DD169-DE173),DE168-DE173)</f>
        <v>0</v>
      </c>
      <c r="DF169" s="490">
        <f>IF(DF168=0,IF($E166="USD",DE169*(1+Flags!$D$31)^(1/12)-DF173,DE169-DF173),DF168-DF173)</f>
        <v>0</v>
      </c>
      <c r="DG169" s="490">
        <f>IF(DG168=0,IF($E166="USD",DF169*(1+Flags!$D$31)^(1/12)-DG173,DF169-DG173),DG168-DG173)</f>
        <v>0</v>
      </c>
      <c r="DH169" s="490">
        <f>IF(DH168=0,IF($E166="USD",DG169*(1+Flags!$D$31)^(1/12)-DH173,DG169-DH173),DH168-DH173)</f>
        <v>0</v>
      </c>
      <c r="DI169" s="490">
        <f>IF(DI168=0,IF($E166="USD",DH169*(1+Flags!$D$31)^(1/12)-DI173,DH169-DI173),DI168-DI173)</f>
        <v>0</v>
      </c>
      <c r="DJ169" s="490">
        <f>IF(DJ168=0,IF($E166="USD",DI169*(1+Flags!$D$31)^(1/12)-DJ173,DI169-DJ173),DJ168-DJ173)</f>
        <v>0</v>
      </c>
      <c r="DK169" s="490">
        <f>IF(DK168=0,IF($E166="USD",DJ169*(1+Flags!$D$31)^(1/12)-DK173,DJ169-DK173),DK168-DK173)</f>
        <v>0</v>
      </c>
      <c r="DL169" s="490">
        <f>IF(DL168=0,IF($E166="USD",DK169*(1+Flags!$D$31)^(1/12)-DL173,DK169-DL173),DL168-DL173)</f>
        <v>0</v>
      </c>
      <c r="DM169" s="490">
        <f>IF(DM168=0,IF($E166="USD",DL169*(1+Flags!$D$31)^(1/12)-DM173,DL169-DM173),DM168-DM173)</f>
        <v>0</v>
      </c>
      <c r="DN169" s="490">
        <f>IF(DN168=0,IF($E166="USD",DM169*(1+Flags!$D$31)^(1/12)-DN173,DM169-DN173),DN168-DN173)</f>
        <v>0</v>
      </c>
      <c r="DO169" s="490">
        <f>IF(DO168=0,IF($E166="USD",DN169*(1+Flags!$D$31)^(1/12)-DO173,DN169-DO173),DO168-DO173)</f>
        <v>0</v>
      </c>
      <c r="DP169" s="490">
        <f>IF(DP168=0,IF($E166="USD",DO169*(1+Flags!$D$31)^(1/12)-DP173,DO169-DP173),DP168-DP173)</f>
        <v>0</v>
      </c>
      <c r="DQ169" s="490">
        <f>IF(DQ168=0,IF($E166="USD",DP169*(1+Flags!$D$31)^(1/12)-DQ173,DP169-DQ173),DQ168-DQ173)</f>
        <v>0</v>
      </c>
      <c r="DR169" s="490">
        <f>IF(DR168=0,IF($E166="USD",DQ169*(1+Flags!$D$31)^(1/12)-DR173,DQ169-DR173),DR168-DR173)</f>
        <v>0</v>
      </c>
      <c r="DS169" s="490">
        <f>IF(DS168=0,IF($E166="USD",DR169*(1+Flags!$D$31)^(1/12)-DS173,DR169-DS173),DS168-DS173)</f>
        <v>0</v>
      </c>
      <c r="DT169" s="490">
        <f>IF(DT168=0,IF($E166="USD",DS169*(1+Flags!$D$31)^(1/12)-DT173,DS169-DT173),DT168-DT173)</f>
        <v>0</v>
      </c>
      <c r="DU169" s="490">
        <f>IF(DU168=0,IF($E166="USD",DT169*(1+Flags!$D$31)^(1/12)-DU173,DT169-DU173),DU168-DU173)</f>
        <v>0</v>
      </c>
      <c r="DV169" s="490">
        <f>IF(DV168=0,IF($E166="USD",DU169*(1+Flags!$D$31)^(1/12)-DV173,DU169-DV173),DV168-DV173)</f>
        <v>0</v>
      </c>
      <c r="DW169" s="490">
        <f>IF(DW168=0,IF($E166="USD",DV169*(1+Flags!$D$31)^(1/12)-DW173,DV169-DW173),DW168-DW173)</f>
        <v>0</v>
      </c>
      <c r="DX169" s="490">
        <f>IF(DX168=0,IF($E166="USD",DW169*(1+Flags!$D$31)^(1/12)-DX173,DW169-DX173),DX168-DX173)</f>
        <v>0</v>
      </c>
      <c r="DY169" s="490">
        <f>IF(DY168=0,IF($E166="USD",DX169*(1+Flags!$D$31)^(1/12)-DY173,DX169-DY173),DY168-DY173)</f>
        <v>0</v>
      </c>
    </row>
    <row r="170" spans="2:129">
      <c r="B170" s="44"/>
      <c r="C170" s="43" t="s">
        <v>388</v>
      </c>
      <c r="D170" s="43"/>
      <c r="E170" s="482" t="str">
        <f>+'Model Assumptions'!O138</f>
        <v/>
      </c>
      <c r="F170" s="126"/>
      <c r="G170" s="126"/>
      <c r="H170" s="126"/>
      <c r="I170" s="43"/>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row>
    <row r="171" spans="2:129">
      <c r="B171" s="43"/>
      <c r="C171" s="43" t="s">
        <v>87</v>
      </c>
      <c r="D171" s="43"/>
      <c r="E171" s="483">
        <f>+'Model Assumptions'!O139</f>
        <v>0</v>
      </c>
      <c r="F171" s="129"/>
      <c r="G171" s="129"/>
      <c r="H171" s="129"/>
      <c r="I171" s="43"/>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row>
    <row r="172" spans="2:129">
      <c r="B172" s="43"/>
      <c r="C172" s="43" t="s">
        <v>395</v>
      </c>
      <c r="D172" s="43"/>
      <c r="E172" s="484">
        <f>+'Model Assumptions'!O140</f>
        <v>0</v>
      </c>
      <c r="F172" s="130"/>
      <c r="G172" s="130"/>
      <c r="H172" s="130"/>
      <c r="I172" s="43"/>
      <c r="J172" s="46">
        <f t="shared" ref="J172:AO172" si="149">+IF(AND(J$1&gt;=DATE(YEAR($E165), MONTH($E165) + $E171*12, DAY($E165)),J$1&lt;DATE(YEAR($E165), MONTH($E165) + $E172*12, DAY($E165))),$E170,0)</f>
        <v>0</v>
      </c>
      <c r="K172" s="46">
        <f t="shared" si="149"/>
        <v>0</v>
      </c>
      <c r="L172" s="46">
        <f t="shared" si="149"/>
        <v>0</v>
      </c>
      <c r="M172" s="46">
        <f t="shared" si="149"/>
        <v>0</v>
      </c>
      <c r="N172" s="46">
        <f t="shared" si="149"/>
        <v>0</v>
      </c>
      <c r="O172" s="46">
        <f t="shared" si="149"/>
        <v>0</v>
      </c>
      <c r="P172" s="46">
        <f t="shared" si="149"/>
        <v>0</v>
      </c>
      <c r="Q172" s="46">
        <f t="shared" si="149"/>
        <v>0</v>
      </c>
      <c r="R172" s="46">
        <f t="shared" si="149"/>
        <v>0</v>
      </c>
      <c r="S172" s="46">
        <f t="shared" si="149"/>
        <v>0</v>
      </c>
      <c r="T172" s="46">
        <f t="shared" si="149"/>
        <v>0</v>
      </c>
      <c r="U172" s="46">
        <f t="shared" si="149"/>
        <v>0</v>
      </c>
      <c r="V172" s="46">
        <f t="shared" si="149"/>
        <v>0</v>
      </c>
      <c r="W172" s="46">
        <f t="shared" si="149"/>
        <v>0</v>
      </c>
      <c r="X172" s="46">
        <f t="shared" si="149"/>
        <v>0</v>
      </c>
      <c r="Y172" s="46">
        <f t="shared" si="149"/>
        <v>0</v>
      </c>
      <c r="Z172" s="46">
        <f t="shared" si="149"/>
        <v>0</v>
      </c>
      <c r="AA172" s="46">
        <f t="shared" si="149"/>
        <v>0</v>
      </c>
      <c r="AB172" s="46">
        <f t="shared" si="149"/>
        <v>0</v>
      </c>
      <c r="AC172" s="46">
        <f t="shared" si="149"/>
        <v>0</v>
      </c>
      <c r="AD172" s="46">
        <f t="shared" si="149"/>
        <v>0</v>
      </c>
      <c r="AE172" s="46">
        <f t="shared" si="149"/>
        <v>0</v>
      </c>
      <c r="AF172" s="46">
        <f t="shared" si="149"/>
        <v>0</v>
      </c>
      <c r="AG172" s="46">
        <f t="shared" si="149"/>
        <v>0</v>
      </c>
      <c r="AH172" s="46">
        <f t="shared" si="149"/>
        <v>0</v>
      </c>
      <c r="AI172" s="46">
        <f t="shared" si="149"/>
        <v>0</v>
      </c>
      <c r="AJ172" s="46">
        <f t="shared" si="149"/>
        <v>0</v>
      </c>
      <c r="AK172" s="46">
        <f t="shared" si="149"/>
        <v>0</v>
      </c>
      <c r="AL172" s="46">
        <f t="shared" si="149"/>
        <v>0</v>
      </c>
      <c r="AM172" s="46">
        <f t="shared" si="149"/>
        <v>0</v>
      </c>
      <c r="AN172" s="46">
        <f t="shared" si="149"/>
        <v>0</v>
      </c>
      <c r="AO172" s="46">
        <f t="shared" si="149"/>
        <v>0</v>
      </c>
      <c r="AP172" s="46">
        <f t="shared" ref="AP172:BU172" si="150">+IF(AND(AP$1&gt;=DATE(YEAR($E165), MONTH($E165) + $E171*12, DAY($E165)),AP$1&lt;DATE(YEAR($E165), MONTH($E165) + $E172*12, DAY($E165))),$E170,0)</f>
        <v>0</v>
      </c>
      <c r="AQ172" s="46">
        <f t="shared" si="150"/>
        <v>0</v>
      </c>
      <c r="AR172" s="46">
        <f t="shared" si="150"/>
        <v>0</v>
      </c>
      <c r="AS172" s="46">
        <f t="shared" si="150"/>
        <v>0</v>
      </c>
      <c r="AT172" s="46">
        <f t="shared" si="150"/>
        <v>0</v>
      </c>
      <c r="AU172" s="46">
        <f t="shared" si="150"/>
        <v>0</v>
      </c>
      <c r="AV172" s="46">
        <f t="shared" si="150"/>
        <v>0</v>
      </c>
      <c r="AW172" s="46">
        <f t="shared" si="150"/>
        <v>0</v>
      </c>
      <c r="AX172" s="46">
        <f t="shared" si="150"/>
        <v>0</v>
      </c>
      <c r="AY172" s="46">
        <f t="shared" si="150"/>
        <v>0</v>
      </c>
      <c r="AZ172" s="46">
        <f t="shared" si="150"/>
        <v>0</v>
      </c>
      <c r="BA172" s="46">
        <f t="shared" si="150"/>
        <v>0</v>
      </c>
      <c r="BB172" s="46">
        <f t="shared" si="150"/>
        <v>0</v>
      </c>
      <c r="BC172" s="46">
        <f t="shared" si="150"/>
        <v>0</v>
      </c>
      <c r="BD172" s="46">
        <f t="shared" si="150"/>
        <v>0</v>
      </c>
      <c r="BE172" s="46">
        <f t="shared" si="150"/>
        <v>0</v>
      </c>
      <c r="BF172" s="46">
        <f t="shared" si="150"/>
        <v>0</v>
      </c>
      <c r="BG172" s="46">
        <f t="shared" si="150"/>
        <v>0</v>
      </c>
      <c r="BH172" s="46">
        <f t="shared" si="150"/>
        <v>0</v>
      </c>
      <c r="BI172" s="46">
        <f t="shared" si="150"/>
        <v>0</v>
      </c>
      <c r="BJ172" s="46">
        <f t="shared" si="150"/>
        <v>0</v>
      </c>
      <c r="BK172" s="46">
        <f t="shared" si="150"/>
        <v>0</v>
      </c>
      <c r="BL172" s="46">
        <f t="shared" si="150"/>
        <v>0</v>
      </c>
      <c r="BM172" s="46">
        <f t="shared" si="150"/>
        <v>0</v>
      </c>
      <c r="BN172" s="46">
        <f t="shared" si="150"/>
        <v>0</v>
      </c>
      <c r="BO172" s="46">
        <f t="shared" si="150"/>
        <v>0</v>
      </c>
      <c r="BP172" s="46">
        <f t="shared" si="150"/>
        <v>0</v>
      </c>
      <c r="BQ172" s="46">
        <f t="shared" si="150"/>
        <v>0</v>
      </c>
      <c r="BR172" s="46">
        <f t="shared" si="150"/>
        <v>0</v>
      </c>
      <c r="BS172" s="46">
        <f t="shared" si="150"/>
        <v>0</v>
      </c>
      <c r="BT172" s="46">
        <f t="shared" si="150"/>
        <v>0</v>
      </c>
      <c r="BU172" s="46">
        <f t="shared" si="150"/>
        <v>0</v>
      </c>
      <c r="BV172" s="46">
        <f t="shared" ref="BV172:CC172" si="151">+IF(AND(BV$1&gt;=DATE(YEAR($E165), MONTH($E165) + $E171*12, DAY($E165)),BV$1&lt;DATE(YEAR($E165), MONTH($E165) + $E172*12, DAY($E165))),$E170,0)</f>
        <v>0</v>
      </c>
      <c r="BW172" s="46">
        <f t="shared" si="151"/>
        <v>0</v>
      </c>
      <c r="BX172" s="46">
        <f t="shared" si="151"/>
        <v>0</v>
      </c>
      <c r="BY172" s="46">
        <f t="shared" si="151"/>
        <v>0</v>
      </c>
      <c r="BZ172" s="46">
        <f t="shared" si="151"/>
        <v>0</v>
      </c>
      <c r="CA172" s="46">
        <f t="shared" si="151"/>
        <v>0</v>
      </c>
      <c r="CB172" s="46">
        <f t="shared" si="151"/>
        <v>0</v>
      </c>
      <c r="CC172" s="46">
        <f t="shared" si="151"/>
        <v>0</v>
      </c>
      <c r="CD172" s="46">
        <f t="shared" ref="CD172:DY172" si="152">+IF(AND(CD$1&gt;=DATE(YEAR($E165), MONTH($E165) + $E171*12, DAY($E165)),CD$1&lt;DATE(YEAR($E165), MONTH($E165) + $E172*12, DAY($E165))),$E170,0)</f>
        <v>0</v>
      </c>
      <c r="CE172" s="46">
        <f t="shared" si="152"/>
        <v>0</v>
      </c>
      <c r="CF172" s="46">
        <f t="shared" si="152"/>
        <v>0</v>
      </c>
      <c r="CG172" s="46">
        <f t="shared" si="152"/>
        <v>0</v>
      </c>
      <c r="CH172" s="46">
        <f t="shared" si="152"/>
        <v>0</v>
      </c>
      <c r="CI172" s="46">
        <f t="shared" si="152"/>
        <v>0</v>
      </c>
      <c r="CJ172" s="46">
        <f t="shared" si="152"/>
        <v>0</v>
      </c>
      <c r="CK172" s="46">
        <f t="shared" si="152"/>
        <v>0</v>
      </c>
      <c r="CL172" s="46">
        <f t="shared" si="152"/>
        <v>0</v>
      </c>
      <c r="CM172" s="46">
        <f t="shared" si="152"/>
        <v>0</v>
      </c>
      <c r="CN172" s="46">
        <f t="shared" si="152"/>
        <v>0</v>
      </c>
      <c r="CO172" s="46">
        <f t="shared" si="152"/>
        <v>0</v>
      </c>
      <c r="CP172" s="46">
        <f t="shared" si="152"/>
        <v>0</v>
      </c>
      <c r="CQ172" s="46">
        <f t="shared" si="152"/>
        <v>0</v>
      </c>
      <c r="CR172" s="46">
        <f t="shared" si="152"/>
        <v>0</v>
      </c>
      <c r="CS172" s="46">
        <f t="shared" si="152"/>
        <v>0</v>
      </c>
      <c r="CT172" s="46">
        <f t="shared" si="152"/>
        <v>0</v>
      </c>
      <c r="CU172" s="46">
        <f t="shared" si="152"/>
        <v>0</v>
      </c>
      <c r="CV172" s="46">
        <f t="shared" si="152"/>
        <v>0</v>
      </c>
      <c r="CW172" s="46">
        <f t="shared" si="152"/>
        <v>0</v>
      </c>
      <c r="CX172" s="46">
        <f t="shared" si="152"/>
        <v>0</v>
      </c>
      <c r="CY172" s="46">
        <f t="shared" si="152"/>
        <v>0</v>
      </c>
      <c r="CZ172" s="46">
        <f t="shared" si="152"/>
        <v>0</v>
      </c>
      <c r="DA172" s="46">
        <f t="shared" si="152"/>
        <v>0</v>
      </c>
      <c r="DB172" s="46">
        <f t="shared" si="152"/>
        <v>0</v>
      </c>
      <c r="DC172" s="46">
        <f t="shared" si="152"/>
        <v>0</v>
      </c>
      <c r="DD172" s="46">
        <f t="shared" si="152"/>
        <v>0</v>
      </c>
      <c r="DE172" s="46">
        <f t="shared" si="152"/>
        <v>0</v>
      </c>
      <c r="DF172" s="46">
        <f t="shared" si="152"/>
        <v>0</v>
      </c>
      <c r="DG172" s="46">
        <f t="shared" si="152"/>
        <v>0</v>
      </c>
      <c r="DH172" s="46">
        <f t="shared" si="152"/>
        <v>0</v>
      </c>
      <c r="DI172" s="46">
        <f t="shared" si="152"/>
        <v>0</v>
      </c>
      <c r="DJ172" s="46">
        <f t="shared" si="152"/>
        <v>0</v>
      </c>
      <c r="DK172" s="46">
        <f t="shared" si="152"/>
        <v>0</v>
      </c>
      <c r="DL172" s="46">
        <f t="shared" si="152"/>
        <v>0</v>
      </c>
      <c r="DM172" s="46">
        <f t="shared" si="152"/>
        <v>0</v>
      </c>
      <c r="DN172" s="46">
        <f t="shared" si="152"/>
        <v>0</v>
      </c>
      <c r="DO172" s="46">
        <f t="shared" si="152"/>
        <v>0</v>
      </c>
      <c r="DP172" s="46">
        <f t="shared" si="152"/>
        <v>0</v>
      </c>
      <c r="DQ172" s="46">
        <f t="shared" si="152"/>
        <v>0</v>
      </c>
      <c r="DR172" s="46">
        <f t="shared" si="152"/>
        <v>0</v>
      </c>
      <c r="DS172" s="46">
        <f t="shared" si="152"/>
        <v>0</v>
      </c>
      <c r="DT172" s="46">
        <f t="shared" si="152"/>
        <v>0</v>
      </c>
      <c r="DU172" s="46">
        <f t="shared" si="152"/>
        <v>0</v>
      </c>
      <c r="DV172" s="46">
        <f t="shared" si="152"/>
        <v>0</v>
      </c>
      <c r="DW172" s="46">
        <f t="shared" si="152"/>
        <v>0</v>
      </c>
      <c r="DX172" s="46">
        <f t="shared" si="152"/>
        <v>0</v>
      </c>
      <c r="DY172" s="46">
        <f t="shared" si="152"/>
        <v>0</v>
      </c>
    </row>
    <row r="173" spans="2:129">
      <c r="B173" s="43"/>
      <c r="C173" s="43" t="s">
        <v>389</v>
      </c>
      <c r="D173" s="43"/>
      <c r="E173" s="527"/>
      <c r="F173" s="130"/>
      <c r="G173" s="130"/>
      <c r="H173" s="130"/>
      <c r="I173" s="43"/>
      <c r="J173" s="491">
        <f>IF($E166="LCY",J172*'Model Assumptions'!$O$135,Financing!J172*Flags!J$30)</f>
        <v>0</v>
      </c>
      <c r="K173" s="491">
        <f>IF($E166="LCY",K172*'Model Assumptions'!$O$135,Financing!K172*Flags!K$30)</f>
        <v>0</v>
      </c>
      <c r="L173" s="491">
        <f>IF($E166="LCY",L172*'Model Assumptions'!$O$135,Financing!L172*Flags!L$30)</f>
        <v>0</v>
      </c>
      <c r="M173" s="491">
        <f>IF($E166="LCY",M172*'Model Assumptions'!$O$135,Financing!M172*Flags!M$30)</f>
        <v>0</v>
      </c>
      <c r="N173" s="491">
        <f>IF($E166="LCY",N172*'Model Assumptions'!$O$135,Financing!N172*Flags!N$30)</f>
        <v>0</v>
      </c>
      <c r="O173" s="491">
        <f>IF($E166="LCY",O172*'Model Assumptions'!$O$135,Financing!O172*Flags!O$30)</f>
        <v>0</v>
      </c>
      <c r="P173" s="491">
        <f>IF($E166="LCY",P172*'Model Assumptions'!$O$135,Financing!P172*Flags!P$30)</f>
        <v>0</v>
      </c>
      <c r="Q173" s="491">
        <f>IF($E166="LCY",Q172*'Model Assumptions'!$O$135,Financing!Q172*Flags!Q$30)</f>
        <v>0</v>
      </c>
      <c r="R173" s="491">
        <f>IF($E166="LCY",R172*'Model Assumptions'!$O$135,Financing!R172*Flags!R$30)</f>
        <v>0</v>
      </c>
      <c r="S173" s="491">
        <f>IF($E166="LCY",S172*'Model Assumptions'!$O$135,Financing!S172*Flags!S$30)</f>
        <v>0</v>
      </c>
      <c r="T173" s="491">
        <f>IF($E166="LCY",T172*'Model Assumptions'!$O$135,Financing!T172*Flags!T$30)</f>
        <v>0</v>
      </c>
      <c r="U173" s="491">
        <f>IF($E166="LCY",U172*'Model Assumptions'!$O$135,Financing!U172*Flags!U$30)</f>
        <v>0</v>
      </c>
      <c r="V173" s="491">
        <f>IF($E166="LCY",V172*'Model Assumptions'!$O$135,Financing!V172*Flags!V$30)</f>
        <v>0</v>
      </c>
      <c r="W173" s="491">
        <f>IF($E166="LCY",W172*'Model Assumptions'!$O$135,Financing!W172*Flags!W$30)</f>
        <v>0</v>
      </c>
      <c r="X173" s="491">
        <f>IF($E166="LCY",X172*'Model Assumptions'!$O$135,Financing!X172*Flags!X$30)</f>
        <v>0</v>
      </c>
      <c r="Y173" s="491">
        <f>IF($E166="LCY",Y172*'Model Assumptions'!$O$135,Financing!Y172*Flags!Y$30)</f>
        <v>0</v>
      </c>
      <c r="Z173" s="491">
        <f>IF($E166="LCY",Z172*'Model Assumptions'!$O$135,Financing!Z172*Flags!Z$30)</f>
        <v>0</v>
      </c>
      <c r="AA173" s="491">
        <f>IF($E166="LCY",AA172*'Model Assumptions'!$O$135,Financing!AA172*Flags!AA$30)</f>
        <v>0</v>
      </c>
      <c r="AB173" s="491">
        <f>IF($E166="LCY",AB172*'Model Assumptions'!$O$135,Financing!AB172*Flags!AB$30)</f>
        <v>0</v>
      </c>
      <c r="AC173" s="491">
        <f>IF($E166="LCY",AC172*'Model Assumptions'!$O$135,Financing!AC172*Flags!AC$30)</f>
        <v>0</v>
      </c>
      <c r="AD173" s="491">
        <f>IF($E166="LCY",AD172*'Model Assumptions'!$O$135,Financing!AD172*Flags!AD$30)</f>
        <v>0</v>
      </c>
      <c r="AE173" s="491">
        <f>IF($E166="LCY",AE172*'Model Assumptions'!$O$135,Financing!AE172*Flags!AE$30)</f>
        <v>0</v>
      </c>
      <c r="AF173" s="491">
        <f>IF($E166="LCY",AF172*'Model Assumptions'!$O$135,Financing!AF172*Flags!AF$30)</f>
        <v>0</v>
      </c>
      <c r="AG173" s="491">
        <f>IF($E166="LCY",AG172*'Model Assumptions'!$O$135,Financing!AG172*Flags!AG$30)</f>
        <v>0</v>
      </c>
      <c r="AH173" s="491">
        <f>IF($E166="LCY",AH172*'Model Assumptions'!$O$135,Financing!AH172*Flags!AH$30)</f>
        <v>0</v>
      </c>
      <c r="AI173" s="491">
        <f>IF($E166="LCY",AI172*'Model Assumptions'!$O$135,Financing!AI172*Flags!AI$30)</f>
        <v>0</v>
      </c>
      <c r="AJ173" s="491">
        <f>IF($E166="LCY",AJ172*'Model Assumptions'!$O$135,Financing!AJ172*Flags!AJ$30)</f>
        <v>0</v>
      </c>
      <c r="AK173" s="491">
        <f>IF($E166="LCY",AK172*'Model Assumptions'!$O$135,Financing!AK172*Flags!AK$30)</f>
        <v>0</v>
      </c>
      <c r="AL173" s="491">
        <f>IF($E166="LCY",AL172*'Model Assumptions'!$O$135,Financing!AL172*Flags!AL$30)</f>
        <v>0</v>
      </c>
      <c r="AM173" s="491">
        <f>IF($E166="LCY",AM172*'Model Assumptions'!$O$135,Financing!AM172*Flags!AM$30)</f>
        <v>0</v>
      </c>
      <c r="AN173" s="491">
        <f>IF($E166="LCY",AN172*'Model Assumptions'!$O$135,Financing!AN172*Flags!AN$30)</f>
        <v>0</v>
      </c>
      <c r="AO173" s="491">
        <f>IF($E166="LCY",AO172*'Model Assumptions'!$O$135,Financing!AO172*Flags!AO$30)</f>
        <v>0</v>
      </c>
      <c r="AP173" s="491">
        <f>IF($E166="LCY",AP172*'Model Assumptions'!$O$135,Financing!AP172*Flags!AP$30)</f>
        <v>0</v>
      </c>
      <c r="AQ173" s="491">
        <f>IF($E166="LCY",AQ172*'Model Assumptions'!$O$135,Financing!AQ172*Flags!AQ$30)</f>
        <v>0</v>
      </c>
      <c r="AR173" s="491">
        <f>IF($E166="LCY",AR172*'Model Assumptions'!$O$135,Financing!AR172*Flags!AR$30)</f>
        <v>0</v>
      </c>
      <c r="AS173" s="491">
        <f>IF($E166="LCY",AS172*'Model Assumptions'!$O$135,Financing!AS172*Flags!AS$30)</f>
        <v>0</v>
      </c>
      <c r="AT173" s="491">
        <f>IF($E166="LCY",AT172*'Model Assumptions'!$O$135,Financing!AT172*Flags!AT$30)</f>
        <v>0</v>
      </c>
      <c r="AU173" s="491">
        <f>IF($E166="LCY",AU172*'Model Assumptions'!$O$135,Financing!AU172*Flags!AU$30)</f>
        <v>0</v>
      </c>
      <c r="AV173" s="491">
        <f>IF($E166="LCY",AV172*'Model Assumptions'!$O$135,Financing!AV172*Flags!AV$30)</f>
        <v>0</v>
      </c>
      <c r="AW173" s="491">
        <f>IF($E166="LCY",AW172*'Model Assumptions'!$O$135,Financing!AW172*Flags!AW$30)</f>
        <v>0</v>
      </c>
      <c r="AX173" s="491">
        <f>IF($E166="LCY",AX172*'Model Assumptions'!$O$135,Financing!AX172*Flags!AX$30)</f>
        <v>0</v>
      </c>
      <c r="AY173" s="491">
        <f>IF($E166="LCY",AY172*'Model Assumptions'!$O$135,Financing!AY172*Flags!AY$30)</f>
        <v>0</v>
      </c>
      <c r="AZ173" s="491">
        <f>IF($E166="LCY",AZ172*'Model Assumptions'!$O$135,Financing!AZ172*Flags!AZ$30)</f>
        <v>0</v>
      </c>
      <c r="BA173" s="491">
        <f>IF($E166="LCY",BA172*'Model Assumptions'!$O$135,Financing!BA172*Flags!BA$30)</f>
        <v>0</v>
      </c>
      <c r="BB173" s="491">
        <f>IF($E166="LCY",BB172*'Model Assumptions'!$O$135,Financing!BB172*Flags!BB$30)</f>
        <v>0</v>
      </c>
      <c r="BC173" s="491">
        <f>IF($E166="LCY",BC172*'Model Assumptions'!$O$135,Financing!BC172*Flags!BC$30)</f>
        <v>0</v>
      </c>
      <c r="BD173" s="491">
        <f>IF($E166="LCY",BD172*'Model Assumptions'!$O$135,Financing!BD172*Flags!BD$30)</f>
        <v>0</v>
      </c>
      <c r="BE173" s="491">
        <f>IF($E166="LCY",BE172*'Model Assumptions'!$O$135,Financing!BE172*Flags!BE$30)</f>
        <v>0</v>
      </c>
      <c r="BF173" s="491">
        <f>IF($E166="LCY",BF172*'Model Assumptions'!$O$135,Financing!BF172*Flags!BF$30)</f>
        <v>0</v>
      </c>
      <c r="BG173" s="491">
        <f>IF($E166="LCY",BG172*'Model Assumptions'!$O$135,Financing!BG172*Flags!BG$30)</f>
        <v>0</v>
      </c>
      <c r="BH173" s="491">
        <f>IF($E166="LCY",BH172*'Model Assumptions'!$O$135,Financing!BH172*Flags!BH$30)</f>
        <v>0</v>
      </c>
      <c r="BI173" s="491">
        <f>IF($E166="LCY",BI172*'Model Assumptions'!$O$135,Financing!BI172*Flags!BI$30)</f>
        <v>0</v>
      </c>
      <c r="BJ173" s="491">
        <f>IF($E166="LCY",BJ172*'Model Assumptions'!$O$135,Financing!BJ172*Flags!BJ$30)</f>
        <v>0</v>
      </c>
      <c r="BK173" s="491">
        <f>IF($E166="LCY",BK172*'Model Assumptions'!$O$135,Financing!BK172*Flags!BK$30)</f>
        <v>0</v>
      </c>
      <c r="BL173" s="491">
        <f>IF($E166="LCY",BL172*'Model Assumptions'!$O$135,Financing!BL172*Flags!BL$30)</f>
        <v>0</v>
      </c>
      <c r="BM173" s="491">
        <f>IF($E166="LCY",BM172*'Model Assumptions'!$O$135,Financing!BM172*Flags!BM$30)</f>
        <v>0</v>
      </c>
      <c r="BN173" s="491">
        <f>IF($E166="LCY",BN172*'Model Assumptions'!$O$135,Financing!BN172*Flags!BN$30)</f>
        <v>0</v>
      </c>
      <c r="BO173" s="491">
        <f>IF($E166="LCY",BO172*'Model Assumptions'!$O$135,Financing!BO172*Flags!BO$30)</f>
        <v>0</v>
      </c>
      <c r="BP173" s="491">
        <f>IF($E166="LCY",BP172*'Model Assumptions'!$O$135,Financing!BP172*Flags!BP$30)</f>
        <v>0</v>
      </c>
      <c r="BQ173" s="491">
        <f>IF($E166="LCY",BQ172*'Model Assumptions'!$O$135,Financing!BQ172*Flags!BQ$30)</f>
        <v>0</v>
      </c>
      <c r="BR173" s="491">
        <f>IF($E166="LCY",BR172*'Model Assumptions'!$O$135,Financing!BR172*Flags!BR$30)</f>
        <v>0</v>
      </c>
      <c r="BS173" s="491">
        <f>IF($E166="LCY",BS172*'Model Assumptions'!$O$135,Financing!BS172*Flags!BS$30)</f>
        <v>0</v>
      </c>
      <c r="BT173" s="491">
        <f>IF($E166="LCY",BT172*'Model Assumptions'!$O$135,Financing!BT172*Flags!BT$30)</f>
        <v>0</v>
      </c>
      <c r="BU173" s="491">
        <f>IF($E166="LCY",BU172*'Model Assumptions'!$O$135,Financing!BU172*Flags!BU$30)</f>
        <v>0</v>
      </c>
      <c r="BV173" s="491">
        <f>IF($E166="LCY",BV172*'Model Assumptions'!$O$135,Financing!BV172*Flags!BV$30)</f>
        <v>0</v>
      </c>
      <c r="BW173" s="491">
        <f>IF($E166="LCY",BW172*'Model Assumptions'!$O$135,Financing!BW172*Flags!BW$30)</f>
        <v>0</v>
      </c>
      <c r="BX173" s="491">
        <f>IF($E166="LCY",BX172*'Model Assumptions'!$O$135,Financing!BX172*Flags!BX$30)</f>
        <v>0</v>
      </c>
      <c r="BY173" s="491">
        <f>IF($E166="LCY",BY172*'Model Assumptions'!$O$135,Financing!BY172*Flags!BY$30)</f>
        <v>0</v>
      </c>
      <c r="BZ173" s="491">
        <f>IF($E166="LCY",BZ172*'Model Assumptions'!$O$135,Financing!BZ172*Flags!BZ$30)</f>
        <v>0</v>
      </c>
      <c r="CA173" s="491">
        <f>IF($E166="LCY",CA172*'Model Assumptions'!$O$135,Financing!CA172*Flags!CA$30)</f>
        <v>0</v>
      </c>
      <c r="CB173" s="491">
        <f>IF($E166="LCY",CB172*'Model Assumptions'!$O$135,Financing!CB172*Flags!CB$30)</f>
        <v>0</v>
      </c>
      <c r="CC173" s="491">
        <f>IF($E166="LCY",CC172*'Model Assumptions'!$O$135,Financing!CC172*Flags!CC$30)</f>
        <v>0</v>
      </c>
      <c r="CD173" s="491">
        <f>IF($E166="LCY",CD172*'Model Assumptions'!$O$135,Financing!CD172*Flags!CD$30)</f>
        <v>0</v>
      </c>
      <c r="CE173" s="491">
        <f>IF($E166="LCY",CE172*'Model Assumptions'!$O$135,Financing!CE172*Flags!CE$30)</f>
        <v>0</v>
      </c>
      <c r="CF173" s="491">
        <f>IF($E166="LCY",CF172*'Model Assumptions'!$O$135,Financing!CF172*Flags!CF$30)</f>
        <v>0</v>
      </c>
      <c r="CG173" s="491">
        <f>IF($E166="LCY",CG172*'Model Assumptions'!$O$135,Financing!CG172*Flags!CG$30)</f>
        <v>0</v>
      </c>
      <c r="CH173" s="491">
        <f>IF($E166="LCY",CH172*'Model Assumptions'!$O$135,Financing!CH172*Flags!CH$30)</f>
        <v>0</v>
      </c>
      <c r="CI173" s="491">
        <f>IF($E166="LCY",CI172*'Model Assumptions'!$O$135,Financing!CI172*Flags!CI$30)</f>
        <v>0</v>
      </c>
      <c r="CJ173" s="491">
        <f>IF($E166="LCY",CJ172*'Model Assumptions'!$O$135,Financing!CJ172*Flags!CJ$30)</f>
        <v>0</v>
      </c>
      <c r="CK173" s="491">
        <f>IF($E166="LCY",CK172*'Model Assumptions'!$O$135,Financing!CK172*Flags!CK$30)</f>
        <v>0</v>
      </c>
      <c r="CL173" s="491">
        <f>IF($E166="LCY",CL172*'Model Assumptions'!$O$135,Financing!CL172*Flags!CL$30)</f>
        <v>0</v>
      </c>
      <c r="CM173" s="491">
        <f>IF($E166="LCY",CM172*'Model Assumptions'!$O$135,Financing!CM172*Flags!CM$30)</f>
        <v>0</v>
      </c>
      <c r="CN173" s="491">
        <f>IF($E166="LCY",CN172*'Model Assumptions'!$O$135,Financing!CN172*Flags!CN$30)</f>
        <v>0</v>
      </c>
      <c r="CO173" s="491">
        <f>IF($E166="LCY",CO172*'Model Assumptions'!$O$135,Financing!CO172*Flags!CO$30)</f>
        <v>0</v>
      </c>
      <c r="CP173" s="491">
        <f>IF($E166="LCY",CP172*'Model Assumptions'!$O$135,Financing!CP172*Flags!CP$30)</f>
        <v>0</v>
      </c>
      <c r="CQ173" s="491">
        <f>IF($E166="LCY",CQ172*'Model Assumptions'!$O$135,Financing!CQ172*Flags!CQ$30)</f>
        <v>0</v>
      </c>
      <c r="CR173" s="491">
        <f>IF($E166="LCY",CR172*'Model Assumptions'!$O$135,Financing!CR172*Flags!CR$30)</f>
        <v>0</v>
      </c>
      <c r="CS173" s="491">
        <f>IF($E166="LCY",CS172*'Model Assumptions'!$O$135,Financing!CS172*Flags!CS$30)</f>
        <v>0</v>
      </c>
      <c r="CT173" s="491">
        <f>IF($E166="LCY",CT172*'Model Assumptions'!$O$135,Financing!CT172*Flags!CT$30)</f>
        <v>0</v>
      </c>
      <c r="CU173" s="491">
        <f>IF($E166="LCY",CU172*'Model Assumptions'!$O$135,Financing!CU172*Flags!CU$30)</f>
        <v>0</v>
      </c>
      <c r="CV173" s="491">
        <f>IF($E166="LCY",CV172*'Model Assumptions'!$O$135,Financing!CV172*Flags!CV$30)</f>
        <v>0</v>
      </c>
      <c r="CW173" s="491">
        <f>IF($E166="LCY",CW172*'Model Assumptions'!$O$135,Financing!CW172*Flags!CW$30)</f>
        <v>0</v>
      </c>
      <c r="CX173" s="491">
        <f>IF($E166="LCY",CX172*'Model Assumptions'!$O$135,Financing!CX172*Flags!CX$30)</f>
        <v>0</v>
      </c>
      <c r="CY173" s="491">
        <f>IF($E166="LCY",CY172*'Model Assumptions'!$O$135,Financing!CY172*Flags!CY$30)</f>
        <v>0</v>
      </c>
      <c r="CZ173" s="491">
        <f>IF($E166="LCY",CZ172*'Model Assumptions'!$O$135,Financing!CZ172*Flags!CZ$30)</f>
        <v>0</v>
      </c>
      <c r="DA173" s="491">
        <f>IF($E166="LCY",DA172*'Model Assumptions'!$O$135,Financing!DA172*Flags!DA$30)</f>
        <v>0</v>
      </c>
      <c r="DB173" s="491">
        <f>IF($E166="LCY",DB172*'Model Assumptions'!$O$135,Financing!DB172*Flags!DB$30)</f>
        <v>0</v>
      </c>
      <c r="DC173" s="491">
        <f>IF($E166="LCY",DC172*'Model Assumptions'!$O$135,Financing!DC172*Flags!DC$30)</f>
        <v>0</v>
      </c>
      <c r="DD173" s="491">
        <f>IF($E166="LCY",DD172*'Model Assumptions'!$O$135,Financing!DD172*Flags!DD$30)</f>
        <v>0</v>
      </c>
      <c r="DE173" s="491">
        <f>IF($E166="LCY",DE172*'Model Assumptions'!$O$135,Financing!DE172*Flags!DE$30)</f>
        <v>0</v>
      </c>
      <c r="DF173" s="491">
        <f>IF($E166="LCY",DF172*'Model Assumptions'!$O$135,Financing!DF172*Flags!DF$30)</f>
        <v>0</v>
      </c>
      <c r="DG173" s="491">
        <f>IF($E166="LCY",DG172*'Model Assumptions'!$O$135,Financing!DG172*Flags!DG$30)</f>
        <v>0</v>
      </c>
      <c r="DH173" s="491">
        <f>IF($E166="LCY",DH172*'Model Assumptions'!$O$135,Financing!DH172*Flags!DH$30)</f>
        <v>0</v>
      </c>
      <c r="DI173" s="491">
        <f>IF($E166="LCY",DI172*'Model Assumptions'!$O$135,Financing!DI172*Flags!DI$30)</f>
        <v>0</v>
      </c>
      <c r="DJ173" s="491">
        <f>IF($E166="LCY",DJ172*'Model Assumptions'!$O$135,Financing!DJ172*Flags!DJ$30)</f>
        <v>0</v>
      </c>
      <c r="DK173" s="491">
        <f>IF($E166="LCY",DK172*'Model Assumptions'!$O$135,Financing!DK172*Flags!DK$30)</f>
        <v>0</v>
      </c>
      <c r="DL173" s="491">
        <f>IF($E166="LCY",DL172*'Model Assumptions'!$O$135,Financing!DL172*Flags!DL$30)</f>
        <v>0</v>
      </c>
      <c r="DM173" s="491">
        <f>IF($E166="LCY",DM172*'Model Assumptions'!$O$135,Financing!DM172*Flags!DM$30)</f>
        <v>0</v>
      </c>
      <c r="DN173" s="491">
        <f>IF($E166="LCY",DN172*'Model Assumptions'!$O$135,Financing!DN172*Flags!DN$30)</f>
        <v>0</v>
      </c>
      <c r="DO173" s="491">
        <f>IF($E166="LCY",DO172*'Model Assumptions'!$O$135,Financing!DO172*Flags!DO$30)</f>
        <v>0</v>
      </c>
      <c r="DP173" s="491">
        <f>IF($E166="LCY",DP172*'Model Assumptions'!$O$135,Financing!DP172*Flags!DP$30)</f>
        <v>0</v>
      </c>
      <c r="DQ173" s="491">
        <f>IF($E166="LCY",DQ172*'Model Assumptions'!$O$135,Financing!DQ172*Flags!DQ$30)</f>
        <v>0</v>
      </c>
      <c r="DR173" s="491">
        <f>IF($E166="LCY",DR172*'Model Assumptions'!$O$135,Financing!DR172*Flags!DR$30)</f>
        <v>0</v>
      </c>
      <c r="DS173" s="491">
        <f>IF($E166="LCY",DS172*'Model Assumptions'!$O$135,Financing!DS172*Flags!DS$30)</f>
        <v>0</v>
      </c>
      <c r="DT173" s="491">
        <f>IF($E166="LCY",DT172*'Model Assumptions'!$O$135,Financing!DT172*Flags!DT$30)</f>
        <v>0</v>
      </c>
      <c r="DU173" s="491">
        <f>IF($E166="LCY",DU172*'Model Assumptions'!$O$135,Financing!DU172*Flags!DU$30)</f>
        <v>0</v>
      </c>
      <c r="DV173" s="491">
        <f>IF($E166="LCY",DV172*'Model Assumptions'!$O$135,Financing!DV172*Flags!DV$30)</f>
        <v>0</v>
      </c>
      <c r="DW173" s="491">
        <f>IF($E166="LCY",DW172*'Model Assumptions'!$O$135,Financing!DW172*Flags!DW$30)</f>
        <v>0</v>
      </c>
      <c r="DX173" s="491">
        <f>IF($E166="LCY",DX172*'Model Assumptions'!$O$135,Financing!DX172*Flags!DX$30)</f>
        <v>0</v>
      </c>
      <c r="DY173" s="491">
        <f>IF($E166="LCY",DY172*'Model Assumptions'!$O$135,Financing!DY172*Flags!DY$30)</f>
        <v>0</v>
      </c>
    </row>
    <row r="174" spans="2:129">
      <c r="B174" s="43"/>
      <c r="C174" s="43" t="s">
        <v>396</v>
      </c>
      <c r="D174" s="43"/>
      <c r="E174" s="485">
        <f>+'Model Assumptions'!O141</f>
        <v>0</v>
      </c>
      <c r="F174" s="131"/>
      <c r="G174" s="131"/>
      <c r="H174" s="131"/>
      <c r="I174" s="43"/>
      <c r="J174" s="251">
        <f>(SUM(J167:$J167)-SUM(J172:$J172))*$E174/12</f>
        <v>0</v>
      </c>
      <c r="K174" s="251">
        <f>(SUM($J167:K167)-SUM($J172:K172))*$E174/12</f>
        <v>0</v>
      </c>
      <c r="L174" s="251">
        <f>(SUM($J167:L167)-SUM($J172:L172))*$E174/12</f>
        <v>0</v>
      </c>
      <c r="M174" s="251">
        <f>(SUM($J167:M167)-SUM($J172:M172))*$E174/12</f>
        <v>0</v>
      </c>
      <c r="N174" s="251">
        <f>(SUM($J167:N167)-SUM($J172:N172))*$E174/12</f>
        <v>0</v>
      </c>
      <c r="O174" s="251">
        <f>(SUM($J167:O167)-SUM($J172:O172))*$E174/12</f>
        <v>0</v>
      </c>
      <c r="P174" s="251">
        <f>(SUM($J167:P167)-SUM($J172:P172))*$E174/12</f>
        <v>0</v>
      </c>
      <c r="Q174" s="251">
        <f>(SUM($J167:Q167)-SUM($J172:Q172))*$E174/12</f>
        <v>0</v>
      </c>
      <c r="R174" s="251">
        <f>(SUM($J167:R167)-SUM($J172:R172))*$E174/12</f>
        <v>0</v>
      </c>
      <c r="S174" s="251">
        <f>(SUM($J167:S167)-SUM($J172:S172))*$E174/12</f>
        <v>0</v>
      </c>
      <c r="T174" s="251">
        <f>(SUM($J167:T167)-SUM($J172:T172))*$E174/12</f>
        <v>0</v>
      </c>
      <c r="U174" s="251">
        <f>(SUM($J167:U167)-SUM($J172:U172))*$E174/12</f>
        <v>0</v>
      </c>
      <c r="V174" s="251">
        <f>(SUM($J167:V167)-SUM($J172:V172))*$E174/12</f>
        <v>0</v>
      </c>
      <c r="W174" s="251">
        <f>(SUM($J167:W167)-SUM($J172:W172))*$E174/12</f>
        <v>0</v>
      </c>
      <c r="X174" s="251">
        <f>(SUM($J167:X167)-SUM($J172:X172))*$E174/12</f>
        <v>0</v>
      </c>
      <c r="Y174" s="251">
        <f>(SUM($J167:Y167)-SUM($J172:Y172))*$E174/12</f>
        <v>0</v>
      </c>
      <c r="Z174" s="251">
        <f>(SUM($J167:Z167)-SUM($J172:Z172))*$E174/12</f>
        <v>0</v>
      </c>
      <c r="AA174" s="251">
        <f>(SUM($J167:AA167)-SUM($J172:AA172))*$E174/12</f>
        <v>0</v>
      </c>
      <c r="AB174" s="251">
        <f>(SUM($J167:AB167)-SUM($J172:AB172))*$E174/12</f>
        <v>0</v>
      </c>
      <c r="AC174" s="251">
        <f>(SUM($J167:AC167)-SUM($J172:AC172))*$E174/12</f>
        <v>0</v>
      </c>
      <c r="AD174" s="251">
        <f>(SUM($J167:AD167)-SUM($J172:AD172))*$E174/12</f>
        <v>0</v>
      </c>
      <c r="AE174" s="251">
        <f>(SUM($J167:AE167)-SUM($J172:AE172))*$E174/12</f>
        <v>0</v>
      </c>
      <c r="AF174" s="251">
        <f>(SUM($J167:AF167)-SUM($J172:AF172))*$E174/12</f>
        <v>0</v>
      </c>
      <c r="AG174" s="251">
        <f>(SUM($J167:AG167)-SUM($J172:AG172))*$E174/12</f>
        <v>0</v>
      </c>
      <c r="AH174" s="251">
        <f>(SUM($J167:AH167)-SUM($J172:AH172))*$E174/12</f>
        <v>0</v>
      </c>
      <c r="AI174" s="251">
        <f>(SUM($J167:AI167)-SUM($J172:AI172))*$E174/12</f>
        <v>0</v>
      </c>
      <c r="AJ174" s="251">
        <f>(SUM($J167:AJ167)-SUM($J172:AJ172))*$E174/12</f>
        <v>0</v>
      </c>
      <c r="AK174" s="251">
        <f>(SUM($J167:AK167)-SUM($J172:AK172))*$E174/12</f>
        <v>0</v>
      </c>
      <c r="AL174" s="251">
        <f>(SUM($J167:AL167)-SUM($J172:AL172))*$E174/12</f>
        <v>0</v>
      </c>
      <c r="AM174" s="251">
        <f>(SUM($J167:AM167)-SUM($J172:AM172))*$E174/12</f>
        <v>0</v>
      </c>
      <c r="AN174" s="251">
        <f>(SUM($J167:AN167)-SUM($J172:AN172))*$E174/12</f>
        <v>0</v>
      </c>
      <c r="AO174" s="251">
        <f>(SUM($J167:AO167)-SUM($J172:AO172))*$E174/12</f>
        <v>0</v>
      </c>
      <c r="AP174" s="251">
        <f>(SUM($J167:AP167)-SUM($J172:AP172))*$E174/12</f>
        <v>0</v>
      </c>
      <c r="AQ174" s="251">
        <f>(SUM($J167:AQ167)-SUM($J172:AQ172))*$E174/12</f>
        <v>0</v>
      </c>
      <c r="AR174" s="251">
        <f>(SUM($J167:AR167)-SUM($J172:AR172))*$E174/12</f>
        <v>0</v>
      </c>
      <c r="AS174" s="251">
        <f>(SUM($J167:AS167)-SUM($J172:AS172))*$E174/12</f>
        <v>0</v>
      </c>
      <c r="AT174" s="251">
        <f>(SUM($J167:AT167)-SUM($J172:AT172))*$E174/12</f>
        <v>0</v>
      </c>
      <c r="AU174" s="251">
        <f>(SUM($J167:AU167)-SUM($J172:AU172))*$E174/12</f>
        <v>0</v>
      </c>
      <c r="AV174" s="251">
        <f>(SUM($J167:AV167)-SUM($J172:AV172))*$E174/12</f>
        <v>0</v>
      </c>
      <c r="AW174" s="251">
        <f>(SUM($J167:AW167)-SUM($J172:AW172))*$E174/12</f>
        <v>0</v>
      </c>
      <c r="AX174" s="251">
        <f>(SUM($J167:AX167)-SUM($J172:AX172))*$E174/12</f>
        <v>0</v>
      </c>
      <c r="AY174" s="251">
        <f>(SUM($J167:AY167)-SUM($J172:AY172))*$E174/12</f>
        <v>0</v>
      </c>
      <c r="AZ174" s="251">
        <f>(SUM($J167:AZ167)-SUM($J172:AZ172))*$E174/12</f>
        <v>0</v>
      </c>
      <c r="BA174" s="251">
        <f>(SUM($J167:BA167)-SUM($J172:BA172))*$E174/12</f>
        <v>0</v>
      </c>
      <c r="BB174" s="251">
        <f>(SUM($J167:BB167)-SUM($J172:BB172))*$E174/12</f>
        <v>0</v>
      </c>
      <c r="BC174" s="251">
        <f>(SUM($J167:BC167)-SUM($J172:BC172))*$E174/12</f>
        <v>0</v>
      </c>
      <c r="BD174" s="251">
        <f>(SUM($J167:BD167)-SUM($J172:BD172))*$E174/12</f>
        <v>0</v>
      </c>
      <c r="BE174" s="251">
        <f>(SUM($J167:BE167)-SUM($J172:BE172))*$E174/12</f>
        <v>0</v>
      </c>
      <c r="BF174" s="251">
        <f>(SUM($J167:BF167)-SUM($J172:BF172))*$E174/12</f>
        <v>0</v>
      </c>
      <c r="BG174" s="251">
        <f>(SUM($J167:BG167)-SUM($J172:BG172))*$E174/12</f>
        <v>0</v>
      </c>
      <c r="BH174" s="251">
        <f>(SUM($J167:BH167)-SUM($J172:BH172))*$E174/12</f>
        <v>0</v>
      </c>
      <c r="BI174" s="251">
        <f>(SUM($J167:BI167)-SUM($J172:BI172))*$E174/12</f>
        <v>0</v>
      </c>
      <c r="BJ174" s="251">
        <f>(SUM($J167:BJ167)-SUM($J172:BJ172))*$E174/12</f>
        <v>0</v>
      </c>
      <c r="BK174" s="251">
        <f>(SUM($J167:BK167)-SUM($J172:BK172))*$E174/12</f>
        <v>0</v>
      </c>
      <c r="BL174" s="251">
        <f>(SUM($J167:BL167)-SUM($J172:BL172))*$E174/12</f>
        <v>0</v>
      </c>
      <c r="BM174" s="251">
        <f>(SUM($J167:BM167)-SUM($J172:BM172))*$E174/12</f>
        <v>0</v>
      </c>
      <c r="BN174" s="251">
        <f>(SUM($J167:BN167)-SUM($J172:BN172))*$E174/12</f>
        <v>0</v>
      </c>
      <c r="BO174" s="251">
        <f>(SUM($J167:BO167)-SUM($J172:BO172))*$E174/12</f>
        <v>0</v>
      </c>
      <c r="BP174" s="251">
        <f>(SUM($J167:BP167)-SUM($J172:BP172))*$E174/12</f>
        <v>0</v>
      </c>
      <c r="BQ174" s="251">
        <f>(SUM($J167:BQ167)-SUM($J172:BQ172))*$E174/12</f>
        <v>0</v>
      </c>
      <c r="BR174" s="251">
        <f>(SUM($J167:BR167)-SUM($J172:BR172))*$E174/12</f>
        <v>0</v>
      </c>
      <c r="BS174" s="251">
        <f>(SUM($J167:BS167)-SUM($J172:BS172))*$E174/12</f>
        <v>0</v>
      </c>
      <c r="BT174" s="251">
        <f>(SUM($J167:BT167)-SUM($J172:BT172))*$E174/12</f>
        <v>0</v>
      </c>
      <c r="BU174" s="251">
        <f>(SUM($J167:BU167)-SUM($J172:BU172))*$E174/12</f>
        <v>0</v>
      </c>
      <c r="BV174" s="251">
        <f>(SUM($J167:BV167)-SUM($J172:BV172))*$E174/12</f>
        <v>0</v>
      </c>
      <c r="BW174" s="251">
        <f>(SUM($J167:BW167)-SUM($J172:BW172))*$E174/12</f>
        <v>0</v>
      </c>
      <c r="BX174" s="251">
        <f>(SUM($J167:BX167)-SUM($J172:BX172))*$E174/12</f>
        <v>0</v>
      </c>
      <c r="BY174" s="251">
        <f>(SUM($J167:BY167)-SUM($J172:BY172))*$E174/12</f>
        <v>0</v>
      </c>
      <c r="BZ174" s="251">
        <f>(SUM($J167:BZ167)-SUM($J172:BZ172))*$E174/12</f>
        <v>0</v>
      </c>
      <c r="CA174" s="251">
        <f>(SUM($J167:CA167)-SUM($J172:CA172))*$E174/12</f>
        <v>0</v>
      </c>
      <c r="CB174" s="251">
        <f>(SUM($J167:CB167)-SUM($J172:CB172))*$E174/12</f>
        <v>0</v>
      </c>
      <c r="CC174" s="251">
        <f>(SUM($J167:CC167)-SUM($J172:CC172))*$E174/12</f>
        <v>0</v>
      </c>
      <c r="CD174" s="251">
        <f>(SUM($J167:CD167)-SUM($J172:CD172))*$E174/12</f>
        <v>0</v>
      </c>
      <c r="CE174" s="251">
        <f>(SUM($J167:CE167)-SUM($J172:CE172))*$E174/12</f>
        <v>0</v>
      </c>
      <c r="CF174" s="251">
        <f>(SUM($J167:CF167)-SUM($J172:CF172))*$E174/12</f>
        <v>0</v>
      </c>
      <c r="CG174" s="251">
        <f>(SUM($J167:CG167)-SUM($J172:CG172))*$E174/12</f>
        <v>0</v>
      </c>
      <c r="CH174" s="251">
        <f>(SUM($J167:CH167)-SUM($J172:CH172))*$E174/12</f>
        <v>0</v>
      </c>
      <c r="CI174" s="251">
        <f>(SUM($J167:CI167)-SUM($J172:CI172))*$E174/12</f>
        <v>0</v>
      </c>
      <c r="CJ174" s="251">
        <f>(SUM($J167:CJ167)-SUM($J172:CJ172))*$E174/12</f>
        <v>0</v>
      </c>
      <c r="CK174" s="251">
        <f>(SUM($J167:CK167)-SUM($J172:CK172))*$E174/12</f>
        <v>0</v>
      </c>
      <c r="CL174" s="251">
        <f>(SUM($J167:CL167)-SUM($J172:CL172))*$E174/12</f>
        <v>0</v>
      </c>
      <c r="CM174" s="251">
        <f>(SUM($J167:CM167)-SUM($J172:CM172))*$E174/12</f>
        <v>0</v>
      </c>
      <c r="CN174" s="251">
        <f>(SUM($J167:CN167)-SUM($J172:CN172))*$E174/12</f>
        <v>0</v>
      </c>
      <c r="CO174" s="251">
        <f>(SUM($J167:CO167)-SUM($J172:CO172))*$E174/12</f>
        <v>0</v>
      </c>
      <c r="CP174" s="251">
        <f>(SUM($J167:CP167)-SUM($J172:CP172))*$E174/12</f>
        <v>0</v>
      </c>
      <c r="CQ174" s="251">
        <f>(SUM($J167:CQ167)-SUM($J172:CQ172))*$E174/12</f>
        <v>0</v>
      </c>
      <c r="CR174" s="251">
        <f>(SUM($J167:CR167)-SUM($J172:CR172))*$E174/12</f>
        <v>0</v>
      </c>
      <c r="CS174" s="251">
        <f>(SUM($J167:CS167)-SUM($J172:CS172))*$E174/12</f>
        <v>0</v>
      </c>
      <c r="CT174" s="251">
        <f>(SUM($J167:CT167)-SUM($J172:CT172))*$E174/12</f>
        <v>0</v>
      </c>
      <c r="CU174" s="251">
        <f>(SUM($J167:CU167)-SUM($J172:CU172))*$E174/12</f>
        <v>0</v>
      </c>
      <c r="CV174" s="251">
        <f>(SUM($J167:CV167)-SUM($J172:CV172))*$E174/12</f>
        <v>0</v>
      </c>
      <c r="CW174" s="251">
        <f>(SUM($J167:CW167)-SUM($J172:CW172))*$E174/12</f>
        <v>0</v>
      </c>
      <c r="CX174" s="251">
        <f>(SUM($J167:CX167)-SUM($J172:CX172))*$E174/12</f>
        <v>0</v>
      </c>
      <c r="CY174" s="251">
        <f>(SUM($J167:CY167)-SUM($J172:CY172))*$E174/12</f>
        <v>0</v>
      </c>
      <c r="CZ174" s="251">
        <f>(SUM($J167:CZ167)-SUM($J172:CZ172))*$E174/12</f>
        <v>0</v>
      </c>
      <c r="DA174" s="251">
        <f>(SUM($J167:DA167)-SUM($J172:DA172))*$E174/12</f>
        <v>0</v>
      </c>
      <c r="DB174" s="251">
        <f>(SUM($J167:DB167)-SUM($J172:DB172))*$E174/12</f>
        <v>0</v>
      </c>
      <c r="DC174" s="251">
        <f>(SUM($J167:DC167)-SUM($J172:DC172))*$E174/12</f>
        <v>0</v>
      </c>
      <c r="DD174" s="251">
        <f>(SUM($J167:DD167)-SUM($J172:DD172))*$E174/12</f>
        <v>0</v>
      </c>
      <c r="DE174" s="251">
        <f>(SUM($J167:DE167)-SUM($J172:DE172))*$E174/12</f>
        <v>0</v>
      </c>
      <c r="DF174" s="251">
        <f>(SUM($J167:DF167)-SUM($J172:DF172))*$E174/12</f>
        <v>0</v>
      </c>
      <c r="DG174" s="251">
        <f>(SUM($J167:DG167)-SUM($J172:DG172))*$E174/12</f>
        <v>0</v>
      </c>
      <c r="DH174" s="251">
        <f>(SUM($J167:DH167)-SUM($J172:DH172))*$E174/12</f>
        <v>0</v>
      </c>
      <c r="DI174" s="251">
        <f>(SUM($J167:DI167)-SUM($J172:DI172))*$E174/12</f>
        <v>0</v>
      </c>
      <c r="DJ174" s="251">
        <f>(SUM($J167:DJ167)-SUM($J172:DJ172))*$E174/12</f>
        <v>0</v>
      </c>
      <c r="DK174" s="251">
        <f>(SUM($J167:DK167)-SUM($J172:DK172))*$E174/12</f>
        <v>0</v>
      </c>
      <c r="DL174" s="251">
        <f>(SUM($J167:DL167)-SUM($J172:DL172))*$E174/12</f>
        <v>0</v>
      </c>
      <c r="DM174" s="251">
        <f>(SUM($J167:DM167)-SUM($J172:DM172))*$E174/12</f>
        <v>0</v>
      </c>
      <c r="DN174" s="251">
        <f>(SUM($J167:DN167)-SUM($J172:DN172))*$E174/12</f>
        <v>0</v>
      </c>
      <c r="DO174" s="251">
        <f>(SUM($J167:DO167)-SUM($J172:DO172))*$E174/12</f>
        <v>0</v>
      </c>
      <c r="DP174" s="251">
        <f>(SUM($J167:DP167)-SUM($J172:DP172))*$E174/12</f>
        <v>0</v>
      </c>
      <c r="DQ174" s="251">
        <f>(SUM($J167:DQ167)-SUM($J172:DQ172))*$E174/12</f>
        <v>0</v>
      </c>
      <c r="DR174" s="251">
        <f>(SUM($J167:DR167)-SUM($J172:DR172))*$E174/12</f>
        <v>0</v>
      </c>
      <c r="DS174" s="251">
        <f>(SUM($J167:DS167)-SUM($J172:DS172))*$E174/12</f>
        <v>0</v>
      </c>
      <c r="DT174" s="251">
        <f>(SUM($J167:DT167)-SUM($J172:DT172))*$E174/12</f>
        <v>0</v>
      </c>
      <c r="DU174" s="251">
        <f>(SUM($J167:DU167)-SUM($J172:DU172))*$E174/12</f>
        <v>0</v>
      </c>
      <c r="DV174" s="251">
        <f>(SUM($J167:DV167)-SUM($J172:DV172))*$E174/12</f>
        <v>0</v>
      </c>
      <c r="DW174" s="251">
        <f>(SUM($J167:DW167)-SUM($J172:DW172))*$E174/12</f>
        <v>0</v>
      </c>
      <c r="DX174" s="251">
        <f>(SUM($J167:DX167)-SUM($J172:DX172))*$E174/12</f>
        <v>0</v>
      </c>
      <c r="DY174" s="251">
        <f>(SUM($J167:DY167)-SUM($J172:DY172))*$E174/12</f>
        <v>0</v>
      </c>
    </row>
    <row r="175" spans="2:129">
      <c r="B175" s="43"/>
      <c r="C175" s="43" t="s">
        <v>390</v>
      </c>
      <c r="D175" s="43"/>
      <c r="E175" s="526"/>
      <c r="F175" s="131"/>
      <c r="G175" s="131"/>
      <c r="H175" s="131"/>
      <c r="I175" s="43"/>
      <c r="J175" s="491">
        <f>J169*$E174/12</f>
        <v>0</v>
      </c>
      <c r="K175" s="491">
        <f t="shared" ref="K175:BV175" si="153">K169*$E174/12</f>
        <v>0</v>
      </c>
      <c r="L175" s="491">
        <f t="shared" si="153"/>
        <v>0</v>
      </c>
      <c r="M175" s="491">
        <f t="shared" si="153"/>
        <v>0</v>
      </c>
      <c r="N175" s="491">
        <f t="shared" si="153"/>
        <v>0</v>
      </c>
      <c r="O175" s="491">
        <f t="shared" si="153"/>
        <v>0</v>
      </c>
      <c r="P175" s="491">
        <f t="shared" si="153"/>
        <v>0</v>
      </c>
      <c r="Q175" s="491">
        <f t="shared" si="153"/>
        <v>0</v>
      </c>
      <c r="R175" s="491">
        <f t="shared" si="153"/>
        <v>0</v>
      </c>
      <c r="S175" s="491">
        <f t="shared" si="153"/>
        <v>0</v>
      </c>
      <c r="T175" s="491">
        <f t="shared" si="153"/>
        <v>0</v>
      </c>
      <c r="U175" s="491">
        <f t="shared" si="153"/>
        <v>0</v>
      </c>
      <c r="V175" s="491">
        <f t="shared" si="153"/>
        <v>0</v>
      </c>
      <c r="W175" s="491">
        <f t="shared" si="153"/>
        <v>0</v>
      </c>
      <c r="X175" s="491">
        <f t="shared" si="153"/>
        <v>0</v>
      </c>
      <c r="Y175" s="491">
        <f t="shared" si="153"/>
        <v>0</v>
      </c>
      <c r="Z175" s="491">
        <f t="shared" si="153"/>
        <v>0</v>
      </c>
      <c r="AA175" s="491">
        <f t="shared" si="153"/>
        <v>0</v>
      </c>
      <c r="AB175" s="491">
        <f t="shared" si="153"/>
        <v>0</v>
      </c>
      <c r="AC175" s="491">
        <f t="shared" si="153"/>
        <v>0</v>
      </c>
      <c r="AD175" s="491">
        <f t="shared" si="153"/>
        <v>0</v>
      </c>
      <c r="AE175" s="491">
        <f t="shared" si="153"/>
        <v>0</v>
      </c>
      <c r="AF175" s="491">
        <f t="shared" si="153"/>
        <v>0</v>
      </c>
      <c r="AG175" s="491">
        <f t="shared" si="153"/>
        <v>0</v>
      </c>
      <c r="AH175" s="491">
        <f t="shared" si="153"/>
        <v>0</v>
      </c>
      <c r="AI175" s="491">
        <f t="shared" si="153"/>
        <v>0</v>
      </c>
      <c r="AJ175" s="491">
        <f t="shared" si="153"/>
        <v>0</v>
      </c>
      <c r="AK175" s="491">
        <f t="shared" si="153"/>
        <v>0</v>
      </c>
      <c r="AL175" s="491">
        <f t="shared" si="153"/>
        <v>0</v>
      </c>
      <c r="AM175" s="491">
        <f t="shared" si="153"/>
        <v>0</v>
      </c>
      <c r="AN175" s="491">
        <f t="shared" si="153"/>
        <v>0</v>
      </c>
      <c r="AO175" s="491">
        <f t="shared" si="153"/>
        <v>0</v>
      </c>
      <c r="AP175" s="491">
        <f t="shared" si="153"/>
        <v>0</v>
      </c>
      <c r="AQ175" s="491">
        <f t="shared" si="153"/>
        <v>0</v>
      </c>
      <c r="AR175" s="491">
        <f t="shared" si="153"/>
        <v>0</v>
      </c>
      <c r="AS175" s="491">
        <f t="shared" si="153"/>
        <v>0</v>
      </c>
      <c r="AT175" s="491">
        <f t="shared" si="153"/>
        <v>0</v>
      </c>
      <c r="AU175" s="491">
        <f t="shared" si="153"/>
        <v>0</v>
      </c>
      <c r="AV175" s="491">
        <f t="shared" si="153"/>
        <v>0</v>
      </c>
      <c r="AW175" s="491">
        <f t="shared" si="153"/>
        <v>0</v>
      </c>
      <c r="AX175" s="491">
        <f t="shared" si="153"/>
        <v>0</v>
      </c>
      <c r="AY175" s="491">
        <f t="shared" si="153"/>
        <v>0</v>
      </c>
      <c r="AZ175" s="491">
        <f t="shared" si="153"/>
        <v>0</v>
      </c>
      <c r="BA175" s="491">
        <f t="shared" si="153"/>
        <v>0</v>
      </c>
      <c r="BB175" s="491">
        <f t="shared" si="153"/>
        <v>0</v>
      </c>
      <c r="BC175" s="491">
        <f t="shared" si="153"/>
        <v>0</v>
      </c>
      <c r="BD175" s="491">
        <f t="shared" si="153"/>
        <v>0</v>
      </c>
      <c r="BE175" s="491">
        <f t="shared" si="153"/>
        <v>0</v>
      </c>
      <c r="BF175" s="491">
        <f t="shared" si="153"/>
        <v>0</v>
      </c>
      <c r="BG175" s="491">
        <f t="shared" si="153"/>
        <v>0</v>
      </c>
      <c r="BH175" s="491">
        <f t="shared" si="153"/>
        <v>0</v>
      </c>
      <c r="BI175" s="491">
        <f t="shared" si="153"/>
        <v>0</v>
      </c>
      <c r="BJ175" s="491">
        <f t="shared" si="153"/>
        <v>0</v>
      </c>
      <c r="BK175" s="491">
        <f t="shared" si="153"/>
        <v>0</v>
      </c>
      <c r="BL175" s="491">
        <f t="shared" si="153"/>
        <v>0</v>
      </c>
      <c r="BM175" s="491">
        <f t="shared" si="153"/>
        <v>0</v>
      </c>
      <c r="BN175" s="491">
        <f t="shared" si="153"/>
        <v>0</v>
      </c>
      <c r="BO175" s="491">
        <f t="shared" si="153"/>
        <v>0</v>
      </c>
      <c r="BP175" s="491">
        <f t="shared" si="153"/>
        <v>0</v>
      </c>
      <c r="BQ175" s="491">
        <f t="shared" si="153"/>
        <v>0</v>
      </c>
      <c r="BR175" s="491">
        <f t="shared" si="153"/>
        <v>0</v>
      </c>
      <c r="BS175" s="491">
        <f t="shared" si="153"/>
        <v>0</v>
      </c>
      <c r="BT175" s="491">
        <f t="shared" si="153"/>
        <v>0</v>
      </c>
      <c r="BU175" s="491">
        <f t="shared" si="153"/>
        <v>0</v>
      </c>
      <c r="BV175" s="491">
        <f t="shared" si="153"/>
        <v>0</v>
      </c>
      <c r="BW175" s="491">
        <f t="shared" ref="BW175:CC175" si="154">BW169*$E174/12</f>
        <v>0</v>
      </c>
      <c r="BX175" s="491">
        <f t="shared" si="154"/>
        <v>0</v>
      </c>
      <c r="BY175" s="491">
        <f t="shared" si="154"/>
        <v>0</v>
      </c>
      <c r="BZ175" s="491">
        <f t="shared" si="154"/>
        <v>0</v>
      </c>
      <c r="CA175" s="491">
        <f t="shared" si="154"/>
        <v>0</v>
      </c>
      <c r="CB175" s="491">
        <f t="shared" si="154"/>
        <v>0</v>
      </c>
      <c r="CC175" s="491">
        <f t="shared" si="154"/>
        <v>0</v>
      </c>
      <c r="CD175" s="491">
        <f t="shared" ref="CD175:DY175" si="155">CD169*$E174/12</f>
        <v>0</v>
      </c>
      <c r="CE175" s="491">
        <f t="shared" si="155"/>
        <v>0</v>
      </c>
      <c r="CF175" s="491">
        <f t="shared" si="155"/>
        <v>0</v>
      </c>
      <c r="CG175" s="491">
        <f t="shared" si="155"/>
        <v>0</v>
      </c>
      <c r="CH175" s="491">
        <f t="shared" si="155"/>
        <v>0</v>
      </c>
      <c r="CI175" s="491">
        <f t="shared" si="155"/>
        <v>0</v>
      </c>
      <c r="CJ175" s="491">
        <f t="shared" si="155"/>
        <v>0</v>
      </c>
      <c r="CK175" s="491">
        <f t="shared" si="155"/>
        <v>0</v>
      </c>
      <c r="CL175" s="491">
        <f t="shared" si="155"/>
        <v>0</v>
      </c>
      <c r="CM175" s="491">
        <f t="shared" si="155"/>
        <v>0</v>
      </c>
      <c r="CN175" s="491">
        <f t="shared" si="155"/>
        <v>0</v>
      </c>
      <c r="CO175" s="491">
        <f t="shared" si="155"/>
        <v>0</v>
      </c>
      <c r="CP175" s="491">
        <f t="shared" si="155"/>
        <v>0</v>
      </c>
      <c r="CQ175" s="491">
        <f t="shared" si="155"/>
        <v>0</v>
      </c>
      <c r="CR175" s="491">
        <f t="shared" si="155"/>
        <v>0</v>
      </c>
      <c r="CS175" s="491">
        <f t="shared" si="155"/>
        <v>0</v>
      </c>
      <c r="CT175" s="491">
        <f t="shared" si="155"/>
        <v>0</v>
      </c>
      <c r="CU175" s="491">
        <f t="shared" si="155"/>
        <v>0</v>
      </c>
      <c r="CV175" s="491">
        <f t="shared" si="155"/>
        <v>0</v>
      </c>
      <c r="CW175" s="491">
        <f t="shared" si="155"/>
        <v>0</v>
      </c>
      <c r="CX175" s="491">
        <f t="shared" si="155"/>
        <v>0</v>
      </c>
      <c r="CY175" s="491">
        <f t="shared" si="155"/>
        <v>0</v>
      </c>
      <c r="CZ175" s="491">
        <f t="shared" si="155"/>
        <v>0</v>
      </c>
      <c r="DA175" s="491">
        <f t="shared" si="155"/>
        <v>0</v>
      </c>
      <c r="DB175" s="491">
        <f t="shared" si="155"/>
        <v>0</v>
      </c>
      <c r="DC175" s="491">
        <f t="shared" si="155"/>
        <v>0</v>
      </c>
      <c r="DD175" s="491">
        <f t="shared" si="155"/>
        <v>0</v>
      </c>
      <c r="DE175" s="491">
        <f t="shared" si="155"/>
        <v>0</v>
      </c>
      <c r="DF175" s="491">
        <f t="shared" si="155"/>
        <v>0</v>
      </c>
      <c r="DG175" s="491">
        <f t="shared" si="155"/>
        <v>0</v>
      </c>
      <c r="DH175" s="491">
        <f t="shared" si="155"/>
        <v>0</v>
      </c>
      <c r="DI175" s="491">
        <f t="shared" si="155"/>
        <v>0</v>
      </c>
      <c r="DJ175" s="491">
        <f t="shared" si="155"/>
        <v>0</v>
      </c>
      <c r="DK175" s="491">
        <f t="shared" si="155"/>
        <v>0</v>
      </c>
      <c r="DL175" s="491">
        <f t="shared" si="155"/>
        <v>0</v>
      </c>
      <c r="DM175" s="491">
        <f t="shared" si="155"/>
        <v>0</v>
      </c>
      <c r="DN175" s="491">
        <f t="shared" si="155"/>
        <v>0</v>
      </c>
      <c r="DO175" s="491">
        <f t="shared" si="155"/>
        <v>0</v>
      </c>
      <c r="DP175" s="491">
        <f t="shared" si="155"/>
        <v>0</v>
      </c>
      <c r="DQ175" s="491">
        <f t="shared" si="155"/>
        <v>0</v>
      </c>
      <c r="DR175" s="491">
        <f t="shared" si="155"/>
        <v>0</v>
      </c>
      <c r="DS175" s="491">
        <f t="shared" si="155"/>
        <v>0</v>
      </c>
      <c r="DT175" s="491">
        <f t="shared" si="155"/>
        <v>0</v>
      </c>
      <c r="DU175" s="491">
        <f t="shared" si="155"/>
        <v>0</v>
      </c>
      <c r="DV175" s="491">
        <f t="shared" si="155"/>
        <v>0</v>
      </c>
      <c r="DW175" s="491">
        <f t="shared" si="155"/>
        <v>0</v>
      </c>
      <c r="DX175" s="491">
        <f t="shared" si="155"/>
        <v>0</v>
      </c>
      <c r="DY175" s="491">
        <f t="shared" si="155"/>
        <v>0</v>
      </c>
    </row>
    <row r="176" spans="2:129">
      <c r="B176" s="43"/>
      <c r="C176" s="43" t="s">
        <v>392</v>
      </c>
      <c r="D176" s="43"/>
      <c r="E176" s="486"/>
      <c r="F176" s="127"/>
      <c r="G176" s="127"/>
      <c r="H176" s="127"/>
      <c r="I176" s="43"/>
      <c r="J176" s="491">
        <f>IF($E166="USD",J169*(1-Flags!$K$29),0)</f>
        <v>0</v>
      </c>
      <c r="K176" s="491">
        <f>IF($E166="USD",K169*(1-Flags!$K$29),0)</f>
        <v>0</v>
      </c>
      <c r="L176" s="491">
        <f>IF($E166="USD",L169*(1-Flags!$K$29),0)</f>
        <v>0</v>
      </c>
      <c r="M176" s="491">
        <f>IF($E166="USD",M169*(1-Flags!$K$29),0)</f>
        <v>0</v>
      </c>
      <c r="N176" s="491">
        <f>IF($E166="USD",N169*(1-Flags!$K$29),0)</f>
        <v>0</v>
      </c>
      <c r="O176" s="491">
        <f>IF($E166="USD",O169*(1-Flags!$K$29),0)</f>
        <v>0</v>
      </c>
      <c r="P176" s="491">
        <f>IF($E166="USD",P169*(1-Flags!$K$29),0)</f>
        <v>0</v>
      </c>
      <c r="Q176" s="491">
        <f>IF($E166="USD",Q169*(1-Flags!$K$29),0)</f>
        <v>0</v>
      </c>
      <c r="R176" s="491">
        <f>IF($E166="USD",R169*(1-Flags!$K$29),0)</f>
        <v>0</v>
      </c>
      <c r="S176" s="491">
        <f>IF($E166="USD",S169*(1-Flags!$K$29),0)</f>
        <v>0</v>
      </c>
      <c r="T176" s="491">
        <f>IF($E166="USD",T169*(1-Flags!$K$29),0)</f>
        <v>0</v>
      </c>
      <c r="U176" s="491">
        <f>IF($E166="USD",U169*(1-Flags!$K$29),0)</f>
        <v>0</v>
      </c>
      <c r="V176" s="491">
        <f>IF($E166="USD",V169*(1-Flags!$K$29),0)</f>
        <v>0</v>
      </c>
      <c r="W176" s="491">
        <f>IF($E166="USD",W169*(1-Flags!$K$29),0)</f>
        <v>0</v>
      </c>
      <c r="X176" s="491">
        <f>IF($E166="USD",X169*(1-Flags!$K$29),0)</f>
        <v>0</v>
      </c>
      <c r="Y176" s="491">
        <f>IF($E166="USD",Y169*(1-Flags!$K$29),0)</f>
        <v>0</v>
      </c>
      <c r="Z176" s="491">
        <f>IF($E166="USD",Z169*(1-Flags!$K$29),0)</f>
        <v>0</v>
      </c>
      <c r="AA176" s="491">
        <f>IF($E166="USD",AA169*(1-Flags!$K$29),0)</f>
        <v>0</v>
      </c>
      <c r="AB176" s="491">
        <f>IF($E166="USD",AB169*(1-Flags!$K$29),0)</f>
        <v>0</v>
      </c>
      <c r="AC176" s="491">
        <f>IF($E166="USD",AC169*(1-Flags!$K$29),0)</f>
        <v>0</v>
      </c>
      <c r="AD176" s="491">
        <f>IF($E166="USD",AD169*(1-Flags!$K$29),0)</f>
        <v>0</v>
      </c>
      <c r="AE176" s="491">
        <f>IF($E166="USD",AE169*(1-Flags!$K$29),0)</f>
        <v>0</v>
      </c>
      <c r="AF176" s="491">
        <f>IF($E166="USD",AF169*(1-Flags!$K$29),0)</f>
        <v>0</v>
      </c>
      <c r="AG176" s="491">
        <f>IF($E166="USD",AG169*(1-Flags!$K$29),0)</f>
        <v>0</v>
      </c>
      <c r="AH176" s="491">
        <f>IF($E166="USD",AH169*(1-Flags!$K$29),0)</f>
        <v>0</v>
      </c>
      <c r="AI176" s="491">
        <f>IF($E166="USD",AI169*(1-Flags!$K$29),0)</f>
        <v>0</v>
      </c>
      <c r="AJ176" s="491">
        <f>IF($E166="USD",AJ169*(1-Flags!$K$29),0)</f>
        <v>0</v>
      </c>
      <c r="AK176" s="491">
        <f>IF($E166="USD",AK169*(1-Flags!$K$29),0)</f>
        <v>0</v>
      </c>
      <c r="AL176" s="491">
        <f>IF($E166="USD",AL169*(1-Flags!$K$29),0)</f>
        <v>0</v>
      </c>
      <c r="AM176" s="491">
        <f>IF($E166="USD",AM169*(1-Flags!$K$29),0)</f>
        <v>0</v>
      </c>
      <c r="AN176" s="491">
        <f>IF($E166="USD",AN169*(1-Flags!$K$29),0)</f>
        <v>0</v>
      </c>
      <c r="AO176" s="491">
        <f>IF($E166="USD",AO169*(1-Flags!$K$29),0)</f>
        <v>0</v>
      </c>
      <c r="AP176" s="491">
        <f>IF($E166="USD",AP169*(1-Flags!$K$29),0)</f>
        <v>0</v>
      </c>
      <c r="AQ176" s="491">
        <f>IF($E166="USD",AQ169*(1-Flags!$K$29),0)</f>
        <v>0</v>
      </c>
      <c r="AR176" s="491">
        <f>IF($E166="USD",AR169*(1-Flags!$K$29),0)</f>
        <v>0</v>
      </c>
      <c r="AS176" s="491">
        <f>IF($E166="USD",AS169*(1-Flags!$K$29),0)</f>
        <v>0</v>
      </c>
      <c r="AT176" s="491">
        <f>IF($E166="USD",AT169*(1-Flags!$K$29),0)</f>
        <v>0</v>
      </c>
      <c r="AU176" s="491">
        <f>IF($E166="USD",AU169*(1-Flags!$K$29),0)</f>
        <v>0</v>
      </c>
      <c r="AV176" s="491">
        <f>IF($E166="USD",AV169*(1-Flags!$K$29),0)</f>
        <v>0</v>
      </c>
      <c r="AW176" s="491">
        <f>IF($E166="USD",AW169*(1-Flags!$K$29),0)</f>
        <v>0</v>
      </c>
      <c r="AX176" s="491">
        <f>IF($E166="USD",AX169*(1-Flags!$K$29),0)</f>
        <v>0</v>
      </c>
      <c r="AY176" s="491">
        <f>IF($E166="USD",AY169*(1-Flags!$K$29),0)</f>
        <v>0</v>
      </c>
      <c r="AZ176" s="491">
        <f>IF($E166="USD",AZ169*(1-Flags!$K$29),0)</f>
        <v>0</v>
      </c>
      <c r="BA176" s="491">
        <f>IF($E166="USD",BA169*(1-Flags!$K$29),0)</f>
        <v>0</v>
      </c>
      <c r="BB176" s="491">
        <f>IF($E166="USD",BB169*(1-Flags!$K$29),0)</f>
        <v>0</v>
      </c>
      <c r="BC176" s="491">
        <f>IF($E166="USD",BC169*(1-Flags!$K$29),0)</f>
        <v>0</v>
      </c>
      <c r="BD176" s="491">
        <f>IF($E166="USD",BD169*(1-Flags!$K$29),0)</f>
        <v>0</v>
      </c>
      <c r="BE176" s="491">
        <f>IF($E166="USD",BE169*(1-Flags!$K$29),0)</f>
        <v>0</v>
      </c>
      <c r="BF176" s="491">
        <f>IF($E166="USD",BF169*(1-Flags!$K$29),0)</f>
        <v>0</v>
      </c>
      <c r="BG176" s="491">
        <f>IF($E166="USD",BG169*(1-Flags!$K$29),0)</f>
        <v>0</v>
      </c>
      <c r="BH176" s="491">
        <f>IF($E166="USD",BH169*(1-Flags!$K$29),0)</f>
        <v>0</v>
      </c>
      <c r="BI176" s="491">
        <f>IF($E166="USD",BI169*(1-Flags!$K$29),0)</f>
        <v>0</v>
      </c>
      <c r="BJ176" s="491">
        <f>IF($E166="USD",BJ169*(1-Flags!$K$29),0)</f>
        <v>0</v>
      </c>
      <c r="BK176" s="491">
        <f>IF($E166="USD",BK169*(1-Flags!$K$29),0)</f>
        <v>0</v>
      </c>
      <c r="BL176" s="491">
        <f>IF($E166="USD",BL169*(1-Flags!$K$29),0)</f>
        <v>0</v>
      </c>
      <c r="BM176" s="491">
        <f>IF($E166="USD",BM169*(1-Flags!$K$29),0)</f>
        <v>0</v>
      </c>
      <c r="BN176" s="491">
        <f>IF($E166="USD",BN169*(1-Flags!$K$29),0)</f>
        <v>0</v>
      </c>
      <c r="BO176" s="491">
        <f>IF($E166="USD",BO169*(1-Flags!$K$29),0)</f>
        <v>0</v>
      </c>
      <c r="BP176" s="491">
        <f>IF($E166="USD",BP169*(1-Flags!$K$29),0)</f>
        <v>0</v>
      </c>
      <c r="BQ176" s="491">
        <f>IF($E166="USD",BQ169*(1-Flags!$K$29),0)</f>
        <v>0</v>
      </c>
      <c r="BR176" s="491">
        <f>IF($E166="USD",BR169*(1-Flags!$K$29),0)</f>
        <v>0</v>
      </c>
      <c r="BS176" s="491">
        <f>IF($E166="USD",BS169*(1-Flags!$K$29),0)</f>
        <v>0</v>
      </c>
      <c r="BT176" s="491">
        <f>IF($E166="USD",BT169*(1-Flags!$K$29),0)</f>
        <v>0</v>
      </c>
      <c r="BU176" s="491">
        <f>IF($E166="USD",BU169*(1-Flags!$K$29),0)</f>
        <v>0</v>
      </c>
      <c r="BV176" s="491">
        <f>IF($E166="USD",BV169*(1-Flags!$K$29),0)</f>
        <v>0</v>
      </c>
      <c r="BW176" s="491">
        <f>IF($E166="USD",BW169*(1-Flags!$K$29),0)</f>
        <v>0</v>
      </c>
      <c r="BX176" s="491">
        <f>IF($E166="USD",BX169*(1-Flags!$K$29),0)</f>
        <v>0</v>
      </c>
      <c r="BY176" s="491">
        <f>IF($E166="USD",BY169*(1-Flags!$K$29),0)</f>
        <v>0</v>
      </c>
      <c r="BZ176" s="491">
        <f>IF($E166="USD",BZ169*(1-Flags!$K$29),0)</f>
        <v>0</v>
      </c>
      <c r="CA176" s="491">
        <f>IF($E166="USD",CA169*(1-Flags!$K$29),0)</f>
        <v>0</v>
      </c>
      <c r="CB176" s="491">
        <f>IF($E166="USD",CB169*(1-Flags!$K$29),0)</f>
        <v>0</v>
      </c>
      <c r="CC176" s="491">
        <f>IF($E166="USD",CC169*(1-Flags!$K$29),0)</f>
        <v>0</v>
      </c>
      <c r="CD176" s="491">
        <f>IF($E166="USD",CD169*(1-Flags!$K$29),0)</f>
        <v>0</v>
      </c>
      <c r="CE176" s="491">
        <f>IF($E166="USD",CE169*(1-Flags!$K$29),0)</f>
        <v>0</v>
      </c>
      <c r="CF176" s="491">
        <f>IF($E166="USD",CF169*(1-Flags!$K$29),0)</f>
        <v>0</v>
      </c>
      <c r="CG176" s="491">
        <f>IF($E166="USD",CG169*(1-Flags!$K$29),0)</f>
        <v>0</v>
      </c>
      <c r="CH176" s="491">
        <f>IF($E166="USD",CH169*(1-Flags!$K$29),0)</f>
        <v>0</v>
      </c>
      <c r="CI176" s="491">
        <f>IF($E166="USD",CI169*(1-Flags!$K$29),0)</f>
        <v>0</v>
      </c>
      <c r="CJ176" s="491">
        <f>IF($E166="USD",CJ169*(1-Flags!$K$29),0)</f>
        <v>0</v>
      </c>
      <c r="CK176" s="491">
        <f>IF($E166="USD",CK169*(1-Flags!$K$29),0)</f>
        <v>0</v>
      </c>
      <c r="CL176" s="491">
        <f>IF($E166="USD",CL169*(1-Flags!$K$29),0)</f>
        <v>0</v>
      </c>
      <c r="CM176" s="491">
        <f>IF($E166="USD",CM169*(1-Flags!$K$29),0)</f>
        <v>0</v>
      </c>
      <c r="CN176" s="491">
        <f>IF($E166="USD",CN169*(1-Flags!$K$29),0)</f>
        <v>0</v>
      </c>
      <c r="CO176" s="491">
        <f>IF($E166="USD",CO169*(1-Flags!$K$29),0)</f>
        <v>0</v>
      </c>
      <c r="CP176" s="491">
        <f>IF($E166="USD",CP169*(1-Flags!$K$29),0)</f>
        <v>0</v>
      </c>
      <c r="CQ176" s="491">
        <f>IF($E166="USD",CQ169*(1-Flags!$K$29),0)</f>
        <v>0</v>
      </c>
      <c r="CR176" s="491">
        <f>IF($E166="USD",CR169*(1-Flags!$K$29),0)</f>
        <v>0</v>
      </c>
      <c r="CS176" s="491">
        <f>IF($E166="USD",CS169*(1-Flags!$K$29),0)</f>
        <v>0</v>
      </c>
      <c r="CT176" s="491">
        <f>IF($E166="USD",CT169*(1-Flags!$K$29),0)</f>
        <v>0</v>
      </c>
      <c r="CU176" s="491">
        <f>IF($E166="USD",CU169*(1-Flags!$K$29),0)</f>
        <v>0</v>
      </c>
      <c r="CV176" s="491">
        <f>IF($E166="USD",CV169*(1-Flags!$K$29),0)</f>
        <v>0</v>
      </c>
      <c r="CW176" s="491">
        <f>IF($E166="USD",CW169*(1-Flags!$K$29),0)</f>
        <v>0</v>
      </c>
      <c r="CX176" s="491">
        <f>IF($E166="USD",CX169*(1-Flags!$K$29),0)</f>
        <v>0</v>
      </c>
      <c r="CY176" s="491">
        <f>IF($E166="USD",CY169*(1-Flags!$K$29),0)</f>
        <v>0</v>
      </c>
      <c r="CZ176" s="491">
        <f>IF($E166="USD",CZ169*(1-Flags!$K$29),0)</f>
        <v>0</v>
      </c>
      <c r="DA176" s="491">
        <f>IF($E166="USD",DA169*(1-Flags!$K$29),0)</f>
        <v>0</v>
      </c>
      <c r="DB176" s="491">
        <f>IF($E166="USD",DB169*(1-Flags!$K$29),0)</f>
        <v>0</v>
      </c>
      <c r="DC176" s="491">
        <f>IF($E166="USD",DC169*(1-Flags!$K$29),0)</f>
        <v>0</v>
      </c>
      <c r="DD176" s="491">
        <f>IF($E166="USD",DD169*(1-Flags!$K$29),0)</f>
        <v>0</v>
      </c>
      <c r="DE176" s="491">
        <f>IF($E166="USD",DE169*(1-Flags!$K$29),0)</f>
        <v>0</v>
      </c>
      <c r="DF176" s="491">
        <f>IF($E166="USD",DF169*(1-Flags!$K$29),0)</f>
        <v>0</v>
      </c>
      <c r="DG176" s="491">
        <f>IF($E166="USD",DG169*(1-Flags!$K$29),0)</f>
        <v>0</v>
      </c>
      <c r="DH176" s="491">
        <f>IF($E166="USD",DH169*(1-Flags!$K$29),0)</f>
        <v>0</v>
      </c>
      <c r="DI176" s="491">
        <f>IF($E166="USD",DI169*(1-Flags!$K$29),0)</f>
        <v>0</v>
      </c>
      <c r="DJ176" s="491">
        <f>IF($E166="USD",DJ169*(1-Flags!$K$29),0)</f>
        <v>0</v>
      </c>
      <c r="DK176" s="491">
        <f>IF($E166="USD",DK169*(1-Flags!$K$29),0)</f>
        <v>0</v>
      </c>
      <c r="DL176" s="491">
        <f>IF($E166="USD",DL169*(1-Flags!$K$29),0)</f>
        <v>0</v>
      </c>
      <c r="DM176" s="491">
        <f>IF($E166="USD",DM169*(1-Flags!$K$29),0)</f>
        <v>0</v>
      </c>
      <c r="DN176" s="491">
        <f>IF($E166="USD",DN169*(1-Flags!$K$29),0)</f>
        <v>0</v>
      </c>
      <c r="DO176" s="491">
        <f>IF($E166="USD",DO169*(1-Flags!$K$29),0)</f>
        <v>0</v>
      </c>
      <c r="DP176" s="491">
        <f>IF($E166="USD",DP169*(1-Flags!$K$29),0)</f>
        <v>0</v>
      </c>
      <c r="DQ176" s="491">
        <f>IF($E166="USD",DQ169*(1-Flags!$K$29),0)</f>
        <v>0</v>
      </c>
      <c r="DR176" s="491">
        <f>IF($E166="USD",DR169*(1-Flags!$K$29),0)</f>
        <v>0</v>
      </c>
      <c r="DS176" s="491">
        <f>IF($E166="USD",DS169*(1-Flags!$K$29),0)</f>
        <v>0</v>
      </c>
      <c r="DT176" s="491">
        <f>IF($E166="USD",DT169*(1-Flags!$K$29),0)</f>
        <v>0</v>
      </c>
      <c r="DU176" s="491">
        <f>IF($E166="USD",DU169*(1-Flags!$K$29),0)</f>
        <v>0</v>
      </c>
      <c r="DV176" s="491">
        <f>IF($E166="USD",DV169*(1-Flags!$K$29),0)</f>
        <v>0</v>
      </c>
      <c r="DW176" s="491">
        <f>IF($E166="USD",DW169*(1-Flags!$K$29),0)</f>
        <v>0</v>
      </c>
      <c r="DX176" s="491">
        <f>IF($E166="USD",DX169*(1-Flags!$K$29),0)</f>
        <v>0</v>
      </c>
      <c r="DY176" s="491">
        <f>IF($E166="USD",DY169*(1-Flags!$K$29),0)</f>
        <v>0</v>
      </c>
    </row>
    <row r="177" spans="1:129">
      <c r="C177" s="43" t="s">
        <v>637</v>
      </c>
      <c r="E177" s="578">
        <f>'Model Assumptions'!O142</f>
        <v>0</v>
      </c>
      <c r="J177" s="159">
        <f>J167*$E$177</f>
        <v>0</v>
      </c>
      <c r="K177" s="159">
        <f t="shared" ref="K177:BV177" si="156">K167*$E$177</f>
        <v>0</v>
      </c>
      <c r="L177" s="159">
        <f t="shared" si="156"/>
        <v>0</v>
      </c>
      <c r="M177" s="159">
        <f>M167*$E$177</f>
        <v>0</v>
      </c>
      <c r="N177" s="159">
        <f t="shared" si="156"/>
        <v>0</v>
      </c>
      <c r="O177" s="159">
        <f t="shared" si="156"/>
        <v>0</v>
      </c>
      <c r="P177" s="159">
        <f t="shared" si="156"/>
        <v>0</v>
      </c>
      <c r="Q177" s="159">
        <f t="shared" si="156"/>
        <v>0</v>
      </c>
      <c r="R177" s="159">
        <f t="shared" si="156"/>
        <v>0</v>
      </c>
      <c r="S177" s="159">
        <f t="shared" si="156"/>
        <v>0</v>
      </c>
      <c r="T177" s="159">
        <f t="shared" si="156"/>
        <v>0</v>
      </c>
      <c r="U177" s="159">
        <f t="shared" si="156"/>
        <v>0</v>
      </c>
      <c r="V177" s="159">
        <f t="shared" si="156"/>
        <v>0</v>
      </c>
      <c r="W177" s="159">
        <f t="shared" si="156"/>
        <v>0</v>
      </c>
      <c r="X177" s="159">
        <f t="shared" si="156"/>
        <v>0</v>
      </c>
      <c r="Y177" s="159">
        <f t="shared" si="156"/>
        <v>0</v>
      </c>
      <c r="Z177" s="159">
        <f t="shared" si="156"/>
        <v>0</v>
      </c>
      <c r="AA177" s="159">
        <f t="shared" si="156"/>
        <v>0</v>
      </c>
      <c r="AB177" s="159">
        <f t="shared" si="156"/>
        <v>0</v>
      </c>
      <c r="AC177" s="159">
        <f t="shared" si="156"/>
        <v>0</v>
      </c>
      <c r="AD177" s="159">
        <f t="shared" si="156"/>
        <v>0</v>
      </c>
      <c r="AE177" s="159">
        <f t="shared" si="156"/>
        <v>0</v>
      </c>
      <c r="AF177" s="159">
        <f t="shared" si="156"/>
        <v>0</v>
      </c>
      <c r="AG177" s="159">
        <f t="shared" si="156"/>
        <v>0</v>
      </c>
      <c r="AH177" s="159">
        <f t="shared" si="156"/>
        <v>0</v>
      </c>
      <c r="AI177" s="159">
        <f t="shared" si="156"/>
        <v>0</v>
      </c>
      <c r="AJ177" s="159">
        <f t="shared" si="156"/>
        <v>0</v>
      </c>
      <c r="AK177" s="159">
        <f t="shared" si="156"/>
        <v>0</v>
      </c>
      <c r="AL177" s="159">
        <f t="shared" si="156"/>
        <v>0</v>
      </c>
      <c r="AM177" s="159">
        <f t="shared" si="156"/>
        <v>0</v>
      </c>
      <c r="AN177" s="159">
        <f t="shared" si="156"/>
        <v>0</v>
      </c>
      <c r="AO177" s="159">
        <f t="shared" si="156"/>
        <v>0</v>
      </c>
      <c r="AP177" s="159">
        <f t="shared" si="156"/>
        <v>0</v>
      </c>
      <c r="AQ177" s="159">
        <f t="shared" si="156"/>
        <v>0</v>
      </c>
      <c r="AR177" s="159">
        <f t="shared" si="156"/>
        <v>0</v>
      </c>
      <c r="AS177" s="159">
        <f t="shared" si="156"/>
        <v>0</v>
      </c>
      <c r="AT177" s="159">
        <f t="shared" si="156"/>
        <v>0</v>
      </c>
      <c r="AU177" s="159">
        <f t="shared" si="156"/>
        <v>0</v>
      </c>
      <c r="AV177" s="159">
        <f t="shared" si="156"/>
        <v>0</v>
      </c>
      <c r="AW177" s="159">
        <f t="shared" si="156"/>
        <v>0</v>
      </c>
      <c r="AX177" s="159">
        <f t="shared" si="156"/>
        <v>0</v>
      </c>
      <c r="AY177" s="159">
        <f t="shared" si="156"/>
        <v>0</v>
      </c>
      <c r="AZ177" s="159">
        <f t="shared" si="156"/>
        <v>0</v>
      </c>
      <c r="BA177" s="159">
        <f t="shared" si="156"/>
        <v>0</v>
      </c>
      <c r="BB177" s="159">
        <f t="shared" si="156"/>
        <v>0</v>
      </c>
      <c r="BC177" s="159">
        <f t="shared" si="156"/>
        <v>0</v>
      </c>
      <c r="BD177" s="159">
        <f t="shared" si="156"/>
        <v>0</v>
      </c>
      <c r="BE177" s="159">
        <f t="shared" si="156"/>
        <v>0</v>
      </c>
      <c r="BF177" s="159">
        <f t="shared" si="156"/>
        <v>0</v>
      </c>
      <c r="BG177" s="159">
        <f t="shared" si="156"/>
        <v>0</v>
      </c>
      <c r="BH177" s="159">
        <f t="shared" si="156"/>
        <v>0</v>
      </c>
      <c r="BI177" s="159">
        <f t="shared" si="156"/>
        <v>0</v>
      </c>
      <c r="BJ177" s="159">
        <f t="shared" si="156"/>
        <v>0</v>
      </c>
      <c r="BK177" s="159">
        <f t="shared" si="156"/>
        <v>0</v>
      </c>
      <c r="BL177" s="159">
        <f t="shared" si="156"/>
        <v>0</v>
      </c>
      <c r="BM177" s="159">
        <f t="shared" si="156"/>
        <v>0</v>
      </c>
      <c r="BN177" s="159">
        <f t="shared" si="156"/>
        <v>0</v>
      </c>
      <c r="BO177" s="159">
        <f t="shared" si="156"/>
        <v>0</v>
      </c>
      <c r="BP177" s="159">
        <f t="shared" si="156"/>
        <v>0</v>
      </c>
      <c r="BQ177" s="159">
        <f t="shared" si="156"/>
        <v>0</v>
      </c>
      <c r="BR177" s="159">
        <f t="shared" si="156"/>
        <v>0</v>
      </c>
      <c r="BS177" s="159">
        <f t="shared" si="156"/>
        <v>0</v>
      </c>
      <c r="BT177" s="159">
        <f t="shared" si="156"/>
        <v>0</v>
      </c>
      <c r="BU177" s="159">
        <f t="shared" si="156"/>
        <v>0</v>
      </c>
      <c r="BV177" s="159">
        <f t="shared" si="156"/>
        <v>0</v>
      </c>
      <c r="BW177" s="159">
        <f t="shared" ref="BW177:DY177" si="157">BW167*$E$177</f>
        <v>0</v>
      </c>
      <c r="BX177" s="159">
        <f t="shared" si="157"/>
        <v>0</v>
      </c>
      <c r="BY177" s="159">
        <f t="shared" si="157"/>
        <v>0</v>
      </c>
      <c r="BZ177" s="159">
        <f t="shared" si="157"/>
        <v>0</v>
      </c>
      <c r="CA177" s="159">
        <f t="shared" si="157"/>
        <v>0</v>
      </c>
      <c r="CB177" s="159">
        <f t="shared" si="157"/>
        <v>0</v>
      </c>
      <c r="CC177" s="159">
        <f t="shared" si="157"/>
        <v>0</v>
      </c>
      <c r="CD177" s="159">
        <f t="shared" si="157"/>
        <v>0</v>
      </c>
      <c r="CE177" s="159">
        <f t="shared" si="157"/>
        <v>0</v>
      </c>
      <c r="CF177" s="159">
        <f t="shared" si="157"/>
        <v>0</v>
      </c>
      <c r="CG177" s="159">
        <f t="shared" si="157"/>
        <v>0</v>
      </c>
      <c r="CH177" s="159">
        <f t="shared" si="157"/>
        <v>0</v>
      </c>
      <c r="CI177" s="159">
        <f t="shared" si="157"/>
        <v>0</v>
      </c>
      <c r="CJ177" s="159">
        <f t="shared" si="157"/>
        <v>0</v>
      </c>
      <c r="CK177" s="159">
        <f t="shared" si="157"/>
        <v>0</v>
      </c>
      <c r="CL177" s="159">
        <f t="shared" si="157"/>
        <v>0</v>
      </c>
      <c r="CM177" s="159">
        <f t="shared" si="157"/>
        <v>0</v>
      </c>
      <c r="CN177" s="159">
        <f t="shared" si="157"/>
        <v>0</v>
      </c>
      <c r="CO177" s="159">
        <f t="shared" si="157"/>
        <v>0</v>
      </c>
      <c r="CP177" s="159">
        <f t="shared" si="157"/>
        <v>0</v>
      </c>
      <c r="CQ177" s="159">
        <f t="shared" si="157"/>
        <v>0</v>
      </c>
      <c r="CR177" s="159">
        <f t="shared" si="157"/>
        <v>0</v>
      </c>
      <c r="CS177" s="159">
        <f t="shared" si="157"/>
        <v>0</v>
      </c>
      <c r="CT177" s="159">
        <f t="shared" si="157"/>
        <v>0</v>
      </c>
      <c r="CU177" s="159">
        <f t="shared" si="157"/>
        <v>0</v>
      </c>
      <c r="CV177" s="159">
        <f t="shared" si="157"/>
        <v>0</v>
      </c>
      <c r="CW177" s="159">
        <f t="shared" si="157"/>
        <v>0</v>
      </c>
      <c r="CX177" s="159">
        <f t="shared" si="157"/>
        <v>0</v>
      </c>
      <c r="CY177" s="159">
        <f t="shared" si="157"/>
        <v>0</v>
      </c>
      <c r="CZ177" s="159">
        <f t="shared" si="157"/>
        <v>0</v>
      </c>
      <c r="DA177" s="159">
        <f t="shared" si="157"/>
        <v>0</v>
      </c>
      <c r="DB177" s="159">
        <f t="shared" si="157"/>
        <v>0</v>
      </c>
      <c r="DC177" s="159">
        <f t="shared" si="157"/>
        <v>0</v>
      </c>
      <c r="DD177" s="159">
        <f t="shared" si="157"/>
        <v>0</v>
      </c>
      <c r="DE177" s="159">
        <f t="shared" si="157"/>
        <v>0</v>
      </c>
      <c r="DF177" s="159">
        <f t="shared" si="157"/>
        <v>0</v>
      </c>
      <c r="DG177" s="159">
        <f t="shared" si="157"/>
        <v>0</v>
      </c>
      <c r="DH177" s="159">
        <f t="shared" si="157"/>
        <v>0</v>
      </c>
      <c r="DI177" s="159">
        <f t="shared" si="157"/>
        <v>0</v>
      </c>
      <c r="DJ177" s="159">
        <f t="shared" si="157"/>
        <v>0</v>
      </c>
      <c r="DK177" s="159">
        <f t="shared" si="157"/>
        <v>0</v>
      </c>
      <c r="DL177" s="159">
        <f t="shared" si="157"/>
        <v>0</v>
      </c>
      <c r="DM177" s="159">
        <f t="shared" si="157"/>
        <v>0</v>
      </c>
      <c r="DN177" s="159">
        <f t="shared" si="157"/>
        <v>0</v>
      </c>
      <c r="DO177" s="159">
        <f t="shared" si="157"/>
        <v>0</v>
      </c>
      <c r="DP177" s="159">
        <f t="shared" si="157"/>
        <v>0</v>
      </c>
      <c r="DQ177" s="159">
        <f t="shared" si="157"/>
        <v>0</v>
      </c>
      <c r="DR177" s="159">
        <f t="shared" si="157"/>
        <v>0</v>
      </c>
      <c r="DS177" s="159">
        <f t="shared" si="157"/>
        <v>0</v>
      </c>
      <c r="DT177" s="159">
        <f t="shared" si="157"/>
        <v>0</v>
      </c>
      <c r="DU177" s="159">
        <f t="shared" si="157"/>
        <v>0</v>
      </c>
      <c r="DV177" s="159">
        <f t="shared" si="157"/>
        <v>0</v>
      </c>
      <c r="DW177" s="159">
        <f t="shared" si="157"/>
        <v>0</v>
      </c>
      <c r="DX177" s="159">
        <f t="shared" si="157"/>
        <v>0</v>
      </c>
      <c r="DY177" s="159">
        <f t="shared" si="157"/>
        <v>0</v>
      </c>
    </row>
    <row r="178" spans="1:129">
      <c r="C178" s="43" t="s">
        <v>638</v>
      </c>
      <c r="J178" s="579">
        <f>J168*$E$177</f>
        <v>0</v>
      </c>
      <c r="K178" s="579">
        <f t="shared" ref="K178:BV178" si="158">K168*$E$177</f>
        <v>0</v>
      </c>
      <c r="L178" s="579">
        <f t="shared" si="158"/>
        <v>0</v>
      </c>
      <c r="M178" s="579">
        <f>M168*$E$177</f>
        <v>0</v>
      </c>
      <c r="N178" s="579">
        <f t="shared" si="158"/>
        <v>0</v>
      </c>
      <c r="O178" s="579">
        <f t="shared" si="158"/>
        <v>0</v>
      </c>
      <c r="P178" s="579">
        <f t="shared" si="158"/>
        <v>0</v>
      </c>
      <c r="Q178" s="579">
        <f t="shared" si="158"/>
        <v>0</v>
      </c>
      <c r="R178" s="579">
        <f t="shared" si="158"/>
        <v>0</v>
      </c>
      <c r="S178" s="579">
        <f t="shared" si="158"/>
        <v>0</v>
      </c>
      <c r="T178" s="579">
        <f t="shared" si="158"/>
        <v>0</v>
      </c>
      <c r="U178" s="579">
        <f t="shared" si="158"/>
        <v>0</v>
      </c>
      <c r="V178" s="579">
        <f t="shared" si="158"/>
        <v>0</v>
      </c>
      <c r="W178" s="579">
        <f t="shared" si="158"/>
        <v>0</v>
      </c>
      <c r="X178" s="579">
        <f t="shared" si="158"/>
        <v>0</v>
      </c>
      <c r="Y178" s="579">
        <f t="shared" si="158"/>
        <v>0</v>
      </c>
      <c r="Z178" s="579">
        <f t="shared" si="158"/>
        <v>0</v>
      </c>
      <c r="AA178" s="579">
        <f t="shared" si="158"/>
        <v>0</v>
      </c>
      <c r="AB178" s="579">
        <f t="shared" si="158"/>
        <v>0</v>
      </c>
      <c r="AC178" s="579">
        <f t="shared" si="158"/>
        <v>0</v>
      </c>
      <c r="AD178" s="579">
        <f t="shared" si="158"/>
        <v>0</v>
      </c>
      <c r="AE178" s="579">
        <f t="shared" si="158"/>
        <v>0</v>
      </c>
      <c r="AF178" s="579">
        <f t="shared" si="158"/>
        <v>0</v>
      </c>
      <c r="AG178" s="579">
        <f t="shared" si="158"/>
        <v>0</v>
      </c>
      <c r="AH178" s="579">
        <f t="shared" si="158"/>
        <v>0</v>
      </c>
      <c r="AI178" s="579">
        <f t="shared" si="158"/>
        <v>0</v>
      </c>
      <c r="AJ178" s="579">
        <f t="shared" si="158"/>
        <v>0</v>
      </c>
      <c r="AK178" s="579">
        <f t="shared" si="158"/>
        <v>0</v>
      </c>
      <c r="AL178" s="579">
        <f t="shared" si="158"/>
        <v>0</v>
      </c>
      <c r="AM178" s="579">
        <f t="shared" si="158"/>
        <v>0</v>
      </c>
      <c r="AN178" s="579">
        <f t="shared" si="158"/>
        <v>0</v>
      </c>
      <c r="AO178" s="579">
        <f t="shared" si="158"/>
        <v>0</v>
      </c>
      <c r="AP178" s="579">
        <f t="shared" si="158"/>
        <v>0</v>
      </c>
      <c r="AQ178" s="579">
        <f t="shared" si="158"/>
        <v>0</v>
      </c>
      <c r="AR178" s="579">
        <f t="shared" si="158"/>
        <v>0</v>
      </c>
      <c r="AS178" s="579">
        <f t="shared" si="158"/>
        <v>0</v>
      </c>
      <c r="AT178" s="579">
        <f t="shared" si="158"/>
        <v>0</v>
      </c>
      <c r="AU178" s="579">
        <f t="shared" si="158"/>
        <v>0</v>
      </c>
      <c r="AV178" s="579">
        <f t="shared" si="158"/>
        <v>0</v>
      </c>
      <c r="AW178" s="579">
        <f t="shared" si="158"/>
        <v>0</v>
      </c>
      <c r="AX178" s="579">
        <f t="shared" si="158"/>
        <v>0</v>
      </c>
      <c r="AY178" s="579">
        <f t="shared" si="158"/>
        <v>0</v>
      </c>
      <c r="AZ178" s="579">
        <f t="shared" si="158"/>
        <v>0</v>
      </c>
      <c r="BA178" s="579">
        <f t="shared" si="158"/>
        <v>0</v>
      </c>
      <c r="BB178" s="579">
        <f t="shared" si="158"/>
        <v>0</v>
      </c>
      <c r="BC178" s="579">
        <f t="shared" si="158"/>
        <v>0</v>
      </c>
      <c r="BD178" s="579">
        <f t="shared" si="158"/>
        <v>0</v>
      </c>
      <c r="BE178" s="579">
        <f t="shared" si="158"/>
        <v>0</v>
      </c>
      <c r="BF178" s="579">
        <f t="shared" si="158"/>
        <v>0</v>
      </c>
      <c r="BG178" s="579">
        <f t="shared" si="158"/>
        <v>0</v>
      </c>
      <c r="BH178" s="579">
        <f t="shared" si="158"/>
        <v>0</v>
      </c>
      <c r="BI178" s="579">
        <f t="shared" si="158"/>
        <v>0</v>
      </c>
      <c r="BJ178" s="579">
        <f t="shared" si="158"/>
        <v>0</v>
      </c>
      <c r="BK178" s="579">
        <f t="shared" si="158"/>
        <v>0</v>
      </c>
      <c r="BL178" s="579">
        <f t="shared" si="158"/>
        <v>0</v>
      </c>
      <c r="BM178" s="579">
        <f t="shared" si="158"/>
        <v>0</v>
      </c>
      <c r="BN178" s="579">
        <f t="shared" si="158"/>
        <v>0</v>
      </c>
      <c r="BO178" s="579">
        <f t="shared" si="158"/>
        <v>0</v>
      </c>
      <c r="BP178" s="579">
        <f t="shared" si="158"/>
        <v>0</v>
      </c>
      <c r="BQ178" s="579">
        <f t="shared" si="158"/>
        <v>0</v>
      </c>
      <c r="BR178" s="579">
        <f t="shared" si="158"/>
        <v>0</v>
      </c>
      <c r="BS178" s="579">
        <f t="shared" si="158"/>
        <v>0</v>
      </c>
      <c r="BT178" s="579">
        <f t="shared" si="158"/>
        <v>0</v>
      </c>
      <c r="BU178" s="579">
        <f t="shared" si="158"/>
        <v>0</v>
      </c>
      <c r="BV178" s="579">
        <f t="shared" si="158"/>
        <v>0</v>
      </c>
      <c r="BW178" s="579">
        <f t="shared" ref="BW178:DY178" si="159">BW168*$E$177</f>
        <v>0</v>
      </c>
      <c r="BX178" s="579">
        <f t="shared" si="159"/>
        <v>0</v>
      </c>
      <c r="BY178" s="579">
        <f t="shared" si="159"/>
        <v>0</v>
      </c>
      <c r="BZ178" s="579">
        <f t="shared" si="159"/>
        <v>0</v>
      </c>
      <c r="CA178" s="579">
        <f t="shared" si="159"/>
        <v>0</v>
      </c>
      <c r="CB178" s="579">
        <f t="shared" si="159"/>
        <v>0</v>
      </c>
      <c r="CC178" s="579">
        <f t="shared" si="159"/>
        <v>0</v>
      </c>
      <c r="CD178" s="579">
        <f t="shared" si="159"/>
        <v>0</v>
      </c>
      <c r="CE178" s="579">
        <f t="shared" si="159"/>
        <v>0</v>
      </c>
      <c r="CF178" s="579">
        <f t="shared" si="159"/>
        <v>0</v>
      </c>
      <c r="CG178" s="579">
        <f t="shared" si="159"/>
        <v>0</v>
      </c>
      <c r="CH178" s="579">
        <f t="shared" si="159"/>
        <v>0</v>
      </c>
      <c r="CI178" s="579">
        <f t="shared" si="159"/>
        <v>0</v>
      </c>
      <c r="CJ178" s="579">
        <f t="shared" si="159"/>
        <v>0</v>
      </c>
      <c r="CK178" s="579">
        <f t="shared" si="159"/>
        <v>0</v>
      </c>
      <c r="CL178" s="579">
        <f t="shared" si="159"/>
        <v>0</v>
      </c>
      <c r="CM178" s="579">
        <f t="shared" si="159"/>
        <v>0</v>
      </c>
      <c r="CN178" s="579">
        <f t="shared" si="159"/>
        <v>0</v>
      </c>
      <c r="CO178" s="579">
        <f t="shared" si="159"/>
        <v>0</v>
      </c>
      <c r="CP178" s="579">
        <f t="shared" si="159"/>
        <v>0</v>
      </c>
      <c r="CQ178" s="579">
        <f t="shared" si="159"/>
        <v>0</v>
      </c>
      <c r="CR178" s="579">
        <f t="shared" si="159"/>
        <v>0</v>
      </c>
      <c r="CS178" s="579">
        <f t="shared" si="159"/>
        <v>0</v>
      </c>
      <c r="CT178" s="579">
        <f t="shared" si="159"/>
        <v>0</v>
      </c>
      <c r="CU178" s="579">
        <f t="shared" si="159"/>
        <v>0</v>
      </c>
      <c r="CV178" s="579">
        <f t="shared" si="159"/>
        <v>0</v>
      </c>
      <c r="CW178" s="579">
        <f t="shared" si="159"/>
        <v>0</v>
      </c>
      <c r="CX178" s="579">
        <f t="shared" si="159"/>
        <v>0</v>
      </c>
      <c r="CY178" s="579">
        <f t="shared" si="159"/>
        <v>0</v>
      </c>
      <c r="CZ178" s="579">
        <f t="shared" si="159"/>
        <v>0</v>
      </c>
      <c r="DA178" s="579">
        <f t="shared" si="159"/>
        <v>0</v>
      </c>
      <c r="DB178" s="579">
        <f t="shared" si="159"/>
        <v>0</v>
      </c>
      <c r="DC178" s="579">
        <f t="shared" si="159"/>
        <v>0</v>
      </c>
      <c r="DD178" s="579">
        <f t="shared" si="159"/>
        <v>0</v>
      </c>
      <c r="DE178" s="579">
        <f t="shared" si="159"/>
        <v>0</v>
      </c>
      <c r="DF178" s="579">
        <f t="shared" si="159"/>
        <v>0</v>
      </c>
      <c r="DG178" s="579">
        <f t="shared" si="159"/>
        <v>0</v>
      </c>
      <c r="DH178" s="579">
        <f t="shared" si="159"/>
        <v>0</v>
      </c>
      <c r="DI178" s="579">
        <f t="shared" si="159"/>
        <v>0</v>
      </c>
      <c r="DJ178" s="579">
        <f t="shared" si="159"/>
        <v>0</v>
      </c>
      <c r="DK178" s="579">
        <f t="shared" si="159"/>
        <v>0</v>
      </c>
      <c r="DL178" s="579">
        <f t="shared" si="159"/>
        <v>0</v>
      </c>
      <c r="DM178" s="579">
        <f t="shared" si="159"/>
        <v>0</v>
      </c>
      <c r="DN178" s="579">
        <f t="shared" si="159"/>
        <v>0</v>
      </c>
      <c r="DO178" s="579">
        <f t="shared" si="159"/>
        <v>0</v>
      </c>
      <c r="DP178" s="579">
        <f t="shared" si="159"/>
        <v>0</v>
      </c>
      <c r="DQ178" s="579">
        <f t="shared" si="159"/>
        <v>0</v>
      </c>
      <c r="DR178" s="579">
        <f t="shared" si="159"/>
        <v>0</v>
      </c>
      <c r="DS178" s="579">
        <f t="shared" si="159"/>
        <v>0</v>
      </c>
      <c r="DT178" s="579">
        <f t="shared" si="159"/>
        <v>0</v>
      </c>
      <c r="DU178" s="579">
        <f t="shared" si="159"/>
        <v>0</v>
      </c>
      <c r="DV178" s="579">
        <f t="shared" si="159"/>
        <v>0</v>
      </c>
      <c r="DW178" s="579">
        <f t="shared" si="159"/>
        <v>0</v>
      </c>
      <c r="DX178" s="579">
        <f t="shared" si="159"/>
        <v>0</v>
      </c>
      <c r="DY178" s="579">
        <f t="shared" si="159"/>
        <v>0</v>
      </c>
    </row>
    <row r="180" spans="1:129" s="170" customFormat="1">
      <c r="A180" s="166" t="s">
        <v>40</v>
      </c>
      <c r="B180" s="168"/>
      <c r="C180" s="167"/>
      <c r="D180" s="167"/>
      <c r="E180" s="489"/>
      <c r="F180" s="167"/>
      <c r="G180" s="167"/>
      <c r="H180" s="167"/>
      <c r="I180" s="167"/>
      <c r="J180" s="169"/>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c r="BM180" s="167"/>
      <c r="BN180" s="167"/>
      <c r="BO180" s="167"/>
      <c r="BP180" s="167"/>
      <c r="BQ180" s="167"/>
      <c r="BR180" s="167"/>
      <c r="BS180" s="167"/>
      <c r="BT180" s="167"/>
      <c r="BU180" s="167"/>
      <c r="BV180" s="167"/>
      <c r="BW180" s="167"/>
      <c r="BX180" s="167"/>
      <c r="BY180" s="167"/>
      <c r="BZ180" s="167"/>
      <c r="CA180" s="167"/>
      <c r="CB180" s="167"/>
      <c r="CC180" s="167"/>
    </row>
  </sheetData>
  <sheetProtection sheet="1" objects="1" scenarios="1"/>
  <conditionalFormatting sqref="J180">
    <cfRule type="colorScale" priority="1">
      <colorScale>
        <cfvo type="num" val="0"/>
        <cfvo type="num" val="1"/>
        <color rgb="FF00B050"/>
        <color rgb="FFFFC000"/>
      </colorScale>
    </cfRule>
  </conditionalFormatting>
  <hyperlinks>
    <hyperlink ref="B3" location="'Cover page'!A1" display="Cover page" xr:uid="{00000000-0004-0000-0600-000000000000}"/>
  </hyperlinks>
  <pageMargins left="0.7" right="0.7" top="0.75" bottom="0.75" header="0.3" footer="0.3"/>
  <pageSetup scale="32" orientation="portrait" horizontalDpi="1200" verticalDpi="1200" r:id="rId1"/>
  <colBreaks count="5" manualBreakCount="5">
    <brk id="21" max="1048575" man="1"/>
    <brk id="33" max="1048575" man="1"/>
    <brk id="45" max="1048575" man="1"/>
    <brk id="57" max="1048575" man="1"/>
    <brk id="69"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925A-D5EA-4809-8525-45BFADD69A63}">
  <sheetPr>
    <tabColor theme="6"/>
  </sheetPr>
  <dimension ref="A1:R18"/>
  <sheetViews>
    <sheetView showGridLines="0" zoomScale="80" zoomScaleNormal="80" workbookViewId="0">
      <selection activeCell="G29" sqref="G29"/>
    </sheetView>
  </sheetViews>
  <sheetFormatPr defaultColWidth="8.77734375" defaultRowHeight="13.8" outlineLevelRow="1"/>
  <cols>
    <col min="1" max="1" width="6" style="5" customWidth="1"/>
    <col min="2" max="2" width="48.21875" style="5" bestFit="1" customWidth="1"/>
    <col min="3" max="4" width="18.77734375" style="5" customWidth="1"/>
    <col min="5" max="5" width="13.21875" style="5" bestFit="1" customWidth="1"/>
    <col min="6" max="6" width="16.21875" style="5" customWidth="1"/>
    <col min="7" max="7" width="21.21875" style="5" bestFit="1" customWidth="1"/>
    <col min="8" max="13" width="15.21875" style="5" customWidth="1"/>
    <col min="14" max="15" width="15.44140625" style="5" bestFit="1" customWidth="1"/>
    <col min="16" max="16" width="10.21875" style="5" bestFit="1" customWidth="1"/>
    <col min="17" max="17" width="34.21875" style="5" bestFit="1" customWidth="1"/>
    <col min="18" max="18" width="17.77734375" style="5" bestFit="1" customWidth="1"/>
    <col min="19" max="16384" width="8.77734375" style="5"/>
  </cols>
  <sheetData>
    <row r="1" spans="1:18" s="163" customFormat="1">
      <c r="A1" s="160"/>
      <c r="B1" s="160" t="str">
        <f>+Flags!B1</f>
        <v>[Company name]</v>
      </c>
      <c r="C1" s="161"/>
      <c r="D1" s="161"/>
      <c r="E1" s="161"/>
      <c r="F1" s="161"/>
      <c r="G1" s="161"/>
      <c r="H1" s="162"/>
      <c r="I1" s="162"/>
      <c r="J1" s="162"/>
      <c r="K1" s="162"/>
      <c r="L1" s="162"/>
      <c r="M1" s="162"/>
      <c r="N1" s="369"/>
      <c r="O1" s="369"/>
      <c r="P1" s="369"/>
      <c r="Q1" s="369"/>
      <c r="R1" s="369"/>
    </row>
    <row r="2" spans="1:18" s="163" customFormat="1">
      <c r="A2" s="160"/>
      <c r="B2" s="160" t="str">
        <f ca="1">RIGHT(CELL("filename",$B$1),LEN(CELL("filename",$B$1))-SEARCH("]",CELL("filename",$B$1)))</f>
        <v>Cost of capital</v>
      </c>
      <c r="C2" s="161"/>
      <c r="D2" s="161"/>
      <c r="E2" s="161"/>
      <c r="F2" s="161"/>
      <c r="G2" s="161"/>
      <c r="H2" s="162"/>
      <c r="I2" s="162"/>
      <c r="J2" s="162"/>
      <c r="K2" s="162"/>
      <c r="L2" s="162"/>
      <c r="M2" s="162"/>
      <c r="N2" s="369"/>
      <c r="O2" s="369"/>
      <c r="P2" s="369"/>
      <c r="Q2" s="369"/>
      <c r="R2" s="369"/>
    </row>
    <row r="3" spans="1:18" s="163" customFormat="1">
      <c r="A3" s="160"/>
      <c r="B3" s="164" t="s">
        <v>72</v>
      </c>
      <c r="C3" s="161"/>
      <c r="D3" s="161"/>
      <c r="E3" s="161"/>
      <c r="F3" s="161"/>
      <c r="G3" s="161"/>
      <c r="H3" s="162"/>
      <c r="I3" s="165"/>
      <c r="J3" s="165"/>
      <c r="K3" s="165"/>
      <c r="L3" s="165"/>
      <c r="M3" s="165"/>
      <c r="N3" s="371"/>
      <c r="O3" s="371"/>
      <c r="P3" s="371"/>
      <c r="Q3" s="371"/>
      <c r="R3" s="371"/>
    </row>
    <row r="4" spans="1:18" s="539" customFormat="1">
      <c r="B4" s="544" t="str">
        <f ca="1">IF(MasterCheck=0,"All checks are OK","There are "&amp;MasterCheck&amp;" errors!")</f>
        <v>All checks are OK</v>
      </c>
      <c r="Q4" s="540"/>
    </row>
    <row r="5" spans="1:18">
      <c r="Q5" s="381"/>
    </row>
    <row r="6" spans="1:18">
      <c r="B6" s="509" t="s">
        <v>561</v>
      </c>
      <c r="C6" s="509"/>
      <c r="D6" s="509"/>
      <c r="E6" s="509"/>
      <c r="F6" s="509"/>
      <c r="G6" s="509"/>
      <c r="H6" s="509"/>
      <c r="I6" s="509"/>
      <c r="J6" s="510"/>
      <c r="K6" s="510"/>
      <c r="L6" s="510"/>
      <c r="M6" s="510"/>
      <c r="N6" s="510"/>
      <c r="O6" s="510"/>
      <c r="P6" s="510"/>
      <c r="Q6" s="510"/>
      <c r="R6" s="510"/>
    </row>
    <row r="7" spans="1:18" outlineLevel="1">
      <c r="B7" s="548"/>
      <c r="C7" s="493"/>
    </row>
    <row r="8" spans="1:18" outlineLevel="1">
      <c r="B8" s="37" t="s">
        <v>19</v>
      </c>
      <c r="C8" s="660">
        <v>0.33849999999999997</v>
      </c>
    </row>
    <row r="9" spans="1:18" outlineLevel="1"/>
    <row r="10" spans="1:18" outlineLevel="1">
      <c r="B10" s="382" t="s">
        <v>20</v>
      </c>
      <c r="C10" s="383">
        <f>C11*(1-C12)</f>
        <v>6.5205693494189448E-2</v>
      </c>
    </row>
    <row r="11" spans="1:18" outlineLevel="1">
      <c r="B11" s="62" t="s">
        <v>556</v>
      </c>
      <c r="C11" s="562">
        <f>AVERAGE(Financing!J24:CC24)</f>
        <v>0.10867615582364908</v>
      </c>
    </row>
    <row r="12" spans="1:18" outlineLevel="1">
      <c r="B12" s="62" t="s">
        <v>21</v>
      </c>
      <c r="C12" s="550">
        <f>_Corp.Tax.r</f>
        <v>0.4</v>
      </c>
    </row>
    <row r="13" spans="1:18" outlineLevel="1">
      <c r="B13" s="62"/>
      <c r="C13" s="384"/>
    </row>
    <row r="14" spans="1:18" outlineLevel="1">
      <c r="B14" s="62" t="s">
        <v>18</v>
      </c>
      <c r="C14" s="383">
        <f ca="1">'Detailed Model (LCY)'!J257/('Detailed Model (LCY)'!J257+'Detailed Model (LCY)'!J263)</f>
        <v>0.55810385112021066</v>
      </c>
    </row>
    <row r="15" spans="1:18" outlineLevel="1">
      <c r="F15" s="26"/>
    </row>
    <row r="16" spans="1:18" outlineLevel="1">
      <c r="B16" s="551" t="s">
        <v>15</v>
      </c>
      <c r="C16" s="552">
        <f ca="1">C14*C10+(1-C14)*C8</f>
        <v>0.18597339504987986</v>
      </c>
    </row>
    <row r="17" spans="1:10" outlineLevel="1">
      <c r="B17" s="382"/>
      <c r="C17" s="383"/>
    </row>
    <row r="18" spans="1:10" s="163" customFormat="1">
      <c r="A18" s="160" t="s">
        <v>40</v>
      </c>
      <c r="B18" s="338"/>
      <c r="C18" s="161"/>
      <c r="D18" s="161"/>
      <c r="E18" s="161"/>
      <c r="F18" s="161"/>
      <c r="G18" s="161"/>
      <c r="H18" s="339"/>
      <c r="I18" s="161"/>
      <c r="J18" s="161"/>
    </row>
  </sheetData>
  <sheetProtection sheet="1" objects="1" scenarios="1"/>
  <conditionalFormatting sqref="H18">
    <cfRule type="colorScale" priority="1">
      <colorScale>
        <cfvo type="num" val="0"/>
        <cfvo type="num" val="1"/>
        <color rgb="FF00B050"/>
        <color rgb="FFFFC000"/>
      </colorScale>
    </cfRule>
  </conditionalFormatting>
  <hyperlinks>
    <hyperlink ref="B3" location="'Cover page'!A1" display="Cover page" xr:uid="{8F2F3DE7-5B13-4399-ABE1-386037B8B933}"/>
  </hyperlinks>
  <pageMargins left="0.7" right="0.7" top="0.75" bottom="0.75" header="0.3" footer="0.3"/>
  <pageSetup paperSize="9" scale="28"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sheetPr>
  <dimension ref="A1:DY333"/>
  <sheetViews>
    <sheetView showGridLines="0" zoomScale="80" zoomScaleNormal="80" zoomScaleSheetLayoutView="25" workbookViewId="0">
      <pane xSplit="5" ySplit="4" topLeftCell="F295" activePane="bottomRight" state="frozen"/>
      <selection pane="topRight"/>
      <selection pane="bottomLeft"/>
      <selection pane="bottomRight" activeCell="J304" sqref="J304"/>
    </sheetView>
  </sheetViews>
  <sheetFormatPr defaultColWidth="8.77734375" defaultRowHeight="13.8" outlineLevelRow="2" outlineLevelCol="1"/>
  <cols>
    <col min="1" max="1" width="6" style="5" customWidth="1"/>
    <col min="2" max="2" width="5.77734375" style="5" customWidth="1"/>
    <col min="3" max="3" width="2.77734375" style="5" customWidth="1"/>
    <col min="4" max="4" width="8.77734375" style="5"/>
    <col min="5" max="5" width="37.77734375" style="5" customWidth="1"/>
    <col min="6" max="6" width="27.77734375" style="5" customWidth="1" outlineLevel="1"/>
    <col min="7" max="7" width="27.21875" style="5" customWidth="1" outlineLevel="1"/>
    <col min="8" max="9" width="17.21875" style="5" customWidth="1" outlineLevel="1"/>
    <col min="10" max="10" width="14.77734375" style="5" customWidth="1"/>
    <col min="11" max="16" width="12.77734375" style="54" customWidth="1"/>
    <col min="17" max="17" width="13.77734375" style="54" customWidth="1"/>
    <col min="18" max="18" width="12.77734375" style="54" customWidth="1"/>
    <col min="19" max="19" width="13.77734375" style="54" customWidth="1"/>
    <col min="20" max="21" width="12.77734375" style="54" customWidth="1"/>
    <col min="22" max="35" width="12.77734375" style="54" bestFit="1" customWidth="1"/>
    <col min="36" max="44" width="13.44140625" style="54" bestFit="1" customWidth="1"/>
    <col min="45" max="45" width="24.44140625" style="54" bestFit="1" customWidth="1"/>
    <col min="46" max="59" width="13.44140625" style="54" bestFit="1" customWidth="1"/>
    <col min="60" max="80" width="13.77734375" style="54" bestFit="1" customWidth="1"/>
    <col min="81" max="81" width="13.77734375" style="54" customWidth="1"/>
    <col min="82" max="129" width="13.77734375" style="5" customWidth="1"/>
    <col min="130" max="16384" width="8.77734375" style="5"/>
  </cols>
  <sheetData>
    <row r="1" spans="1:129" s="163" customFormat="1">
      <c r="A1" s="160"/>
      <c r="B1" s="160" t="str">
        <f>+Flags!B1</f>
        <v>[Company name]</v>
      </c>
      <c r="C1" s="160"/>
      <c r="D1" s="161"/>
      <c r="E1" s="161"/>
      <c r="F1" s="161"/>
      <c r="G1" s="162" t="str">
        <f>+Flags!C21</f>
        <v>Period Start date</v>
      </c>
      <c r="H1" s="162"/>
      <c r="I1" s="162"/>
      <c r="J1" s="162">
        <f>+Flags!J21</f>
        <v>44927</v>
      </c>
      <c r="K1" s="162">
        <f>+Flags!K21</f>
        <v>44958</v>
      </c>
      <c r="L1" s="162">
        <f>+Flags!L21</f>
        <v>44986</v>
      </c>
      <c r="M1" s="162">
        <f>+Flags!M21</f>
        <v>45017</v>
      </c>
      <c r="N1" s="162">
        <f>+Flags!N21</f>
        <v>45047</v>
      </c>
      <c r="O1" s="162">
        <f>+Flags!O21</f>
        <v>45078</v>
      </c>
      <c r="P1" s="162">
        <f>+Flags!P21</f>
        <v>45108</v>
      </c>
      <c r="Q1" s="162">
        <f>+Flags!Q21</f>
        <v>45139</v>
      </c>
      <c r="R1" s="162">
        <f>+Flags!R21</f>
        <v>45170</v>
      </c>
      <c r="S1" s="162">
        <f>+Flags!S21</f>
        <v>45200</v>
      </c>
      <c r="T1" s="162">
        <f>+Flags!T21</f>
        <v>45231</v>
      </c>
      <c r="U1" s="162">
        <f>+Flags!U21</f>
        <v>45261</v>
      </c>
      <c r="V1" s="162">
        <f>+Flags!V21</f>
        <v>45292</v>
      </c>
      <c r="W1" s="162">
        <f>+Flags!W21</f>
        <v>45323</v>
      </c>
      <c r="X1" s="162">
        <f>+Flags!X21</f>
        <v>45352</v>
      </c>
      <c r="Y1" s="162">
        <f>+Flags!Y21</f>
        <v>45383</v>
      </c>
      <c r="Z1" s="162">
        <f>+Flags!Z21</f>
        <v>45413</v>
      </c>
      <c r="AA1" s="162">
        <f>+Flags!AA21</f>
        <v>45444</v>
      </c>
      <c r="AB1" s="162">
        <f>+Flags!AB21</f>
        <v>45474</v>
      </c>
      <c r="AC1" s="162">
        <f>+Flags!AC21</f>
        <v>45505</v>
      </c>
      <c r="AD1" s="162">
        <f>+Flags!AD21</f>
        <v>45536</v>
      </c>
      <c r="AE1" s="162">
        <f>+Flags!AE21</f>
        <v>45566</v>
      </c>
      <c r="AF1" s="162">
        <f>+Flags!AF21</f>
        <v>45597</v>
      </c>
      <c r="AG1" s="162">
        <f>+Flags!AG21</f>
        <v>45627</v>
      </c>
      <c r="AH1" s="162">
        <f>+Flags!AH21</f>
        <v>45658</v>
      </c>
      <c r="AI1" s="162">
        <f>+Flags!AI21</f>
        <v>45689</v>
      </c>
      <c r="AJ1" s="162">
        <f>+Flags!AJ21</f>
        <v>45717</v>
      </c>
      <c r="AK1" s="162">
        <f>+Flags!AK21</f>
        <v>45748</v>
      </c>
      <c r="AL1" s="162">
        <f>+Flags!AL21</f>
        <v>45778</v>
      </c>
      <c r="AM1" s="162">
        <f>+Flags!AM21</f>
        <v>45809</v>
      </c>
      <c r="AN1" s="162">
        <f>+Flags!AN21</f>
        <v>45839</v>
      </c>
      <c r="AO1" s="162">
        <f>+Flags!AO21</f>
        <v>45870</v>
      </c>
      <c r="AP1" s="162">
        <f>+Flags!AP21</f>
        <v>45901</v>
      </c>
      <c r="AQ1" s="162">
        <f>+Flags!AQ21</f>
        <v>45931</v>
      </c>
      <c r="AR1" s="162">
        <f>+Flags!AR21</f>
        <v>45962</v>
      </c>
      <c r="AS1" s="162">
        <f>+Flags!AS21</f>
        <v>45992</v>
      </c>
      <c r="AT1" s="162">
        <f>+Flags!AT21</f>
        <v>46023</v>
      </c>
      <c r="AU1" s="162">
        <f>+Flags!AU21</f>
        <v>46054</v>
      </c>
      <c r="AV1" s="162">
        <f>+Flags!AV21</f>
        <v>46082</v>
      </c>
      <c r="AW1" s="162">
        <f>+Flags!AW21</f>
        <v>46113</v>
      </c>
      <c r="AX1" s="162">
        <f>+Flags!AX21</f>
        <v>46143</v>
      </c>
      <c r="AY1" s="162">
        <f>+Flags!AY21</f>
        <v>46174</v>
      </c>
      <c r="AZ1" s="162">
        <f>+Flags!AZ21</f>
        <v>46204</v>
      </c>
      <c r="BA1" s="162">
        <f>+Flags!BA21</f>
        <v>46235</v>
      </c>
      <c r="BB1" s="162">
        <f>+Flags!BB21</f>
        <v>46266</v>
      </c>
      <c r="BC1" s="162">
        <f>+Flags!BC21</f>
        <v>46296</v>
      </c>
      <c r="BD1" s="162">
        <f>+Flags!BD21</f>
        <v>46327</v>
      </c>
      <c r="BE1" s="162">
        <f>+Flags!BE21</f>
        <v>46357</v>
      </c>
      <c r="BF1" s="162">
        <f>+Flags!BF21</f>
        <v>46388</v>
      </c>
      <c r="BG1" s="162">
        <f>+Flags!BG21</f>
        <v>46419</v>
      </c>
      <c r="BH1" s="162">
        <f>+Flags!BH21</f>
        <v>46447</v>
      </c>
      <c r="BI1" s="162">
        <f>+Flags!BI21</f>
        <v>46478</v>
      </c>
      <c r="BJ1" s="162">
        <f>+Flags!BJ21</f>
        <v>46508</v>
      </c>
      <c r="BK1" s="162">
        <f>+Flags!BK21</f>
        <v>46539</v>
      </c>
      <c r="BL1" s="162">
        <f>+Flags!BL21</f>
        <v>46569</v>
      </c>
      <c r="BM1" s="162">
        <f>+Flags!BM21</f>
        <v>46600</v>
      </c>
      <c r="BN1" s="162">
        <f>+Flags!BN21</f>
        <v>46631</v>
      </c>
      <c r="BO1" s="162">
        <f>+Flags!BO21</f>
        <v>46661</v>
      </c>
      <c r="BP1" s="162">
        <f>+Flags!BP21</f>
        <v>46692</v>
      </c>
      <c r="BQ1" s="162">
        <f>+Flags!BQ21</f>
        <v>46722</v>
      </c>
      <c r="BR1" s="162">
        <f>+Flags!BR21</f>
        <v>46753</v>
      </c>
      <c r="BS1" s="162">
        <f>+Flags!BS21</f>
        <v>46784</v>
      </c>
      <c r="BT1" s="162">
        <f>+Flags!BT21</f>
        <v>46813</v>
      </c>
      <c r="BU1" s="162">
        <f>+Flags!BU21</f>
        <v>46844</v>
      </c>
      <c r="BV1" s="162">
        <f>+Flags!BV21</f>
        <v>46874</v>
      </c>
      <c r="BW1" s="162">
        <f>+Flags!BW21</f>
        <v>46905</v>
      </c>
      <c r="BX1" s="162">
        <f>+Flags!BX21</f>
        <v>46935</v>
      </c>
      <c r="BY1" s="162">
        <f>+Flags!BY21</f>
        <v>46966</v>
      </c>
      <c r="BZ1" s="162">
        <f>+Flags!BZ21</f>
        <v>46997</v>
      </c>
      <c r="CA1" s="162">
        <f>+Flags!CA21</f>
        <v>47027</v>
      </c>
      <c r="CB1" s="162">
        <f>+Flags!CB21</f>
        <v>47058</v>
      </c>
      <c r="CC1" s="162">
        <f>+Flags!CC21</f>
        <v>47088</v>
      </c>
      <c r="CD1" s="162">
        <f>+Flags!CD21</f>
        <v>47119</v>
      </c>
      <c r="CE1" s="162">
        <f>+Flags!CE21</f>
        <v>47150</v>
      </c>
      <c r="CF1" s="162">
        <f>+Flags!CF21</f>
        <v>47178</v>
      </c>
      <c r="CG1" s="162">
        <f>+Flags!CG21</f>
        <v>47209</v>
      </c>
      <c r="CH1" s="162">
        <f>+Flags!CH21</f>
        <v>47239</v>
      </c>
      <c r="CI1" s="162">
        <f>+Flags!CI21</f>
        <v>47270</v>
      </c>
      <c r="CJ1" s="162">
        <f>+Flags!CJ21</f>
        <v>47300</v>
      </c>
      <c r="CK1" s="162">
        <f>+Flags!CK21</f>
        <v>47331</v>
      </c>
      <c r="CL1" s="162">
        <f>+Flags!CL21</f>
        <v>47362</v>
      </c>
      <c r="CM1" s="162">
        <f>+Flags!CM21</f>
        <v>47392</v>
      </c>
      <c r="CN1" s="162">
        <f>+Flags!CN21</f>
        <v>47423</v>
      </c>
      <c r="CO1" s="162">
        <f>+Flags!CO21</f>
        <v>47453</v>
      </c>
      <c r="CP1" s="162">
        <f>+Flags!CP21</f>
        <v>47484</v>
      </c>
      <c r="CQ1" s="162">
        <f>+Flags!CQ21</f>
        <v>47515</v>
      </c>
      <c r="CR1" s="162">
        <f>+Flags!CR21</f>
        <v>47543</v>
      </c>
      <c r="CS1" s="162">
        <f>+Flags!CS21</f>
        <v>47574</v>
      </c>
      <c r="CT1" s="162">
        <f>+Flags!CT21</f>
        <v>47604</v>
      </c>
      <c r="CU1" s="162">
        <f>+Flags!CU21</f>
        <v>47635</v>
      </c>
      <c r="CV1" s="162">
        <f>+Flags!CV21</f>
        <v>47665</v>
      </c>
      <c r="CW1" s="162">
        <f>+Flags!CW21</f>
        <v>47696</v>
      </c>
      <c r="CX1" s="162">
        <f>+Flags!CX21</f>
        <v>47727</v>
      </c>
      <c r="CY1" s="162">
        <f>+Flags!CY21</f>
        <v>47757</v>
      </c>
      <c r="CZ1" s="162">
        <f>+Flags!CZ21</f>
        <v>47788</v>
      </c>
      <c r="DA1" s="162">
        <f>+Flags!DA21</f>
        <v>47818</v>
      </c>
      <c r="DB1" s="162">
        <f>+Flags!DB21</f>
        <v>47849</v>
      </c>
      <c r="DC1" s="162">
        <f>+Flags!DC21</f>
        <v>47880</v>
      </c>
      <c r="DD1" s="162">
        <f>+Flags!DD21</f>
        <v>47908</v>
      </c>
      <c r="DE1" s="162">
        <f>+Flags!DE21</f>
        <v>47939</v>
      </c>
      <c r="DF1" s="162">
        <f>+Flags!DF21</f>
        <v>47969</v>
      </c>
      <c r="DG1" s="162">
        <f>+Flags!DG21</f>
        <v>48000</v>
      </c>
      <c r="DH1" s="162">
        <f>+Flags!DH21</f>
        <v>48030</v>
      </c>
      <c r="DI1" s="162">
        <f>+Flags!DI21</f>
        <v>48061</v>
      </c>
      <c r="DJ1" s="162">
        <f>+Flags!DJ21</f>
        <v>48092</v>
      </c>
      <c r="DK1" s="162">
        <f>+Flags!DK21</f>
        <v>48122</v>
      </c>
      <c r="DL1" s="162">
        <f>+Flags!DL21</f>
        <v>48153</v>
      </c>
      <c r="DM1" s="162">
        <f>+Flags!DM21</f>
        <v>48183</v>
      </c>
      <c r="DN1" s="162">
        <f>+Flags!DN21</f>
        <v>48214</v>
      </c>
      <c r="DO1" s="162">
        <f>+Flags!DO21</f>
        <v>48245</v>
      </c>
      <c r="DP1" s="162">
        <f>+Flags!DP21</f>
        <v>48274</v>
      </c>
      <c r="DQ1" s="162">
        <f>+Flags!DQ21</f>
        <v>48305</v>
      </c>
      <c r="DR1" s="162">
        <f>+Flags!DR21</f>
        <v>48335</v>
      </c>
      <c r="DS1" s="162">
        <f>+Flags!DS21</f>
        <v>48366</v>
      </c>
      <c r="DT1" s="162">
        <f>+Flags!DT21</f>
        <v>48396</v>
      </c>
      <c r="DU1" s="162">
        <f>+Flags!DU21</f>
        <v>48427</v>
      </c>
      <c r="DV1" s="162">
        <f>+Flags!DV21</f>
        <v>48458</v>
      </c>
      <c r="DW1" s="162">
        <f>+Flags!DW21</f>
        <v>48488</v>
      </c>
      <c r="DX1" s="162">
        <f>+Flags!DX21</f>
        <v>48519</v>
      </c>
      <c r="DY1" s="162">
        <f>+Flags!DY21</f>
        <v>48549</v>
      </c>
    </row>
    <row r="2" spans="1:129" s="163" customFormat="1">
      <c r="A2" s="160"/>
      <c r="B2" s="160" t="str">
        <f ca="1">RIGHT(CELL("filename",$B$1),LEN(CELL("filename",$B$1))-SEARCH("]",CELL("filename",$B$1)))</f>
        <v>Detailed Model (LCY)</v>
      </c>
      <c r="C2" s="160"/>
      <c r="D2" s="161"/>
      <c r="E2" s="161"/>
      <c r="F2" s="161"/>
      <c r="G2" s="162" t="str">
        <f>+Flags!C22</f>
        <v>Period End date</v>
      </c>
      <c r="H2" s="162"/>
      <c r="I2" s="162"/>
      <c r="J2" s="162">
        <f>+Flags!J22</f>
        <v>44957</v>
      </c>
      <c r="K2" s="162">
        <f>+Flags!K22</f>
        <v>44985</v>
      </c>
      <c r="L2" s="162">
        <f>+Flags!L22</f>
        <v>45016</v>
      </c>
      <c r="M2" s="162">
        <f>+Flags!M22</f>
        <v>45046</v>
      </c>
      <c r="N2" s="162">
        <f>+Flags!N22</f>
        <v>45077</v>
      </c>
      <c r="O2" s="162">
        <f>+Flags!O22</f>
        <v>45107</v>
      </c>
      <c r="P2" s="162">
        <f>+Flags!P22</f>
        <v>45138</v>
      </c>
      <c r="Q2" s="162">
        <f>+Flags!Q22</f>
        <v>45169</v>
      </c>
      <c r="R2" s="162">
        <f>+Flags!R22</f>
        <v>45199</v>
      </c>
      <c r="S2" s="162">
        <f>+Flags!S22</f>
        <v>45230</v>
      </c>
      <c r="T2" s="162">
        <f>+Flags!T22</f>
        <v>45260</v>
      </c>
      <c r="U2" s="162">
        <f>+Flags!U22</f>
        <v>45291</v>
      </c>
      <c r="V2" s="162">
        <f>+Flags!V22</f>
        <v>45322</v>
      </c>
      <c r="W2" s="162">
        <f>+Flags!W22</f>
        <v>45351</v>
      </c>
      <c r="X2" s="162">
        <f>+Flags!X22</f>
        <v>45382</v>
      </c>
      <c r="Y2" s="162">
        <f>+Flags!Y22</f>
        <v>45412</v>
      </c>
      <c r="Z2" s="162">
        <f>+Flags!Z22</f>
        <v>45443</v>
      </c>
      <c r="AA2" s="162">
        <f>+Flags!AA22</f>
        <v>45473</v>
      </c>
      <c r="AB2" s="162">
        <f>+Flags!AB22</f>
        <v>45504</v>
      </c>
      <c r="AC2" s="162">
        <f>+Flags!AC22</f>
        <v>45535</v>
      </c>
      <c r="AD2" s="162">
        <f>+Flags!AD22</f>
        <v>45565</v>
      </c>
      <c r="AE2" s="162">
        <f>+Flags!AE22</f>
        <v>45596</v>
      </c>
      <c r="AF2" s="162">
        <f>+Flags!AF22</f>
        <v>45626</v>
      </c>
      <c r="AG2" s="162">
        <f>+Flags!AG22</f>
        <v>45657</v>
      </c>
      <c r="AH2" s="162">
        <f>+Flags!AH22</f>
        <v>45688</v>
      </c>
      <c r="AI2" s="162">
        <f>+Flags!AI22</f>
        <v>45716</v>
      </c>
      <c r="AJ2" s="162">
        <f>+Flags!AJ22</f>
        <v>45747</v>
      </c>
      <c r="AK2" s="162">
        <f>+Flags!AK22</f>
        <v>45777</v>
      </c>
      <c r="AL2" s="162">
        <f>+Flags!AL22</f>
        <v>45808</v>
      </c>
      <c r="AM2" s="162">
        <f>+Flags!AM22</f>
        <v>45838</v>
      </c>
      <c r="AN2" s="162">
        <f>+Flags!AN22</f>
        <v>45869</v>
      </c>
      <c r="AO2" s="162">
        <f>+Flags!AO22</f>
        <v>45900</v>
      </c>
      <c r="AP2" s="162">
        <f>+Flags!AP22</f>
        <v>45930</v>
      </c>
      <c r="AQ2" s="162">
        <f>+Flags!AQ22</f>
        <v>45961</v>
      </c>
      <c r="AR2" s="162">
        <f>+Flags!AR22</f>
        <v>45991</v>
      </c>
      <c r="AS2" s="162">
        <f>+Flags!AS22</f>
        <v>46022</v>
      </c>
      <c r="AT2" s="162">
        <f>+Flags!AT22</f>
        <v>46053</v>
      </c>
      <c r="AU2" s="162">
        <f>+Flags!AU22</f>
        <v>46081</v>
      </c>
      <c r="AV2" s="162">
        <f>+Flags!AV22</f>
        <v>46112</v>
      </c>
      <c r="AW2" s="162">
        <f>+Flags!AW22</f>
        <v>46142</v>
      </c>
      <c r="AX2" s="162">
        <f>+Flags!AX22</f>
        <v>46173</v>
      </c>
      <c r="AY2" s="162">
        <f>+Flags!AY22</f>
        <v>46203</v>
      </c>
      <c r="AZ2" s="162">
        <f>+Flags!AZ22</f>
        <v>46234</v>
      </c>
      <c r="BA2" s="162">
        <f>+Flags!BA22</f>
        <v>46265</v>
      </c>
      <c r="BB2" s="162">
        <f>+Flags!BB22</f>
        <v>46295</v>
      </c>
      <c r="BC2" s="162">
        <f>+Flags!BC22</f>
        <v>46326</v>
      </c>
      <c r="BD2" s="162">
        <f>+Flags!BD22</f>
        <v>46356</v>
      </c>
      <c r="BE2" s="162">
        <f>+Flags!BE22</f>
        <v>46387</v>
      </c>
      <c r="BF2" s="162">
        <f>+Flags!BF22</f>
        <v>46418</v>
      </c>
      <c r="BG2" s="162">
        <f>+Flags!BG22</f>
        <v>46446</v>
      </c>
      <c r="BH2" s="162">
        <f>+Flags!BH22</f>
        <v>46477</v>
      </c>
      <c r="BI2" s="162">
        <f>+Flags!BI22</f>
        <v>46507</v>
      </c>
      <c r="BJ2" s="162">
        <f>+Flags!BJ22</f>
        <v>46538</v>
      </c>
      <c r="BK2" s="162">
        <f>+Flags!BK22</f>
        <v>46568</v>
      </c>
      <c r="BL2" s="162">
        <f>+Flags!BL22</f>
        <v>46599</v>
      </c>
      <c r="BM2" s="162">
        <f>+Flags!BM22</f>
        <v>46630</v>
      </c>
      <c r="BN2" s="162">
        <f>+Flags!BN22</f>
        <v>46660</v>
      </c>
      <c r="BO2" s="162">
        <f>+Flags!BO22</f>
        <v>46691</v>
      </c>
      <c r="BP2" s="162">
        <f>+Flags!BP22</f>
        <v>46721</v>
      </c>
      <c r="BQ2" s="162">
        <f>+Flags!BQ22</f>
        <v>46752</v>
      </c>
      <c r="BR2" s="162">
        <f>+Flags!BR22</f>
        <v>46783</v>
      </c>
      <c r="BS2" s="162">
        <f>+Flags!BS22</f>
        <v>46812</v>
      </c>
      <c r="BT2" s="162">
        <f>+Flags!BT22</f>
        <v>46843</v>
      </c>
      <c r="BU2" s="162">
        <f>+Flags!BU22</f>
        <v>46873</v>
      </c>
      <c r="BV2" s="162">
        <f>+Flags!BV22</f>
        <v>46904</v>
      </c>
      <c r="BW2" s="162">
        <f>+Flags!BW22</f>
        <v>46934</v>
      </c>
      <c r="BX2" s="162">
        <f>+Flags!BX22</f>
        <v>46965</v>
      </c>
      <c r="BY2" s="162">
        <f>+Flags!BY22</f>
        <v>46996</v>
      </c>
      <c r="BZ2" s="162">
        <f>+Flags!BZ22</f>
        <v>47026</v>
      </c>
      <c r="CA2" s="162">
        <f>+Flags!CA22</f>
        <v>47057</v>
      </c>
      <c r="CB2" s="162">
        <f>+Flags!CB22</f>
        <v>47087</v>
      </c>
      <c r="CC2" s="162">
        <f>+Flags!CC22</f>
        <v>47118</v>
      </c>
      <c r="CD2" s="162">
        <f>+Flags!CD22</f>
        <v>47149</v>
      </c>
      <c r="CE2" s="162">
        <f>+Flags!CE22</f>
        <v>47177</v>
      </c>
      <c r="CF2" s="162">
        <f>+Flags!CF22</f>
        <v>47208</v>
      </c>
      <c r="CG2" s="162">
        <f>+Flags!CG22</f>
        <v>47238</v>
      </c>
      <c r="CH2" s="162">
        <f>+Flags!CH22</f>
        <v>47269</v>
      </c>
      <c r="CI2" s="162">
        <f>+Flags!CI22</f>
        <v>47299</v>
      </c>
      <c r="CJ2" s="162">
        <f>+Flags!CJ22</f>
        <v>47330</v>
      </c>
      <c r="CK2" s="162">
        <f>+Flags!CK22</f>
        <v>47361</v>
      </c>
      <c r="CL2" s="162">
        <f>+Flags!CL22</f>
        <v>47391</v>
      </c>
      <c r="CM2" s="162">
        <f>+Flags!CM22</f>
        <v>47422</v>
      </c>
      <c r="CN2" s="162">
        <f>+Flags!CN22</f>
        <v>47452</v>
      </c>
      <c r="CO2" s="162">
        <f>+Flags!CO22</f>
        <v>47483</v>
      </c>
      <c r="CP2" s="162">
        <f>+Flags!CP22</f>
        <v>47514</v>
      </c>
      <c r="CQ2" s="162">
        <f>+Flags!CQ22</f>
        <v>47542</v>
      </c>
      <c r="CR2" s="162">
        <f>+Flags!CR22</f>
        <v>47573</v>
      </c>
      <c r="CS2" s="162">
        <f>+Flags!CS22</f>
        <v>47603</v>
      </c>
      <c r="CT2" s="162">
        <f>+Flags!CT22</f>
        <v>47634</v>
      </c>
      <c r="CU2" s="162">
        <f>+Flags!CU22</f>
        <v>47664</v>
      </c>
      <c r="CV2" s="162">
        <f>+Flags!CV22</f>
        <v>47695</v>
      </c>
      <c r="CW2" s="162">
        <f>+Flags!CW22</f>
        <v>47726</v>
      </c>
      <c r="CX2" s="162">
        <f>+Flags!CX22</f>
        <v>47756</v>
      </c>
      <c r="CY2" s="162">
        <f>+Flags!CY22</f>
        <v>47787</v>
      </c>
      <c r="CZ2" s="162">
        <f>+Flags!CZ22</f>
        <v>47817</v>
      </c>
      <c r="DA2" s="162">
        <f>+Flags!DA22</f>
        <v>47848</v>
      </c>
      <c r="DB2" s="162">
        <f>+Flags!DB22</f>
        <v>47879</v>
      </c>
      <c r="DC2" s="162">
        <f>+Flags!DC22</f>
        <v>47907</v>
      </c>
      <c r="DD2" s="162">
        <f>+Flags!DD22</f>
        <v>47938</v>
      </c>
      <c r="DE2" s="162">
        <f>+Flags!DE22</f>
        <v>47968</v>
      </c>
      <c r="DF2" s="162">
        <f>+Flags!DF22</f>
        <v>47999</v>
      </c>
      <c r="DG2" s="162">
        <f>+Flags!DG22</f>
        <v>48029</v>
      </c>
      <c r="DH2" s="162">
        <f>+Flags!DH22</f>
        <v>48060</v>
      </c>
      <c r="DI2" s="162">
        <f>+Flags!DI22</f>
        <v>48091</v>
      </c>
      <c r="DJ2" s="162">
        <f>+Flags!DJ22</f>
        <v>48121</v>
      </c>
      <c r="DK2" s="162">
        <f>+Flags!DK22</f>
        <v>48152</v>
      </c>
      <c r="DL2" s="162">
        <f>+Flags!DL22</f>
        <v>48182</v>
      </c>
      <c r="DM2" s="162">
        <f>+Flags!DM22</f>
        <v>48213</v>
      </c>
      <c r="DN2" s="162">
        <f>+Flags!DN22</f>
        <v>48244</v>
      </c>
      <c r="DO2" s="162">
        <f>+Flags!DO22</f>
        <v>48273</v>
      </c>
      <c r="DP2" s="162">
        <f>+Flags!DP22</f>
        <v>48304</v>
      </c>
      <c r="DQ2" s="162">
        <f>+Flags!DQ22</f>
        <v>48334</v>
      </c>
      <c r="DR2" s="162">
        <f>+Flags!DR22</f>
        <v>48365</v>
      </c>
      <c r="DS2" s="162">
        <f>+Flags!DS22</f>
        <v>48395</v>
      </c>
      <c r="DT2" s="162">
        <f>+Flags!DT22</f>
        <v>48426</v>
      </c>
      <c r="DU2" s="162">
        <f>+Flags!DU22</f>
        <v>48457</v>
      </c>
      <c r="DV2" s="162">
        <f>+Flags!DV22</f>
        <v>48487</v>
      </c>
      <c r="DW2" s="162">
        <f>+Flags!DW22</f>
        <v>48518</v>
      </c>
      <c r="DX2" s="162">
        <f>+Flags!DX22</f>
        <v>48548</v>
      </c>
      <c r="DY2" s="162">
        <f>+Flags!DY22</f>
        <v>48579</v>
      </c>
    </row>
    <row r="3" spans="1:129" s="163" customFormat="1">
      <c r="A3" s="160"/>
      <c r="B3" s="164" t="s">
        <v>72</v>
      </c>
      <c r="C3" s="160"/>
      <c r="D3" s="161"/>
      <c r="E3" s="161"/>
      <c r="F3" s="161"/>
      <c r="G3" s="162" t="str">
        <f>+Flags!C20</f>
        <v>Period # (month)</v>
      </c>
      <c r="H3" s="162"/>
      <c r="I3" s="162"/>
      <c r="J3" s="165">
        <f>+Flags!J20</f>
        <v>1</v>
      </c>
      <c r="K3" s="165">
        <f>+Flags!K20</f>
        <v>2</v>
      </c>
      <c r="L3" s="165">
        <f>+Flags!L20</f>
        <v>3</v>
      </c>
      <c r="M3" s="165">
        <f>+Flags!M20</f>
        <v>4</v>
      </c>
      <c r="N3" s="165">
        <f>+Flags!N20</f>
        <v>5</v>
      </c>
      <c r="O3" s="165">
        <f>+Flags!O20</f>
        <v>6</v>
      </c>
      <c r="P3" s="165">
        <f>+Flags!P20</f>
        <v>7</v>
      </c>
      <c r="Q3" s="165">
        <f>+Flags!Q20</f>
        <v>8</v>
      </c>
      <c r="R3" s="165">
        <f>+Flags!R20</f>
        <v>9</v>
      </c>
      <c r="S3" s="165">
        <f>+Flags!S20</f>
        <v>10</v>
      </c>
      <c r="T3" s="165">
        <f>+Flags!T20</f>
        <v>11</v>
      </c>
      <c r="U3" s="165">
        <f>+Flags!U20</f>
        <v>12</v>
      </c>
      <c r="V3" s="165">
        <f>+Flags!V20</f>
        <v>13</v>
      </c>
      <c r="W3" s="165">
        <f>+Flags!W20</f>
        <v>14</v>
      </c>
      <c r="X3" s="165">
        <f>+Flags!X20</f>
        <v>15</v>
      </c>
      <c r="Y3" s="165">
        <f>+Flags!Y20</f>
        <v>16</v>
      </c>
      <c r="Z3" s="165">
        <f>+Flags!Z20</f>
        <v>17</v>
      </c>
      <c r="AA3" s="165">
        <f>+Flags!AA20</f>
        <v>18</v>
      </c>
      <c r="AB3" s="165">
        <f>+Flags!AB20</f>
        <v>19</v>
      </c>
      <c r="AC3" s="165">
        <f>+Flags!AC20</f>
        <v>20</v>
      </c>
      <c r="AD3" s="165">
        <f>+Flags!AD20</f>
        <v>21</v>
      </c>
      <c r="AE3" s="165">
        <f>+Flags!AE20</f>
        <v>22</v>
      </c>
      <c r="AF3" s="165">
        <f>+Flags!AF20</f>
        <v>23</v>
      </c>
      <c r="AG3" s="165">
        <f>+Flags!AG20</f>
        <v>24</v>
      </c>
      <c r="AH3" s="165">
        <f>+Flags!AH20</f>
        <v>25</v>
      </c>
      <c r="AI3" s="165">
        <f>+Flags!AI20</f>
        <v>26</v>
      </c>
      <c r="AJ3" s="165">
        <f>+Flags!AJ20</f>
        <v>27</v>
      </c>
      <c r="AK3" s="165">
        <f>+Flags!AK20</f>
        <v>28</v>
      </c>
      <c r="AL3" s="165">
        <f>+Flags!AL20</f>
        <v>29</v>
      </c>
      <c r="AM3" s="165">
        <f>+Flags!AM20</f>
        <v>30</v>
      </c>
      <c r="AN3" s="165">
        <f>+Flags!AN20</f>
        <v>31</v>
      </c>
      <c r="AO3" s="165">
        <f>+Flags!AO20</f>
        <v>32</v>
      </c>
      <c r="AP3" s="165">
        <f>+Flags!AP20</f>
        <v>33</v>
      </c>
      <c r="AQ3" s="165">
        <f>+Flags!AQ20</f>
        <v>34</v>
      </c>
      <c r="AR3" s="165">
        <f>+Flags!AR20</f>
        <v>35</v>
      </c>
      <c r="AS3" s="165">
        <f>+Flags!AS20</f>
        <v>36</v>
      </c>
      <c r="AT3" s="165">
        <f>+Flags!AT20</f>
        <v>37</v>
      </c>
      <c r="AU3" s="165">
        <f>+Flags!AU20</f>
        <v>38</v>
      </c>
      <c r="AV3" s="165">
        <f>+Flags!AV20</f>
        <v>39</v>
      </c>
      <c r="AW3" s="165">
        <f>+Flags!AW20</f>
        <v>40</v>
      </c>
      <c r="AX3" s="165">
        <f>+Flags!AX20</f>
        <v>41</v>
      </c>
      <c r="AY3" s="165">
        <f>+Flags!AY20</f>
        <v>42</v>
      </c>
      <c r="AZ3" s="165">
        <f>+Flags!AZ20</f>
        <v>43</v>
      </c>
      <c r="BA3" s="165">
        <f>+Flags!BA20</f>
        <v>44</v>
      </c>
      <c r="BB3" s="165">
        <f>+Flags!BB20</f>
        <v>45</v>
      </c>
      <c r="BC3" s="165">
        <f>+Flags!BC20</f>
        <v>46</v>
      </c>
      <c r="BD3" s="165">
        <f>+Flags!BD20</f>
        <v>47</v>
      </c>
      <c r="BE3" s="165">
        <f>+Flags!BE20</f>
        <v>48</v>
      </c>
      <c r="BF3" s="165">
        <f>+Flags!BF20</f>
        <v>49</v>
      </c>
      <c r="BG3" s="165">
        <f>+Flags!BG20</f>
        <v>50</v>
      </c>
      <c r="BH3" s="165">
        <f>+Flags!BH20</f>
        <v>51</v>
      </c>
      <c r="BI3" s="165">
        <f>+Flags!BI20</f>
        <v>52</v>
      </c>
      <c r="BJ3" s="165">
        <f>+Flags!BJ20</f>
        <v>53</v>
      </c>
      <c r="BK3" s="165">
        <f>+Flags!BK20</f>
        <v>54</v>
      </c>
      <c r="BL3" s="165">
        <f>+Flags!BL20</f>
        <v>55</v>
      </c>
      <c r="BM3" s="165">
        <f>+Flags!BM20</f>
        <v>56</v>
      </c>
      <c r="BN3" s="165">
        <f>+Flags!BN20</f>
        <v>57</v>
      </c>
      <c r="BO3" s="165">
        <f>+Flags!BO20</f>
        <v>58</v>
      </c>
      <c r="BP3" s="165">
        <f>+Flags!BP20</f>
        <v>59</v>
      </c>
      <c r="BQ3" s="165">
        <f>+Flags!BQ20</f>
        <v>60</v>
      </c>
      <c r="BR3" s="165">
        <f>+Flags!BR20</f>
        <v>61</v>
      </c>
      <c r="BS3" s="165">
        <f>+Flags!BS20</f>
        <v>62</v>
      </c>
      <c r="BT3" s="165">
        <f>+Flags!BT20</f>
        <v>63</v>
      </c>
      <c r="BU3" s="165">
        <f>+Flags!BU20</f>
        <v>64</v>
      </c>
      <c r="BV3" s="165">
        <f>+Flags!BV20</f>
        <v>65</v>
      </c>
      <c r="BW3" s="165">
        <f>+Flags!BW20</f>
        <v>66</v>
      </c>
      <c r="BX3" s="165">
        <f>+Flags!BX20</f>
        <v>67</v>
      </c>
      <c r="BY3" s="165">
        <f>+Flags!BY20</f>
        <v>68</v>
      </c>
      <c r="BZ3" s="165">
        <f>+Flags!BZ20</f>
        <v>69</v>
      </c>
      <c r="CA3" s="165">
        <f>+Flags!CA20</f>
        <v>70</v>
      </c>
      <c r="CB3" s="165">
        <f>+Flags!CB20</f>
        <v>71</v>
      </c>
      <c r="CC3" s="165">
        <f>+Flags!CC20</f>
        <v>72</v>
      </c>
      <c r="CD3" s="165">
        <f>+Flags!CD20</f>
        <v>73</v>
      </c>
      <c r="CE3" s="165">
        <f>+Flags!CE20</f>
        <v>74</v>
      </c>
      <c r="CF3" s="165">
        <f>+Flags!CF20</f>
        <v>75</v>
      </c>
      <c r="CG3" s="165">
        <f>+Flags!CG20</f>
        <v>76</v>
      </c>
      <c r="CH3" s="165">
        <f>+Flags!CH20</f>
        <v>77</v>
      </c>
      <c r="CI3" s="165">
        <f>+Flags!CI20</f>
        <v>78</v>
      </c>
      <c r="CJ3" s="165">
        <f>+Flags!CJ20</f>
        <v>79</v>
      </c>
      <c r="CK3" s="165">
        <f>+Flags!CK20</f>
        <v>80</v>
      </c>
      <c r="CL3" s="165">
        <f>+Flags!CL20</f>
        <v>81</v>
      </c>
      <c r="CM3" s="165">
        <f>+Flags!CM20</f>
        <v>82</v>
      </c>
      <c r="CN3" s="165">
        <f>+Flags!CN20</f>
        <v>83</v>
      </c>
      <c r="CO3" s="165">
        <f>+Flags!CO20</f>
        <v>84</v>
      </c>
      <c r="CP3" s="165">
        <f>+Flags!CP20</f>
        <v>85</v>
      </c>
      <c r="CQ3" s="165">
        <f>+Flags!CQ20</f>
        <v>86</v>
      </c>
      <c r="CR3" s="165">
        <f>+Flags!CR20</f>
        <v>87</v>
      </c>
      <c r="CS3" s="165">
        <f>+Flags!CS20</f>
        <v>88</v>
      </c>
      <c r="CT3" s="165">
        <f>+Flags!CT20</f>
        <v>89</v>
      </c>
      <c r="CU3" s="165">
        <f>+Flags!CU20</f>
        <v>90</v>
      </c>
      <c r="CV3" s="165">
        <f>+Flags!CV20</f>
        <v>91</v>
      </c>
      <c r="CW3" s="165">
        <f>+Flags!CW20</f>
        <v>92</v>
      </c>
      <c r="CX3" s="165">
        <f>+Flags!CX20</f>
        <v>93</v>
      </c>
      <c r="CY3" s="165">
        <f>+Flags!CY20</f>
        <v>94</v>
      </c>
      <c r="CZ3" s="165">
        <f>+Flags!CZ20</f>
        <v>95</v>
      </c>
      <c r="DA3" s="165">
        <f>+Flags!DA20</f>
        <v>96</v>
      </c>
      <c r="DB3" s="165">
        <f>+Flags!DB20</f>
        <v>97</v>
      </c>
      <c r="DC3" s="165">
        <f>+Flags!DC20</f>
        <v>98</v>
      </c>
      <c r="DD3" s="165">
        <f>+Flags!DD20</f>
        <v>99</v>
      </c>
      <c r="DE3" s="165">
        <f>+Flags!DE20</f>
        <v>100</v>
      </c>
      <c r="DF3" s="165">
        <f>+Flags!DF20</f>
        <v>101</v>
      </c>
      <c r="DG3" s="165">
        <f>+Flags!DG20</f>
        <v>102</v>
      </c>
      <c r="DH3" s="165">
        <f>+Flags!DH20</f>
        <v>103</v>
      </c>
      <c r="DI3" s="165">
        <f>+Flags!DI20</f>
        <v>104</v>
      </c>
      <c r="DJ3" s="165">
        <f>+Flags!DJ20</f>
        <v>105</v>
      </c>
      <c r="DK3" s="165">
        <f>+Flags!DK20</f>
        <v>106</v>
      </c>
      <c r="DL3" s="165">
        <f>+Flags!DL20</f>
        <v>107</v>
      </c>
      <c r="DM3" s="165">
        <f>+Flags!DM20</f>
        <v>108</v>
      </c>
      <c r="DN3" s="165">
        <f>+Flags!DN20</f>
        <v>109</v>
      </c>
      <c r="DO3" s="165">
        <f>+Flags!DO20</f>
        <v>110</v>
      </c>
      <c r="DP3" s="165">
        <f>+Flags!DP20</f>
        <v>111</v>
      </c>
      <c r="DQ3" s="165">
        <f>+Flags!DQ20</f>
        <v>112</v>
      </c>
      <c r="DR3" s="165">
        <f>+Flags!DR20</f>
        <v>113</v>
      </c>
      <c r="DS3" s="165">
        <f>+Flags!DS20</f>
        <v>114</v>
      </c>
      <c r="DT3" s="165">
        <f>+Flags!DT20</f>
        <v>115</v>
      </c>
      <c r="DU3" s="165">
        <f>+Flags!DU20</f>
        <v>116</v>
      </c>
      <c r="DV3" s="165">
        <f>+Flags!DV20</f>
        <v>117</v>
      </c>
      <c r="DW3" s="165">
        <f>+Flags!DW20</f>
        <v>118</v>
      </c>
      <c r="DX3" s="165">
        <f>+Flags!DX20</f>
        <v>119</v>
      </c>
      <c r="DY3" s="165">
        <f>+Flags!DY20</f>
        <v>120</v>
      </c>
    </row>
    <row r="4" spans="1:129" s="163" customFormat="1">
      <c r="A4" s="160"/>
      <c r="B4" s="544" t="str">
        <f ca="1">IF(MasterCheck=0,"All checks are OK","There are "&amp;MasterCheck&amp;" errors!")</f>
        <v>All checks are OK</v>
      </c>
      <c r="C4" s="160"/>
      <c r="D4" s="161"/>
      <c r="E4" s="161"/>
      <c r="F4" s="161"/>
      <c r="G4" s="162" t="str">
        <f>+Flags!C23</f>
        <v>Year Ending</v>
      </c>
      <c r="H4" s="162"/>
      <c r="I4" s="162"/>
      <c r="J4" s="165">
        <f>+Flags!J23</f>
        <v>2023</v>
      </c>
      <c r="K4" s="165">
        <f>+Flags!K23</f>
        <v>2023</v>
      </c>
      <c r="L4" s="165">
        <f>+Flags!L23</f>
        <v>2023</v>
      </c>
      <c r="M4" s="165">
        <f>+Flags!M23</f>
        <v>2023</v>
      </c>
      <c r="N4" s="165">
        <f>+Flags!N23</f>
        <v>2023</v>
      </c>
      <c r="O4" s="165">
        <f>+Flags!O23</f>
        <v>2023</v>
      </c>
      <c r="P4" s="165">
        <f>+Flags!P23</f>
        <v>2023</v>
      </c>
      <c r="Q4" s="165">
        <f>+Flags!Q23</f>
        <v>2023</v>
      </c>
      <c r="R4" s="165">
        <f>+Flags!R23</f>
        <v>2023</v>
      </c>
      <c r="S4" s="165">
        <f>+Flags!S23</f>
        <v>2023</v>
      </c>
      <c r="T4" s="165">
        <f>+Flags!T23</f>
        <v>2023</v>
      </c>
      <c r="U4" s="165">
        <f>+Flags!U23</f>
        <v>2023</v>
      </c>
      <c r="V4" s="165">
        <f>+Flags!V23</f>
        <v>2024</v>
      </c>
      <c r="W4" s="165">
        <f>+Flags!W23</f>
        <v>2024</v>
      </c>
      <c r="X4" s="165">
        <f>+Flags!X23</f>
        <v>2024</v>
      </c>
      <c r="Y4" s="165">
        <f>+Flags!Y23</f>
        <v>2024</v>
      </c>
      <c r="Z4" s="165">
        <f>+Flags!Z23</f>
        <v>2024</v>
      </c>
      <c r="AA4" s="165">
        <f>+Flags!AA23</f>
        <v>2024</v>
      </c>
      <c r="AB4" s="165">
        <f>+Flags!AB23</f>
        <v>2024</v>
      </c>
      <c r="AC4" s="165">
        <f>+Flags!AC23</f>
        <v>2024</v>
      </c>
      <c r="AD4" s="165">
        <f>+Flags!AD23</f>
        <v>2024</v>
      </c>
      <c r="AE4" s="165">
        <f>+Flags!AE23</f>
        <v>2024</v>
      </c>
      <c r="AF4" s="165">
        <f>+Flags!AF23</f>
        <v>2024</v>
      </c>
      <c r="AG4" s="165">
        <f>+Flags!AG23</f>
        <v>2024</v>
      </c>
      <c r="AH4" s="165">
        <f>+Flags!AH23</f>
        <v>2025</v>
      </c>
      <c r="AI4" s="165">
        <f>+Flags!AI23</f>
        <v>2025</v>
      </c>
      <c r="AJ4" s="165">
        <f>+Flags!AJ23</f>
        <v>2025</v>
      </c>
      <c r="AK4" s="165">
        <f>+Flags!AK23</f>
        <v>2025</v>
      </c>
      <c r="AL4" s="165">
        <f>+Flags!AL23</f>
        <v>2025</v>
      </c>
      <c r="AM4" s="165">
        <f>+Flags!AM23</f>
        <v>2025</v>
      </c>
      <c r="AN4" s="165">
        <f>+Flags!AN23</f>
        <v>2025</v>
      </c>
      <c r="AO4" s="165">
        <f>+Flags!AO23</f>
        <v>2025</v>
      </c>
      <c r="AP4" s="165">
        <f>+Flags!AP23</f>
        <v>2025</v>
      </c>
      <c r="AQ4" s="165">
        <f>+Flags!AQ23</f>
        <v>2025</v>
      </c>
      <c r="AR4" s="165">
        <f>+Flags!AR23</f>
        <v>2025</v>
      </c>
      <c r="AS4" s="165">
        <f>+Flags!AS23</f>
        <v>2025</v>
      </c>
      <c r="AT4" s="165">
        <f>+Flags!AT23</f>
        <v>2026</v>
      </c>
      <c r="AU4" s="165">
        <f>+Flags!AU23</f>
        <v>2026</v>
      </c>
      <c r="AV4" s="165">
        <f>+Flags!AV23</f>
        <v>2026</v>
      </c>
      <c r="AW4" s="165">
        <f>+Flags!AW23</f>
        <v>2026</v>
      </c>
      <c r="AX4" s="165">
        <f>+Flags!AX23</f>
        <v>2026</v>
      </c>
      <c r="AY4" s="165">
        <f>+Flags!AY23</f>
        <v>2026</v>
      </c>
      <c r="AZ4" s="165">
        <f>+Flags!AZ23</f>
        <v>2026</v>
      </c>
      <c r="BA4" s="165">
        <f>+Flags!BA23</f>
        <v>2026</v>
      </c>
      <c r="BB4" s="165">
        <f>+Flags!BB23</f>
        <v>2026</v>
      </c>
      <c r="BC4" s="165">
        <f>+Flags!BC23</f>
        <v>2026</v>
      </c>
      <c r="BD4" s="165">
        <f>+Flags!BD23</f>
        <v>2026</v>
      </c>
      <c r="BE4" s="165">
        <f>+Flags!BE23</f>
        <v>2026</v>
      </c>
      <c r="BF4" s="165">
        <f>+Flags!BF23</f>
        <v>2027</v>
      </c>
      <c r="BG4" s="165">
        <f>+Flags!BG23</f>
        <v>2027</v>
      </c>
      <c r="BH4" s="165">
        <f>+Flags!BH23</f>
        <v>2027</v>
      </c>
      <c r="BI4" s="165">
        <f>+Flags!BI23</f>
        <v>2027</v>
      </c>
      <c r="BJ4" s="165">
        <f>+Flags!BJ23</f>
        <v>2027</v>
      </c>
      <c r="BK4" s="165">
        <f>+Flags!BK23</f>
        <v>2027</v>
      </c>
      <c r="BL4" s="165">
        <f>+Flags!BL23</f>
        <v>2027</v>
      </c>
      <c r="BM4" s="165">
        <f>+Flags!BM23</f>
        <v>2027</v>
      </c>
      <c r="BN4" s="165">
        <f>+Flags!BN23</f>
        <v>2027</v>
      </c>
      <c r="BO4" s="165">
        <f>+Flags!BO23</f>
        <v>2027</v>
      </c>
      <c r="BP4" s="165">
        <f>+Flags!BP23</f>
        <v>2027</v>
      </c>
      <c r="BQ4" s="165">
        <f>+Flags!BQ23</f>
        <v>2027</v>
      </c>
      <c r="BR4" s="165">
        <f>+Flags!BR23</f>
        <v>2028</v>
      </c>
      <c r="BS4" s="165">
        <f>+Flags!BS23</f>
        <v>2028</v>
      </c>
      <c r="BT4" s="165">
        <f>+Flags!BT23</f>
        <v>2028</v>
      </c>
      <c r="BU4" s="165">
        <f>+Flags!BU23</f>
        <v>2028</v>
      </c>
      <c r="BV4" s="165">
        <f>+Flags!BV23</f>
        <v>2028</v>
      </c>
      <c r="BW4" s="165">
        <f>+Flags!BW23</f>
        <v>2028</v>
      </c>
      <c r="BX4" s="165">
        <f>+Flags!BX23</f>
        <v>2028</v>
      </c>
      <c r="BY4" s="165">
        <f>+Flags!BY23</f>
        <v>2028</v>
      </c>
      <c r="BZ4" s="165">
        <f>+Flags!BZ23</f>
        <v>2028</v>
      </c>
      <c r="CA4" s="165">
        <f>+Flags!CA23</f>
        <v>2028</v>
      </c>
      <c r="CB4" s="165">
        <f>+Flags!CB23</f>
        <v>2028</v>
      </c>
      <c r="CC4" s="165">
        <f>+Flags!CC23</f>
        <v>2028</v>
      </c>
      <c r="CD4" s="165">
        <f>+Flags!CD23</f>
        <v>2029</v>
      </c>
      <c r="CE4" s="165">
        <f>+Flags!CE23</f>
        <v>2029</v>
      </c>
      <c r="CF4" s="165">
        <f>+Flags!CF23</f>
        <v>2029</v>
      </c>
      <c r="CG4" s="165">
        <f>+Flags!CG23</f>
        <v>2029</v>
      </c>
      <c r="CH4" s="165">
        <f>+Flags!CH23</f>
        <v>2029</v>
      </c>
      <c r="CI4" s="165">
        <f>+Flags!CI23</f>
        <v>2029</v>
      </c>
      <c r="CJ4" s="165">
        <f>+Flags!CJ23</f>
        <v>2029</v>
      </c>
      <c r="CK4" s="165">
        <f>+Flags!CK23</f>
        <v>2029</v>
      </c>
      <c r="CL4" s="165">
        <f>+Flags!CL23</f>
        <v>2029</v>
      </c>
      <c r="CM4" s="165">
        <f>+Flags!CM23</f>
        <v>2029</v>
      </c>
      <c r="CN4" s="165">
        <f>+Flags!CN23</f>
        <v>2029</v>
      </c>
      <c r="CO4" s="165">
        <f>+Flags!CO23</f>
        <v>2029</v>
      </c>
      <c r="CP4" s="165">
        <f>+Flags!CP23</f>
        <v>2030</v>
      </c>
      <c r="CQ4" s="165">
        <f>+Flags!CQ23</f>
        <v>2030</v>
      </c>
      <c r="CR4" s="165">
        <f>+Flags!CR23</f>
        <v>2030</v>
      </c>
      <c r="CS4" s="165">
        <f>+Flags!CS23</f>
        <v>2030</v>
      </c>
      <c r="CT4" s="165">
        <f>+Flags!CT23</f>
        <v>2030</v>
      </c>
      <c r="CU4" s="165">
        <f>+Flags!CU23</f>
        <v>2030</v>
      </c>
      <c r="CV4" s="165">
        <f>+Flags!CV23</f>
        <v>2030</v>
      </c>
      <c r="CW4" s="165">
        <f>+Flags!CW23</f>
        <v>2030</v>
      </c>
      <c r="CX4" s="165">
        <f>+Flags!CX23</f>
        <v>2030</v>
      </c>
      <c r="CY4" s="165">
        <f>+Flags!CY23</f>
        <v>2030</v>
      </c>
      <c r="CZ4" s="165">
        <f>+Flags!CZ23</f>
        <v>2030</v>
      </c>
      <c r="DA4" s="165">
        <f>+Flags!DA23</f>
        <v>2030</v>
      </c>
      <c r="DB4" s="165">
        <f>+Flags!DB23</f>
        <v>2031</v>
      </c>
      <c r="DC4" s="165">
        <f>+Flags!DC23</f>
        <v>2031</v>
      </c>
      <c r="DD4" s="165">
        <f>+Flags!DD23</f>
        <v>2031</v>
      </c>
      <c r="DE4" s="165">
        <f>+Flags!DE23</f>
        <v>2031</v>
      </c>
      <c r="DF4" s="165">
        <f>+Flags!DF23</f>
        <v>2031</v>
      </c>
      <c r="DG4" s="165">
        <f>+Flags!DG23</f>
        <v>2031</v>
      </c>
      <c r="DH4" s="165">
        <f>+Flags!DH23</f>
        <v>2031</v>
      </c>
      <c r="DI4" s="165">
        <f>+Flags!DI23</f>
        <v>2031</v>
      </c>
      <c r="DJ4" s="165">
        <f>+Flags!DJ23</f>
        <v>2031</v>
      </c>
      <c r="DK4" s="165">
        <f>+Flags!DK23</f>
        <v>2031</v>
      </c>
      <c r="DL4" s="165">
        <f>+Flags!DL23</f>
        <v>2031</v>
      </c>
      <c r="DM4" s="165">
        <f>+Flags!DM23</f>
        <v>2031</v>
      </c>
      <c r="DN4" s="165">
        <f>+Flags!DN23</f>
        <v>2032</v>
      </c>
      <c r="DO4" s="165">
        <f>+Flags!DO23</f>
        <v>2032</v>
      </c>
      <c r="DP4" s="165">
        <f>+Flags!DP23</f>
        <v>2032</v>
      </c>
      <c r="DQ4" s="165">
        <f>+Flags!DQ23</f>
        <v>2032</v>
      </c>
      <c r="DR4" s="165">
        <f>+Flags!DR23</f>
        <v>2032</v>
      </c>
      <c r="DS4" s="165">
        <f>+Flags!DS23</f>
        <v>2032</v>
      </c>
      <c r="DT4" s="165">
        <f>+Flags!DT23</f>
        <v>2032</v>
      </c>
      <c r="DU4" s="165">
        <f>+Flags!DU23</f>
        <v>2032</v>
      </c>
      <c r="DV4" s="165">
        <f>+Flags!DV23</f>
        <v>2032</v>
      </c>
      <c r="DW4" s="165">
        <f>+Flags!DW23</f>
        <v>2032</v>
      </c>
      <c r="DX4" s="165">
        <f>+Flags!DX23</f>
        <v>2032</v>
      </c>
      <c r="DY4" s="165">
        <f>+Flags!DY23</f>
        <v>2032</v>
      </c>
    </row>
    <row r="5" spans="1:129" s="75" customFormat="1">
      <c r="A5" s="70"/>
      <c r="B5" s="71"/>
      <c r="C5" s="70"/>
      <c r="D5" s="72"/>
      <c r="E5" s="72"/>
      <c r="F5" s="324"/>
      <c r="G5" s="73"/>
      <c r="H5" s="73"/>
      <c r="I5" s="73"/>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row>
    <row r="6" spans="1:129" s="19" customFormat="1" ht="15.6">
      <c r="A6" s="20"/>
      <c r="B6" s="391" t="s">
        <v>215</v>
      </c>
      <c r="C6" s="325"/>
      <c r="D6" s="326"/>
      <c r="E6" s="326"/>
      <c r="F6" s="326"/>
      <c r="G6" s="326"/>
      <c r="H6" s="326"/>
      <c r="I6" s="326"/>
      <c r="J6" s="327"/>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row>
    <row r="7" spans="1:129" s="19" customFormat="1" outlineLevel="1">
      <c r="A7" s="20"/>
      <c r="B7" s="14"/>
      <c r="C7" s="14"/>
      <c r="D7" s="30"/>
      <c r="E7" s="30"/>
      <c r="F7" s="30"/>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row>
    <row r="8" spans="1:129" s="19" customFormat="1" outlineLevel="1">
      <c r="A8" s="20"/>
      <c r="B8" s="14"/>
      <c r="C8" s="114" t="str">
        <f>'Model Assumptions'!$G$24</f>
        <v>Product 1</v>
      </c>
      <c r="D8" s="285"/>
      <c r="E8" s="287" t="s">
        <v>448</v>
      </c>
      <c r="F8" s="30"/>
      <c r="G8" s="14"/>
      <c r="H8" s="14"/>
      <c r="I8" s="584">
        <f>startP1</f>
        <v>10</v>
      </c>
      <c r="J8" s="288">
        <f>I8*(1+(INDEX(_Growthprojections,MATCH('Detailed Model (LCY)'!$C8,'Model Assumptions'!$C$72:$C$77,0),MATCH('Detailed Model (LCY)'!J$4,'Model Assumptions'!$C$72:$P$72,0))))</f>
        <v>10.199999999999999</v>
      </c>
      <c r="K8" s="288">
        <f>J8*(1+(INDEX(_Growthprojections,MATCH('Detailed Model (LCY)'!$C8,'Model Assumptions'!$C$72:$C$77,0),MATCH('Detailed Model (LCY)'!K$4,'Model Assumptions'!$C$72:$P$72,0))))</f>
        <v>10.404</v>
      </c>
      <c r="L8" s="288">
        <f>K8*(1+(INDEX(_Growthprojections,MATCH('Detailed Model (LCY)'!$C8,'Model Assumptions'!$C$72:$C$77,0),MATCH('Detailed Model (LCY)'!L$4,'Model Assumptions'!$C$72:$P$72,0))))</f>
        <v>10.612080000000001</v>
      </c>
      <c r="M8" s="288">
        <f>L8*(1+(INDEX(_Growthprojections,MATCH('Detailed Model (LCY)'!$C8,'Model Assumptions'!$C$72:$C$77,0),MATCH('Detailed Model (LCY)'!M$4,'Model Assumptions'!$C$72:$P$72,0))))</f>
        <v>10.824321600000001</v>
      </c>
      <c r="N8" s="288">
        <f>M8*(1+(INDEX(_Growthprojections,MATCH('Detailed Model (LCY)'!$C8,'Model Assumptions'!$C$72:$C$77,0),MATCH('Detailed Model (LCY)'!N$4,'Model Assumptions'!$C$72:$P$72,0))))</f>
        <v>11.040808032000001</v>
      </c>
      <c r="O8" s="288">
        <f>N8*(1+(INDEX(_Growthprojections,MATCH('Detailed Model (LCY)'!$C8,'Model Assumptions'!$C$72:$C$77,0),MATCH('Detailed Model (LCY)'!O$4,'Model Assumptions'!$C$72:$P$72,0))))</f>
        <v>11.261624192640001</v>
      </c>
      <c r="P8" s="288">
        <f>O8*(1+(INDEX(_Growthprojections,MATCH('Detailed Model (LCY)'!$C8,'Model Assumptions'!$C$72:$C$77,0),MATCH('Detailed Model (LCY)'!P$4,'Model Assumptions'!$C$72:$P$72,0))))</f>
        <v>11.486856676492801</v>
      </c>
      <c r="Q8" s="288">
        <f>P8*(1+(INDEX(_Growthprojections,MATCH('Detailed Model (LCY)'!$C8,'Model Assumptions'!$C$72:$C$77,0),MATCH('Detailed Model (LCY)'!Q$4,'Model Assumptions'!$C$72:$P$72,0))))</f>
        <v>11.716593810022657</v>
      </c>
      <c r="R8" s="288">
        <f>Q8*(1+(INDEX(_Growthprojections,MATCH('Detailed Model (LCY)'!$C8,'Model Assumptions'!$C$72:$C$77,0),MATCH('Detailed Model (LCY)'!R$4,'Model Assumptions'!$C$72:$P$72,0))))</f>
        <v>11.95092568622311</v>
      </c>
      <c r="S8" s="288">
        <f>R8*(1+(INDEX(_Growthprojections,MATCH('Detailed Model (LCY)'!$C8,'Model Assumptions'!$C$72:$C$77,0),MATCH('Detailed Model (LCY)'!S$4,'Model Assumptions'!$C$72:$P$72,0))))</f>
        <v>12.189944199947572</v>
      </c>
      <c r="T8" s="288">
        <f>S8*(1+(INDEX(_Growthprojections,MATCH('Detailed Model (LCY)'!$C8,'Model Assumptions'!$C$72:$C$77,0),MATCH('Detailed Model (LCY)'!T$4,'Model Assumptions'!$C$72:$P$72,0))))</f>
        <v>12.433743083946524</v>
      </c>
      <c r="U8" s="288">
        <f>T8*(1+(INDEX(_Growthprojections,MATCH('Detailed Model (LCY)'!$C8,'Model Assumptions'!$C$72:$C$77,0),MATCH('Detailed Model (LCY)'!U$4,'Model Assumptions'!$C$72:$P$72,0))))</f>
        <v>12.682417945625454</v>
      </c>
      <c r="V8" s="288">
        <f>U8*(1+(INDEX(_Growthprojections,MATCH('Detailed Model (LCY)'!$C8,'Model Assumptions'!$C$72:$C$77,0),MATCH('Detailed Model (LCY)'!V$4,'Model Assumptions'!$C$72:$P$72,0))))</f>
        <v>12.936066304537963</v>
      </c>
      <c r="W8" s="288">
        <f>V8*(1+(INDEX(_Growthprojections,MATCH('Detailed Model (LCY)'!$C8,'Model Assumptions'!$C$72:$C$77,0),MATCH('Detailed Model (LCY)'!W$4,'Model Assumptions'!$C$72:$P$72,0))))</f>
        <v>13.194787630628722</v>
      </c>
      <c r="X8" s="288">
        <f>W8*(1+(INDEX(_Growthprojections,MATCH('Detailed Model (LCY)'!$C8,'Model Assumptions'!$C$72:$C$77,0),MATCH('Detailed Model (LCY)'!X$4,'Model Assumptions'!$C$72:$P$72,0))))</f>
        <v>13.458683383241297</v>
      </c>
      <c r="Y8" s="288">
        <f>X8*(1+(INDEX(_Growthprojections,MATCH('Detailed Model (LCY)'!$C8,'Model Assumptions'!$C$72:$C$77,0),MATCH('Detailed Model (LCY)'!Y$4,'Model Assumptions'!$C$72:$P$72,0))))</f>
        <v>13.727857050906124</v>
      </c>
      <c r="Z8" s="288">
        <f>Y8*(1+(INDEX(_Growthprojections,MATCH('Detailed Model (LCY)'!$C8,'Model Assumptions'!$C$72:$C$77,0),MATCH('Detailed Model (LCY)'!Z$4,'Model Assumptions'!$C$72:$P$72,0))))</f>
        <v>14.002414191924247</v>
      </c>
      <c r="AA8" s="288">
        <f>Z8*(1+(INDEX(_Growthprojections,MATCH('Detailed Model (LCY)'!$C8,'Model Assumptions'!$C$72:$C$77,0),MATCH('Detailed Model (LCY)'!AA$4,'Model Assumptions'!$C$72:$P$72,0))))</f>
        <v>14.282462475762733</v>
      </c>
      <c r="AB8" s="288">
        <f>AA8*(1+(INDEX(_Growthprojections,MATCH('Detailed Model (LCY)'!$C8,'Model Assumptions'!$C$72:$C$77,0),MATCH('Detailed Model (LCY)'!AB$4,'Model Assumptions'!$C$72:$P$72,0))))</f>
        <v>14.568111725277987</v>
      </c>
      <c r="AC8" s="288">
        <f>AB8*(1+(INDEX(_Growthprojections,MATCH('Detailed Model (LCY)'!$C8,'Model Assumptions'!$C$72:$C$77,0),MATCH('Detailed Model (LCY)'!AC$4,'Model Assumptions'!$C$72:$P$72,0))))</f>
        <v>14.859473959783546</v>
      </c>
      <c r="AD8" s="288">
        <f>AC8*(1+(INDEX(_Growthprojections,MATCH('Detailed Model (LCY)'!$C8,'Model Assumptions'!$C$72:$C$77,0),MATCH('Detailed Model (LCY)'!AD$4,'Model Assumptions'!$C$72:$P$72,0))))</f>
        <v>15.156663438979217</v>
      </c>
      <c r="AE8" s="288">
        <f>AD8*(1+(INDEX(_Growthprojections,MATCH('Detailed Model (LCY)'!$C8,'Model Assumptions'!$C$72:$C$77,0),MATCH('Detailed Model (LCY)'!AE$4,'Model Assumptions'!$C$72:$P$72,0))))</f>
        <v>15.459796707758802</v>
      </c>
      <c r="AF8" s="288">
        <f>AE8*(1+(INDEX(_Growthprojections,MATCH('Detailed Model (LCY)'!$C8,'Model Assumptions'!$C$72:$C$77,0),MATCH('Detailed Model (LCY)'!AF$4,'Model Assumptions'!$C$72:$P$72,0))))</f>
        <v>15.768992641913979</v>
      </c>
      <c r="AG8" s="288">
        <f>AF8*(1+(INDEX(_Growthprojections,MATCH('Detailed Model (LCY)'!$C8,'Model Assumptions'!$C$72:$C$77,0),MATCH('Detailed Model (LCY)'!AG$4,'Model Assumptions'!$C$72:$P$72,0))))</f>
        <v>16.084372494752259</v>
      </c>
      <c r="AH8" s="288">
        <f>AG8*(1+(INDEX(_Growthprojections,MATCH('Detailed Model (LCY)'!$C8,'Model Assumptions'!$C$72:$C$77,0),MATCH('Detailed Model (LCY)'!AH$4,'Model Assumptions'!$C$72:$P$72,0))))</f>
        <v>16.406059944647303</v>
      </c>
      <c r="AI8" s="288">
        <f>AH8*(1+(INDEX(_Growthprojections,MATCH('Detailed Model (LCY)'!$C8,'Model Assumptions'!$C$72:$C$77,0),MATCH('Detailed Model (LCY)'!AI$4,'Model Assumptions'!$C$72:$P$72,0))))</f>
        <v>16.734181143540251</v>
      </c>
      <c r="AJ8" s="288">
        <f>AI8*(1+(INDEX(_Growthprojections,MATCH('Detailed Model (LCY)'!$C8,'Model Assumptions'!$C$72:$C$77,0),MATCH('Detailed Model (LCY)'!AJ$4,'Model Assumptions'!$C$72:$P$72,0))))</f>
        <v>17.068864766411057</v>
      </c>
      <c r="AK8" s="288">
        <f>AJ8*(1+(INDEX(_Growthprojections,MATCH('Detailed Model (LCY)'!$C8,'Model Assumptions'!$C$72:$C$77,0),MATCH('Detailed Model (LCY)'!AK$4,'Model Assumptions'!$C$72:$P$72,0))))</f>
        <v>17.410242061739279</v>
      </c>
      <c r="AL8" s="288">
        <f>AK8*(1+(INDEX(_Growthprojections,MATCH('Detailed Model (LCY)'!$C8,'Model Assumptions'!$C$72:$C$77,0),MATCH('Detailed Model (LCY)'!AL$4,'Model Assumptions'!$C$72:$P$72,0))))</f>
        <v>17.758446902974065</v>
      </c>
      <c r="AM8" s="288">
        <f>AL8*(1+(INDEX(_Growthprojections,MATCH('Detailed Model (LCY)'!$C8,'Model Assumptions'!$C$72:$C$77,0),MATCH('Detailed Model (LCY)'!AM$4,'Model Assumptions'!$C$72:$P$72,0))))</f>
        <v>18.113615841033546</v>
      </c>
      <c r="AN8" s="288">
        <f>AM8*(1+(INDEX(_Growthprojections,MATCH('Detailed Model (LCY)'!$C8,'Model Assumptions'!$C$72:$C$77,0),MATCH('Detailed Model (LCY)'!AN$4,'Model Assumptions'!$C$72:$P$72,0))))</f>
        <v>18.475888157854218</v>
      </c>
      <c r="AO8" s="288">
        <f>AN8*(1+(INDEX(_Growthprojections,MATCH('Detailed Model (LCY)'!$C8,'Model Assumptions'!$C$72:$C$77,0),MATCH('Detailed Model (LCY)'!AO$4,'Model Assumptions'!$C$72:$P$72,0))))</f>
        <v>18.845405921011302</v>
      </c>
      <c r="AP8" s="288">
        <f>AO8*(1+(INDEX(_Growthprojections,MATCH('Detailed Model (LCY)'!$C8,'Model Assumptions'!$C$72:$C$77,0),MATCH('Detailed Model (LCY)'!AP$4,'Model Assumptions'!$C$72:$P$72,0))))</f>
        <v>19.222314039431527</v>
      </c>
      <c r="AQ8" s="288">
        <f>AP8*(1+(INDEX(_Growthprojections,MATCH('Detailed Model (LCY)'!$C8,'Model Assumptions'!$C$72:$C$77,0),MATCH('Detailed Model (LCY)'!AQ$4,'Model Assumptions'!$C$72:$P$72,0))))</f>
        <v>19.606760320220157</v>
      </c>
      <c r="AR8" s="288">
        <f>AQ8*(1+(INDEX(_Growthprojections,MATCH('Detailed Model (LCY)'!$C8,'Model Assumptions'!$C$72:$C$77,0),MATCH('Detailed Model (LCY)'!AR$4,'Model Assumptions'!$C$72:$P$72,0))))</f>
        <v>19.998895526624562</v>
      </c>
      <c r="AS8" s="288">
        <f>AR8*(1+(INDEX(_Growthprojections,MATCH('Detailed Model (LCY)'!$C8,'Model Assumptions'!$C$72:$C$77,0),MATCH('Detailed Model (LCY)'!AS$4,'Model Assumptions'!$C$72:$P$72,0))))</f>
        <v>20.398873437157054</v>
      </c>
      <c r="AT8" s="288">
        <f>AS8*(1+(INDEX(_Growthprojections,MATCH('Detailed Model (LCY)'!$C8,'Model Assumptions'!$C$72:$C$77,0),MATCH('Detailed Model (LCY)'!AT$4,'Model Assumptions'!$C$72:$P$72,0))))</f>
        <v>20.806850905900195</v>
      </c>
      <c r="AU8" s="288">
        <f>AT8*(1+(INDEX(_Growthprojections,MATCH('Detailed Model (LCY)'!$C8,'Model Assumptions'!$C$72:$C$77,0),MATCH('Detailed Model (LCY)'!AU$4,'Model Assumptions'!$C$72:$P$72,0))))</f>
        <v>21.222987924018199</v>
      </c>
      <c r="AV8" s="288">
        <f>AU8*(1+(INDEX(_Growthprojections,MATCH('Detailed Model (LCY)'!$C8,'Model Assumptions'!$C$72:$C$77,0),MATCH('Detailed Model (LCY)'!AV$4,'Model Assumptions'!$C$72:$P$72,0))))</f>
        <v>21.647447682498562</v>
      </c>
      <c r="AW8" s="288">
        <f>AV8*(1+(INDEX(_Growthprojections,MATCH('Detailed Model (LCY)'!$C8,'Model Assumptions'!$C$72:$C$77,0),MATCH('Detailed Model (LCY)'!AW$4,'Model Assumptions'!$C$72:$P$72,0))))</f>
        <v>22.080396636148535</v>
      </c>
      <c r="AX8" s="288">
        <f>AW8*(1+(INDEX(_Growthprojections,MATCH('Detailed Model (LCY)'!$C8,'Model Assumptions'!$C$72:$C$77,0),MATCH('Detailed Model (LCY)'!AX$4,'Model Assumptions'!$C$72:$P$72,0))))</f>
        <v>22.522004568871505</v>
      </c>
      <c r="AY8" s="288">
        <f>AX8*(1+(INDEX(_Growthprojections,MATCH('Detailed Model (LCY)'!$C8,'Model Assumptions'!$C$72:$C$77,0),MATCH('Detailed Model (LCY)'!AY$4,'Model Assumptions'!$C$72:$P$72,0))))</f>
        <v>22.972444660248936</v>
      </c>
      <c r="AZ8" s="288">
        <f>AY8*(1+(INDEX(_Growthprojections,MATCH('Detailed Model (LCY)'!$C8,'Model Assumptions'!$C$72:$C$77,0),MATCH('Detailed Model (LCY)'!AZ$4,'Model Assumptions'!$C$72:$P$72,0))))</f>
        <v>23.431893553453914</v>
      </c>
      <c r="BA8" s="288">
        <f>AZ8*(1+(INDEX(_Growthprojections,MATCH('Detailed Model (LCY)'!$C8,'Model Assumptions'!$C$72:$C$77,0),MATCH('Detailed Model (LCY)'!BA$4,'Model Assumptions'!$C$72:$P$72,0))))</f>
        <v>23.900531424522992</v>
      </c>
      <c r="BB8" s="288">
        <f>BA8*(1+(INDEX(_Growthprojections,MATCH('Detailed Model (LCY)'!$C8,'Model Assumptions'!$C$72:$C$77,0),MATCH('Detailed Model (LCY)'!BB$4,'Model Assumptions'!$C$72:$P$72,0))))</f>
        <v>24.378542053013451</v>
      </c>
      <c r="BC8" s="288">
        <f>BB8*(1+(INDEX(_Growthprojections,MATCH('Detailed Model (LCY)'!$C8,'Model Assumptions'!$C$72:$C$77,0),MATCH('Detailed Model (LCY)'!BC$4,'Model Assumptions'!$C$72:$P$72,0))))</f>
        <v>24.866112894073719</v>
      </c>
      <c r="BD8" s="288">
        <f>BC8*(1+(INDEX(_Growthprojections,MATCH('Detailed Model (LCY)'!$C8,'Model Assumptions'!$C$72:$C$77,0),MATCH('Detailed Model (LCY)'!BD$4,'Model Assumptions'!$C$72:$P$72,0))))</f>
        <v>25.363435151955194</v>
      </c>
      <c r="BE8" s="288">
        <f>BD8*(1+(INDEX(_Growthprojections,MATCH('Detailed Model (LCY)'!$C8,'Model Assumptions'!$C$72:$C$77,0),MATCH('Detailed Model (LCY)'!BE$4,'Model Assumptions'!$C$72:$P$72,0))))</f>
        <v>25.8707038549943</v>
      </c>
      <c r="BF8" s="288">
        <f>BE8*(1+(INDEX(_Growthprojections,MATCH('Detailed Model (LCY)'!$C8,'Model Assumptions'!$C$72:$C$77,0),MATCH('Detailed Model (LCY)'!BF$4,'Model Assumptions'!$C$72:$P$72,0))))</f>
        <v>26.388117932094186</v>
      </c>
      <c r="BG8" s="288">
        <f>BF8*(1+(INDEX(_Growthprojections,MATCH('Detailed Model (LCY)'!$C8,'Model Assumptions'!$C$72:$C$77,0),MATCH('Detailed Model (LCY)'!BG$4,'Model Assumptions'!$C$72:$P$72,0))))</f>
        <v>26.915880290736069</v>
      </c>
      <c r="BH8" s="288">
        <f>BG8*(1+(INDEX(_Growthprojections,MATCH('Detailed Model (LCY)'!$C8,'Model Assumptions'!$C$72:$C$77,0),MATCH('Detailed Model (LCY)'!BH$4,'Model Assumptions'!$C$72:$P$72,0))))</f>
        <v>27.454197896550792</v>
      </c>
      <c r="BI8" s="288">
        <f>BH8*(1+(INDEX(_Growthprojections,MATCH('Detailed Model (LCY)'!$C8,'Model Assumptions'!$C$72:$C$77,0),MATCH('Detailed Model (LCY)'!BI$4,'Model Assumptions'!$C$72:$P$72,0))))</f>
        <v>28.003281854481809</v>
      </c>
      <c r="BJ8" s="288">
        <f>BI8*(1+(INDEX(_Growthprojections,MATCH('Detailed Model (LCY)'!$C8,'Model Assumptions'!$C$72:$C$77,0),MATCH('Detailed Model (LCY)'!BJ$4,'Model Assumptions'!$C$72:$P$72,0))))</f>
        <v>28.563347491571445</v>
      </c>
      <c r="BK8" s="288">
        <f>BJ8*(1+(INDEX(_Growthprojections,MATCH('Detailed Model (LCY)'!$C8,'Model Assumptions'!$C$72:$C$77,0),MATCH('Detailed Model (LCY)'!BK$4,'Model Assumptions'!$C$72:$P$72,0))))</f>
        <v>29.134614441402874</v>
      </c>
      <c r="BL8" s="288">
        <f>BK8*(1+(INDEX(_Growthprojections,MATCH('Detailed Model (LCY)'!$C8,'Model Assumptions'!$C$72:$C$77,0),MATCH('Detailed Model (LCY)'!BL$4,'Model Assumptions'!$C$72:$P$72,0))))</f>
        <v>29.717306730230931</v>
      </c>
      <c r="BM8" s="288">
        <f>BL8*(1+(INDEX(_Growthprojections,MATCH('Detailed Model (LCY)'!$C8,'Model Assumptions'!$C$72:$C$77,0),MATCH('Detailed Model (LCY)'!BM$4,'Model Assumptions'!$C$72:$P$72,0))))</f>
        <v>30.311652864835551</v>
      </c>
      <c r="BN8" s="288">
        <f>BM8*(1+(INDEX(_Growthprojections,MATCH('Detailed Model (LCY)'!$C8,'Model Assumptions'!$C$72:$C$77,0),MATCH('Detailed Model (LCY)'!BN$4,'Model Assumptions'!$C$72:$P$72,0))))</f>
        <v>30.917885922132264</v>
      </c>
      <c r="BO8" s="288">
        <f>BN8*(1+(INDEX(_Growthprojections,MATCH('Detailed Model (LCY)'!$C8,'Model Assumptions'!$C$72:$C$77,0),MATCH('Detailed Model (LCY)'!BO$4,'Model Assumptions'!$C$72:$P$72,0))))</f>
        <v>31.536243640574909</v>
      </c>
      <c r="BP8" s="288">
        <f>BO8*(1+(INDEX(_Growthprojections,MATCH('Detailed Model (LCY)'!$C8,'Model Assumptions'!$C$72:$C$77,0),MATCH('Detailed Model (LCY)'!BP$4,'Model Assumptions'!$C$72:$P$72,0))))</f>
        <v>32.166968513386408</v>
      </c>
      <c r="BQ8" s="288">
        <f>BP8*(1+(INDEX(_Growthprojections,MATCH('Detailed Model (LCY)'!$C8,'Model Assumptions'!$C$72:$C$77,0),MATCH('Detailed Model (LCY)'!BQ$4,'Model Assumptions'!$C$72:$P$72,0))))</f>
        <v>32.81030788365414</v>
      </c>
      <c r="BR8" s="288">
        <f>BQ8*(1+(INDEX(_Growthprojections,MATCH('Detailed Model (LCY)'!$C8,'Model Assumptions'!$C$72:$C$77,0),MATCH('Detailed Model (LCY)'!BR$4,'Model Assumptions'!$C$72:$P$72,0))))</f>
        <v>32.81030788365414</v>
      </c>
      <c r="BS8" s="288">
        <f>BR8*(1+(INDEX(_Growthprojections,MATCH('Detailed Model (LCY)'!$C8,'Model Assumptions'!$C$72:$C$77,0),MATCH('Detailed Model (LCY)'!BS$4,'Model Assumptions'!$C$72:$P$72,0))))</f>
        <v>32.81030788365414</v>
      </c>
      <c r="BT8" s="288">
        <f>BS8*(1+(INDEX(_Growthprojections,MATCH('Detailed Model (LCY)'!$C8,'Model Assumptions'!$C$72:$C$77,0),MATCH('Detailed Model (LCY)'!BT$4,'Model Assumptions'!$C$72:$P$72,0))))</f>
        <v>32.81030788365414</v>
      </c>
      <c r="BU8" s="288">
        <f>BT8*(1+(INDEX(_Growthprojections,MATCH('Detailed Model (LCY)'!$C8,'Model Assumptions'!$C$72:$C$77,0),MATCH('Detailed Model (LCY)'!BU$4,'Model Assumptions'!$C$72:$P$72,0))))</f>
        <v>32.81030788365414</v>
      </c>
      <c r="BV8" s="288">
        <f>BU8*(1+(INDEX(_Growthprojections,MATCH('Detailed Model (LCY)'!$C8,'Model Assumptions'!$C$72:$C$77,0),MATCH('Detailed Model (LCY)'!BV$4,'Model Assumptions'!$C$72:$P$72,0))))</f>
        <v>32.81030788365414</v>
      </c>
      <c r="BW8" s="288">
        <f>BV8*(1+(INDEX(_Growthprojections,MATCH('Detailed Model (LCY)'!$C8,'Model Assumptions'!$C$72:$C$77,0),MATCH('Detailed Model (LCY)'!BW$4,'Model Assumptions'!$C$72:$P$72,0))))</f>
        <v>32.81030788365414</v>
      </c>
      <c r="BX8" s="288">
        <f>BW8*(1+(INDEX(_Growthprojections,MATCH('Detailed Model (LCY)'!$C8,'Model Assumptions'!$C$72:$C$77,0),MATCH('Detailed Model (LCY)'!BX$4,'Model Assumptions'!$C$72:$P$72,0))))</f>
        <v>32.81030788365414</v>
      </c>
      <c r="BY8" s="288">
        <f>BX8*(1+(INDEX(_Growthprojections,MATCH('Detailed Model (LCY)'!$C8,'Model Assumptions'!$C$72:$C$77,0),MATCH('Detailed Model (LCY)'!BY$4,'Model Assumptions'!$C$72:$P$72,0))))</f>
        <v>32.81030788365414</v>
      </c>
      <c r="BZ8" s="288">
        <f>BY8*(1+(INDEX(_Growthprojections,MATCH('Detailed Model (LCY)'!$C8,'Model Assumptions'!$C$72:$C$77,0),MATCH('Detailed Model (LCY)'!BZ$4,'Model Assumptions'!$C$72:$P$72,0))))</f>
        <v>32.81030788365414</v>
      </c>
      <c r="CA8" s="288">
        <f>BZ8*(1+(INDEX(_Growthprojections,MATCH('Detailed Model (LCY)'!$C8,'Model Assumptions'!$C$72:$C$77,0),MATCH('Detailed Model (LCY)'!CA$4,'Model Assumptions'!$C$72:$P$72,0))))</f>
        <v>32.81030788365414</v>
      </c>
      <c r="CB8" s="288">
        <f>CA8*(1+(INDEX(_Growthprojections,MATCH('Detailed Model (LCY)'!$C8,'Model Assumptions'!$C$72:$C$77,0),MATCH('Detailed Model (LCY)'!CB$4,'Model Assumptions'!$C$72:$P$72,0))))</f>
        <v>32.81030788365414</v>
      </c>
      <c r="CC8" s="288">
        <f>CB8*(1+(INDEX(_Growthprojections,MATCH('Detailed Model (LCY)'!$C8,'Model Assumptions'!$C$72:$C$77,0),MATCH('Detailed Model (LCY)'!CC$4,'Model Assumptions'!$C$72:$P$72,0))))</f>
        <v>32.81030788365414</v>
      </c>
      <c r="CD8" s="288">
        <f>CC8*(1+(INDEX(_Growthprojections,MATCH('Detailed Model (LCY)'!$C8,'Model Assumptions'!$C$72:$C$77,0),MATCH('Detailed Model (LCY)'!CD$4,'Model Assumptions'!$C$72:$P$72,0))))</f>
        <v>32.81030788365414</v>
      </c>
      <c r="CE8" s="288">
        <f>CD8*(1+(INDEX(_Growthprojections,MATCH('Detailed Model (LCY)'!$C8,'Model Assumptions'!$C$72:$C$77,0),MATCH('Detailed Model (LCY)'!CE$4,'Model Assumptions'!$C$72:$P$72,0))))</f>
        <v>32.81030788365414</v>
      </c>
      <c r="CF8" s="288">
        <f>CE8*(1+(INDEX(_Growthprojections,MATCH('Detailed Model (LCY)'!$C8,'Model Assumptions'!$C$72:$C$77,0),MATCH('Detailed Model (LCY)'!CF$4,'Model Assumptions'!$C$72:$P$72,0))))</f>
        <v>32.81030788365414</v>
      </c>
      <c r="CG8" s="288">
        <f>CF8*(1+(INDEX(_Growthprojections,MATCH('Detailed Model (LCY)'!$C8,'Model Assumptions'!$C$72:$C$77,0),MATCH('Detailed Model (LCY)'!CG$4,'Model Assumptions'!$C$72:$P$72,0))))</f>
        <v>32.81030788365414</v>
      </c>
      <c r="CH8" s="288">
        <f>CG8*(1+(INDEX(_Growthprojections,MATCH('Detailed Model (LCY)'!$C8,'Model Assumptions'!$C$72:$C$77,0),MATCH('Detailed Model (LCY)'!CH$4,'Model Assumptions'!$C$72:$P$72,0))))</f>
        <v>32.81030788365414</v>
      </c>
      <c r="CI8" s="288">
        <f>CH8*(1+(INDEX(_Growthprojections,MATCH('Detailed Model (LCY)'!$C8,'Model Assumptions'!$C$72:$C$77,0),MATCH('Detailed Model (LCY)'!CI$4,'Model Assumptions'!$C$72:$P$72,0))))</f>
        <v>32.81030788365414</v>
      </c>
      <c r="CJ8" s="288">
        <f>CI8*(1+(INDEX(_Growthprojections,MATCH('Detailed Model (LCY)'!$C8,'Model Assumptions'!$C$72:$C$77,0),MATCH('Detailed Model (LCY)'!CJ$4,'Model Assumptions'!$C$72:$P$72,0))))</f>
        <v>32.81030788365414</v>
      </c>
      <c r="CK8" s="288">
        <f>CJ8*(1+(INDEX(_Growthprojections,MATCH('Detailed Model (LCY)'!$C8,'Model Assumptions'!$C$72:$C$77,0),MATCH('Detailed Model (LCY)'!CK$4,'Model Assumptions'!$C$72:$P$72,0))))</f>
        <v>32.81030788365414</v>
      </c>
      <c r="CL8" s="288">
        <f>CK8*(1+(INDEX(_Growthprojections,MATCH('Detailed Model (LCY)'!$C8,'Model Assumptions'!$C$72:$C$77,0),MATCH('Detailed Model (LCY)'!CL$4,'Model Assumptions'!$C$72:$P$72,0))))</f>
        <v>32.81030788365414</v>
      </c>
      <c r="CM8" s="288">
        <f>CL8*(1+(INDEX(_Growthprojections,MATCH('Detailed Model (LCY)'!$C8,'Model Assumptions'!$C$72:$C$77,0),MATCH('Detailed Model (LCY)'!CM$4,'Model Assumptions'!$C$72:$P$72,0))))</f>
        <v>32.81030788365414</v>
      </c>
      <c r="CN8" s="288">
        <f>CM8*(1+(INDEX(_Growthprojections,MATCH('Detailed Model (LCY)'!$C8,'Model Assumptions'!$C$72:$C$77,0),MATCH('Detailed Model (LCY)'!CN$4,'Model Assumptions'!$C$72:$P$72,0))))</f>
        <v>32.81030788365414</v>
      </c>
      <c r="CO8" s="288">
        <f>CN8*(1+(INDEX(_Growthprojections,MATCH('Detailed Model (LCY)'!$C8,'Model Assumptions'!$C$72:$C$77,0),MATCH('Detailed Model (LCY)'!CO$4,'Model Assumptions'!$C$72:$P$72,0))))</f>
        <v>32.81030788365414</v>
      </c>
      <c r="CP8" s="288">
        <f>CO8*(1+(INDEX(_Growthprojections,MATCH('Detailed Model (LCY)'!$C8,'Model Assumptions'!$C$72:$C$77,0),MATCH('Detailed Model (LCY)'!CP$4,'Model Assumptions'!$C$72:$P$72,0))))</f>
        <v>32.81030788365414</v>
      </c>
      <c r="CQ8" s="288">
        <f>CP8*(1+(INDEX(_Growthprojections,MATCH('Detailed Model (LCY)'!$C8,'Model Assumptions'!$C$72:$C$77,0),MATCH('Detailed Model (LCY)'!CQ$4,'Model Assumptions'!$C$72:$P$72,0))))</f>
        <v>32.81030788365414</v>
      </c>
      <c r="CR8" s="288">
        <f>CQ8*(1+(INDEX(_Growthprojections,MATCH('Detailed Model (LCY)'!$C8,'Model Assumptions'!$C$72:$C$77,0),MATCH('Detailed Model (LCY)'!CR$4,'Model Assumptions'!$C$72:$P$72,0))))</f>
        <v>32.81030788365414</v>
      </c>
      <c r="CS8" s="288">
        <f>CR8*(1+(INDEX(_Growthprojections,MATCH('Detailed Model (LCY)'!$C8,'Model Assumptions'!$C$72:$C$77,0),MATCH('Detailed Model (LCY)'!CS$4,'Model Assumptions'!$C$72:$P$72,0))))</f>
        <v>32.81030788365414</v>
      </c>
      <c r="CT8" s="288">
        <f>CS8*(1+(INDEX(_Growthprojections,MATCH('Detailed Model (LCY)'!$C8,'Model Assumptions'!$C$72:$C$77,0),MATCH('Detailed Model (LCY)'!CT$4,'Model Assumptions'!$C$72:$P$72,0))))</f>
        <v>32.81030788365414</v>
      </c>
      <c r="CU8" s="288">
        <f>CT8*(1+(INDEX(_Growthprojections,MATCH('Detailed Model (LCY)'!$C8,'Model Assumptions'!$C$72:$C$77,0),MATCH('Detailed Model (LCY)'!CU$4,'Model Assumptions'!$C$72:$P$72,0))))</f>
        <v>32.81030788365414</v>
      </c>
      <c r="CV8" s="288">
        <f>CU8*(1+(INDEX(_Growthprojections,MATCH('Detailed Model (LCY)'!$C8,'Model Assumptions'!$C$72:$C$77,0),MATCH('Detailed Model (LCY)'!CV$4,'Model Assumptions'!$C$72:$P$72,0))))</f>
        <v>32.81030788365414</v>
      </c>
      <c r="CW8" s="288">
        <f>CV8*(1+(INDEX(_Growthprojections,MATCH('Detailed Model (LCY)'!$C8,'Model Assumptions'!$C$72:$C$77,0),MATCH('Detailed Model (LCY)'!CW$4,'Model Assumptions'!$C$72:$P$72,0))))</f>
        <v>32.81030788365414</v>
      </c>
      <c r="CX8" s="288">
        <f>CW8*(1+(INDEX(_Growthprojections,MATCH('Detailed Model (LCY)'!$C8,'Model Assumptions'!$C$72:$C$77,0),MATCH('Detailed Model (LCY)'!CX$4,'Model Assumptions'!$C$72:$P$72,0))))</f>
        <v>32.81030788365414</v>
      </c>
      <c r="CY8" s="288">
        <f>CX8*(1+(INDEX(_Growthprojections,MATCH('Detailed Model (LCY)'!$C8,'Model Assumptions'!$C$72:$C$77,0),MATCH('Detailed Model (LCY)'!CY$4,'Model Assumptions'!$C$72:$P$72,0))))</f>
        <v>32.81030788365414</v>
      </c>
      <c r="CZ8" s="288">
        <f>CY8*(1+(INDEX(_Growthprojections,MATCH('Detailed Model (LCY)'!$C8,'Model Assumptions'!$C$72:$C$77,0),MATCH('Detailed Model (LCY)'!CZ$4,'Model Assumptions'!$C$72:$P$72,0))))</f>
        <v>32.81030788365414</v>
      </c>
      <c r="DA8" s="288">
        <f>CZ8*(1+(INDEX(_Growthprojections,MATCH('Detailed Model (LCY)'!$C8,'Model Assumptions'!$C$72:$C$77,0),MATCH('Detailed Model (LCY)'!DA$4,'Model Assumptions'!$C$72:$P$72,0))))</f>
        <v>32.81030788365414</v>
      </c>
      <c r="DB8" s="288">
        <f>DA8*(1+(INDEX(_Growthprojections,MATCH('Detailed Model (LCY)'!$C8,'Model Assumptions'!$C$72:$C$77,0),MATCH('Detailed Model (LCY)'!DB$4,'Model Assumptions'!$C$72:$P$72,0))))</f>
        <v>32.81030788365414</v>
      </c>
      <c r="DC8" s="288">
        <f>DB8*(1+(INDEX(_Growthprojections,MATCH('Detailed Model (LCY)'!$C8,'Model Assumptions'!$C$72:$C$77,0),MATCH('Detailed Model (LCY)'!DC$4,'Model Assumptions'!$C$72:$P$72,0))))</f>
        <v>32.81030788365414</v>
      </c>
      <c r="DD8" s="288">
        <f>DC8*(1+(INDEX(_Growthprojections,MATCH('Detailed Model (LCY)'!$C8,'Model Assumptions'!$C$72:$C$77,0),MATCH('Detailed Model (LCY)'!DD$4,'Model Assumptions'!$C$72:$P$72,0))))</f>
        <v>32.81030788365414</v>
      </c>
      <c r="DE8" s="288">
        <f>DD8*(1+(INDEX(_Growthprojections,MATCH('Detailed Model (LCY)'!$C8,'Model Assumptions'!$C$72:$C$77,0),MATCH('Detailed Model (LCY)'!DE$4,'Model Assumptions'!$C$72:$P$72,0))))</f>
        <v>32.81030788365414</v>
      </c>
      <c r="DF8" s="288">
        <f>DE8*(1+(INDEX(_Growthprojections,MATCH('Detailed Model (LCY)'!$C8,'Model Assumptions'!$C$72:$C$77,0),MATCH('Detailed Model (LCY)'!DF$4,'Model Assumptions'!$C$72:$P$72,0))))</f>
        <v>32.81030788365414</v>
      </c>
      <c r="DG8" s="288">
        <f>DF8*(1+(INDEX(_Growthprojections,MATCH('Detailed Model (LCY)'!$C8,'Model Assumptions'!$C$72:$C$77,0),MATCH('Detailed Model (LCY)'!DG$4,'Model Assumptions'!$C$72:$P$72,0))))</f>
        <v>32.81030788365414</v>
      </c>
      <c r="DH8" s="288">
        <f>DG8*(1+(INDEX(_Growthprojections,MATCH('Detailed Model (LCY)'!$C8,'Model Assumptions'!$C$72:$C$77,0),MATCH('Detailed Model (LCY)'!DH$4,'Model Assumptions'!$C$72:$P$72,0))))</f>
        <v>32.81030788365414</v>
      </c>
      <c r="DI8" s="288">
        <f>DH8*(1+(INDEX(_Growthprojections,MATCH('Detailed Model (LCY)'!$C8,'Model Assumptions'!$C$72:$C$77,0),MATCH('Detailed Model (LCY)'!DI$4,'Model Assumptions'!$C$72:$P$72,0))))</f>
        <v>32.81030788365414</v>
      </c>
      <c r="DJ8" s="288">
        <f>DI8*(1+(INDEX(_Growthprojections,MATCH('Detailed Model (LCY)'!$C8,'Model Assumptions'!$C$72:$C$77,0),MATCH('Detailed Model (LCY)'!DJ$4,'Model Assumptions'!$C$72:$P$72,0))))</f>
        <v>32.81030788365414</v>
      </c>
      <c r="DK8" s="288">
        <f>DJ8*(1+(INDEX(_Growthprojections,MATCH('Detailed Model (LCY)'!$C8,'Model Assumptions'!$C$72:$C$77,0),MATCH('Detailed Model (LCY)'!DK$4,'Model Assumptions'!$C$72:$P$72,0))))</f>
        <v>32.81030788365414</v>
      </c>
      <c r="DL8" s="288">
        <f>DK8*(1+(INDEX(_Growthprojections,MATCH('Detailed Model (LCY)'!$C8,'Model Assumptions'!$C$72:$C$77,0),MATCH('Detailed Model (LCY)'!DL$4,'Model Assumptions'!$C$72:$P$72,0))))</f>
        <v>32.81030788365414</v>
      </c>
      <c r="DM8" s="288">
        <f>DL8*(1+(INDEX(_Growthprojections,MATCH('Detailed Model (LCY)'!$C8,'Model Assumptions'!$C$72:$C$77,0),MATCH('Detailed Model (LCY)'!DM$4,'Model Assumptions'!$C$72:$P$72,0))))</f>
        <v>32.81030788365414</v>
      </c>
      <c r="DN8" s="288">
        <f>DM8*(1+(INDEX(_Growthprojections,MATCH('Detailed Model (LCY)'!$C8,'Model Assumptions'!$C$72:$C$77,0),MATCH('Detailed Model (LCY)'!DN$4,'Model Assumptions'!$C$72:$P$72,0))))</f>
        <v>32.81030788365414</v>
      </c>
      <c r="DO8" s="288">
        <f>DN8*(1+(INDEX(_Growthprojections,MATCH('Detailed Model (LCY)'!$C8,'Model Assumptions'!$C$72:$C$77,0),MATCH('Detailed Model (LCY)'!DO$4,'Model Assumptions'!$C$72:$P$72,0))))</f>
        <v>32.81030788365414</v>
      </c>
      <c r="DP8" s="288">
        <f>DO8*(1+(INDEX(_Growthprojections,MATCH('Detailed Model (LCY)'!$C8,'Model Assumptions'!$C$72:$C$77,0),MATCH('Detailed Model (LCY)'!DP$4,'Model Assumptions'!$C$72:$P$72,0))))</f>
        <v>32.81030788365414</v>
      </c>
      <c r="DQ8" s="288">
        <f>DP8*(1+(INDEX(_Growthprojections,MATCH('Detailed Model (LCY)'!$C8,'Model Assumptions'!$C$72:$C$77,0),MATCH('Detailed Model (LCY)'!DQ$4,'Model Assumptions'!$C$72:$P$72,0))))</f>
        <v>32.81030788365414</v>
      </c>
      <c r="DR8" s="288">
        <f>DQ8*(1+(INDEX(_Growthprojections,MATCH('Detailed Model (LCY)'!$C8,'Model Assumptions'!$C$72:$C$77,0),MATCH('Detailed Model (LCY)'!DR$4,'Model Assumptions'!$C$72:$P$72,0))))</f>
        <v>32.81030788365414</v>
      </c>
      <c r="DS8" s="288">
        <f>DR8*(1+(INDEX(_Growthprojections,MATCH('Detailed Model (LCY)'!$C8,'Model Assumptions'!$C$72:$C$77,0),MATCH('Detailed Model (LCY)'!DS$4,'Model Assumptions'!$C$72:$P$72,0))))</f>
        <v>32.81030788365414</v>
      </c>
      <c r="DT8" s="288">
        <f>DS8*(1+(INDEX(_Growthprojections,MATCH('Detailed Model (LCY)'!$C8,'Model Assumptions'!$C$72:$C$77,0),MATCH('Detailed Model (LCY)'!DT$4,'Model Assumptions'!$C$72:$P$72,0))))</f>
        <v>32.81030788365414</v>
      </c>
      <c r="DU8" s="288">
        <f>DT8*(1+(INDEX(_Growthprojections,MATCH('Detailed Model (LCY)'!$C8,'Model Assumptions'!$C$72:$C$77,0),MATCH('Detailed Model (LCY)'!DU$4,'Model Assumptions'!$C$72:$P$72,0))))</f>
        <v>32.81030788365414</v>
      </c>
      <c r="DV8" s="288">
        <f>DU8*(1+(INDEX(_Growthprojections,MATCH('Detailed Model (LCY)'!$C8,'Model Assumptions'!$C$72:$C$77,0),MATCH('Detailed Model (LCY)'!DV$4,'Model Assumptions'!$C$72:$P$72,0))))</f>
        <v>32.81030788365414</v>
      </c>
      <c r="DW8" s="288">
        <f>DV8*(1+(INDEX(_Growthprojections,MATCH('Detailed Model (LCY)'!$C8,'Model Assumptions'!$C$72:$C$77,0),MATCH('Detailed Model (LCY)'!DW$4,'Model Assumptions'!$C$72:$P$72,0))))</f>
        <v>32.81030788365414</v>
      </c>
      <c r="DX8" s="288">
        <f>DW8*(1+(INDEX(_Growthprojections,MATCH('Detailed Model (LCY)'!$C8,'Model Assumptions'!$C$72:$C$77,0),MATCH('Detailed Model (LCY)'!DX$4,'Model Assumptions'!$C$72:$P$72,0))))</f>
        <v>32.81030788365414</v>
      </c>
      <c r="DY8" s="288">
        <f>DX8*(1+(INDEX(_Growthprojections,MATCH('Detailed Model (LCY)'!$C8,'Model Assumptions'!$C$72:$C$77,0),MATCH('Detailed Model (LCY)'!DY$4,'Model Assumptions'!$C$72:$P$72,0))))</f>
        <v>32.81030788365414</v>
      </c>
    </row>
    <row r="9" spans="1:129" s="19" customFormat="1" outlineLevel="1">
      <c r="A9" s="20"/>
      <c r="B9" s="14"/>
      <c r="C9" s="114" t="str">
        <f>'Model Assumptions'!$H$24</f>
        <v>Product 2</v>
      </c>
      <c r="D9" s="285"/>
      <c r="E9" s="286" t="s">
        <v>448</v>
      </c>
      <c r="F9" s="30"/>
      <c r="G9" s="14"/>
      <c r="H9" s="14"/>
      <c r="I9" s="584">
        <f>startP2</f>
        <v>100</v>
      </c>
      <c r="J9" s="288">
        <f>I9*(1+(INDEX(_Growthprojections,MATCH('Detailed Model (LCY)'!$C9,'Model Assumptions'!$C$72:$C$77,0),MATCH('Detailed Model (LCY)'!J$4,'Model Assumptions'!$C$72:$P$72,0))))</f>
        <v>102</v>
      </c>
      <c r="K9" s="288">
        <f>J9*(1+(INDEX(_Growthprojections,MATCH('Detailed Model (LCY)'!$C9,'Model Assumptions'!$C$72:$C$77,0),MATCH('Detailed Model (LCY)'!K$4,'Model Assumptions'!$C$72:$P$72,0))))</f>
        <v>104.04</v>
      </c>
      <c r="L9" s="288">
        <f>K9*(1+(INDEX(_Growthprojections,MATCH('Detailed Model (LCY)'!$C9,'Model Assumptions'!$C$72:$C$77,0),MATCH('Detailed Model (LCY)'!L$4,'Model Assumptions'!$C$72:$P$72,0))))</f>
        <v>106.1208</v>
      </c>
      <c r="M9" s="288">
        <f>L9*(1+(INDEX(_Growthprojections,MATCH('Detailed Model (LCY)'!$C9,'Model Assumptions'!$C$72:$C$77,0),MATCH('Detailed Model (LCY)'!M$4,'Model Assumptions'!$C$72:$P$72,0))))</f>
        <v>108.243216</v>
      </c>
      <c r="N9" s="288">
        <f>M9*(1+(INDEX(_Growthprojections,MATCH('Detailed Model (LCY)'!$C9,'Model Assumptions'!$C$72:$C$77,0),MATCH('Detailed Model (LCY)'!N$4,'Model Assumptions'!$C$72:$P$72,0))))</f>
        <v>110.40808032000001</v>
      </c>
      <c r="O9" s="288">
        <f>N9*(1+(INDEX(_Growthprojections,MATCH('Detailed Model (LCY)'!$C9,'Model Assumptions'!$C$72:$C$77,0),MATCH('Detailed Model (LCY)'!O$4,'Model Assumptions'!$C$72:$P$72,0))))</f>
        <v>112.61624192640001</v>
      </c>
      <c r="P9" s="288">
        <f>O9*(1+(INDEX(_Growthprojections,MATCH('Detailed Model (LCY)'!$C9,'Model Assumptions'!$C$72:$C$77,0),MATCH('Detailed Model (LCY)'!P$4,'Model Assumptions'!$C$72:$P$72,0))))</f>
        <v>114.868566764928</v>
      </c>
      <c r="Q9" s="288">
        <f>P9*(1+(INDEX(_Growthprojections,MATCH('Detailed Model (LCY)'!$C9,'Model Assumptions'!$C$72:$C$77,0),MATCH('Detailed Model (LCY)'!Q$4,'Model Assumptions'!$C$72:$P$72,0))))</f>
        <v>117.16593810022657</v>
      </c>
      <c r="R9" s="288">
        <f>Q9*(1+(INDEX(_Growthprojections,MATCH('Detailed Model (LCY)'!$C9,'Model Assumptions'!$C$72:$C$77,0),MATCH('Detailed Model (LCY)'!R$4,'Model Assumptions'!$C$72:$P$72,0))))</f>
        <v>119.5092568622311</v>
      </c>
      <c r="S9" s="288">
        <f>R9*(1+(INDEX(_Growthprojections,MATCH('Detailed Model (LCY)'!$C9,'Model Assumptions'!$C$72:$C$77,0),MATCH('Detailed Model (LCY)'!S$4,'Model Assumptions'!$C$72:$P$72,0))))</f>
        <v>121.89944199947573</v>
      </c>
      <c r="T9" s="288">
        <f>S9*(1+(INDEX(_Growthprojections,MATCH('Detailed Model (LCY)'!$C9,'Model Assumptions'!$C$72:$C$77,0),MATCH('Detailed Model (LCY)'!T$4,'Model Assumptions'!$C$72:$P$72,0))))</f>
        <v>124.33743083946524</v>
      </c>
      <c r="U9" s="288">
        <f>T9*(1+(INDEX(_Growthprojections,MATCH('Detailed Model (LCY)'!$C9,'Model Assumptions'!$C$72:$C$77,0),MATCH('Detailed Model (LCY)'!U$4,'Model Assumptions'!$C$72:$P$72,0))))</f>
        <v>126.82417945625456</v>
      </c>
      <c r="V9" s="288">
        <f>U9*(1+(INDEX(_Growthprojections,MATCH('Detailed Model (LCY)'!$C9,'Model Assumptions'!$C$72:$C$77,0),MATCH('Detailed Model (LCY)'!V$4,'Model Assumptions'!$C$72:$P$72,0))))</f>
        <v>129.36066304537965</v>
      </c>
      <c r="W9" s="288">
        <f>V9*(1+(INDEX(_Growthprojections,MATCH('Detailed Model (LCY)'!$C9,'Model Assumptions'!$C$72:$C$77,0),MATCH('Detailed Model (LCY)'!W$4,'Model Assumptions'!$C$72:$P$72,0))))</f>
        <v>131.94787630628724</v>
      </c>
      <c r="X9" s="288">
        <f>W9*(1+(INDEX(_Growthprojections,MATCH('Detailed Model (LCY)'!$C9,'Model Assumptions'!$C$72:$C$77,0),MATCH('Detailed Model (LCY)'!X$4,'Model Assumptions'!$C$72:$P$72,0))))</f>
        <v>134.58683383241299</v>
      </c>
      <c r="Y9" s="288">
        <f>X9*(1+(INDEX(_Growthprojections,MATCH('Detailed Model (LCY)'!$C9,'Model Assumptions'!$C$72:$C$77,0),MATCH('Detailed Model (LCY)'!Y$4,'Model Assumptions'!$C$72:$P$72,0))))</f>
        <v>137.27857050906127</v>
      </c>
      <c r="Z9" s="288">
        <f>Y9*(1+(INDEX(_Growthprojections,MATCH('Detailed Model (LCY)'!$C9,'Model Assumptions'!$C$72:$C$77,0),MATCH('Detailed Model (LCY)'!Z$4,'Model Assumptions'!$C$72:$P$72,0))))</f>
        <v>140.02414191924251</v>
      </c>
      <c r="AA9" s="288">
        <f>Z9*(1+(INDEX(_Growthprojections,MATCH('Detailed Model (LCY)'!$C9,'Model Assumptions'!$C$72:$C$77,0),MATCH('Detailed Model (LCY)'!AA$4,'Model Assumptions'!$C$72:$P$72,0))))</f>
        <v>142.82462475762736</v>
      </c>
      <c r="AB9" s="288">
        <f>AA9*(1+(INDEX(_Growthprojections,MATCH('Detailed Model (LCY)'!$C9,'Model Assumptions'!$C$72:$C$77,0),MATCH('Detailed Model (LCY)'!AB$4,'Model Assumptions'!$C$72:$P$72,0))))</f>
        <v>145.6811172527799</v>
      </c>
      <c r="AC9" s="288">
        <f>AB9*(1+(INDEX(_Growthprojections,MATCH('Detailed Model (LCY)'!$C9,'Model Assumptions'!$C$72:$C$77,0),MATCH('Detailed Model (LCY)'!AC$4,'Model Assumptions'!$C$72:$P$72,0))))</f>
        <v>148.59473959783551</v>
      </c>
      <c r="AD9" s="288">
        <f>AC9*(1+(INDEX(_Growthprojections,MATCH('Detailed Model (LCY)'!$C9,'Model Assumptions'!$C$72:$C$77,0),MATCH('Detailed Model (LCY)'!AD$4,'Model Assumptions'!$C$72:$P$72,0))))</f>
        <v>151.56663438979223</v>
      </c>
      <c r="AE9" s="288">
        <f>AD9*(1+(INDEX(_Growthprojections,MATCH('Detailed Model (LCY)'!$C9,'Model Assumptions'!$C$72:$C$77,0),MATCH('Detailed Model (LCY)'!AE$4,'Model Assumptions'!$C$72:$P$72,0))))</f>
        <v>154.59796707758807</v>
      </c>
      <c r="AF9" s="288">
        <f>AE9*(1+(INDEX(_Growthprojections,MATCH('Detailed Model (LCY)'!$C9,'Model Assumptions'!$C$72:$C$77,0),MATCH('Detailed Model (LCY)'!AF$4,'Model Assumptions'!$C$72:$P$72,0))))</f>
        <v>157.68992641913982</v>
      </c>
      <c r="AG9" s="288">
        <f>AF9*(1+(INDEX(_Growthprojections,MATCH('Detailed Model (LCY)'!$C9,'Model Assumptions'!$C$72:$C$77,0),MATCH('Detailed Model (LCY)'!AG$4,'Model Assumptions'!$C$72:$P$72,0))))</f>
        <v>160.84372494752262</v>
      </c>
      <c r="AH9" s="288">
        <f>AG9*(1+(INDEX(_Growthprojections,MATCH('Detailed Model (LCY)'!$C9,'Model Assumptions'!$C$72:$C$77,0),MATCH('Detailed Model (LCY)'!AH$4,'Model Assumptions'!$C$72:$P$72,0))))</f>
        <v>164.06059944647308</v>
      </c>
      <c r="AI9" s="288">
        <f>AH9*(1+(INDEX(_Growthprojections,MATCH('Detailed Model (LCY)'!$C9,'Model Assumptions'!$C$72:$C$77,0),MATCH('Detailed Model (LCY)'!AI$4,'Model Assumptions'!$C$72:$P$72,0))))</f>
        <v>167.34181143540255</v>
      </c>
      <c r="AJ9" s="288">
        <f>AI9*(1+(INDEX(_Growthprojections,MATCH('Detailed Model (LCY)'!$C9,'Model Assumptions'!$C$72:$C$77,0),MATCH('Detailed Model (LCY)'!AJ$4,'Model Assumptions'!$C$72:$P$72,0))))</f>
        <v>170.68864766411059</v>
      </c>
      <c r="AK9" s="288">
        <f>AJ9*(1+(INDEX(_Growthprojections,MATCH('Detailed Model (LCY)'!$C9,'Model Assumptions'!$C$72:$C$77,0),MATCH('Detailed Model (LCY)'!AK$4,'Model Assumptions'!$C$72:$P$72,0))))</f>
        <v>174.1024206173928</v>
      </c>
      <c r="AL9" s="288">
        <f>AK9*(1+(INDEX(_Growthprojections,MATCH('Detailed Model (LCY)'!$C9,'Model Assumptions'!$C$72:$C$77,0),MATCH('Detailed Model (LCY)'!AL$4,'Model Assumptions'!$C$72:$P$72,0))))</f>
        <v>177.58446902974066</v>
      </c>
      <c r="AM9" s="288">
        <f>AL9*(1+(INDEX(_Growthprojections,MATCH('Detailed Model (LCY)'!$C9,'Model Assumptions'!$C$72:$C$77,0),MATCH('Detailed Model (LCY)'!AM$4,'Model Assumptions'!$C$72:$P$72,0))))</f>
        <v>181.13615841033547</v>
      </c>
      <c r="AN9" s="288">
        <f>AM9*(1+(INDEX(_Growthprojections,MATCH('Detailed Model (LCY)'!$C9,'Model Assumptions'!$C$72:$C$77,0),MATCH('Detailed Model (LCY)'!AN$4,'Model Assumptions'!$C$72:$P$72,0))))</f>
        <v>184.75888157854217</v>
      </c>
      <c r="AO9" s="288">
        <f>AN9*(1+(INDEX(_Growthprojections,MATCH('Detailed Model (LCY)'!$C9,'Model Assumptions'!$C$72:$C$77,0),MATCH('Detailed Model (LCY)'!AO$4,'Model Assumptions'!$C$72:$P$72,0))))</f>
        <v>188.45405921011303</v>
      </c>
      <c r="AP9" s="288">
        <f>AO9*(1+(INDEX(_Growthprojections,MATCH('Detailed Model (LCY)'!$C9,'Model Assumptions'!$C$72:$C$77,0),MATCH('Detailed Model (LCY)'!AP$4,'Model Assumptions'!$C$72:$P$72,0))))</f>
        <v>192.22314039431529</v>
      </c>
      <c r="AQ9" s="288">
        <f>AP9*(1+(INDEX(_Growthprojections,MATCH('Detailed Model (LCY)'!$C9,'Model Assumptions'!$C$72:$C$77,0),MATCH('Detailed Model (LCY)'!AQ$4,'Model Assumptions'!$C$72:$P$72,0))))</f>
        <v>196.06760320220161</v>
      </c>
      <c r="AR9" s="288">
        <f>AQ9*(1+(INDEX(_Growthprojections,MATCH('Detailed Model (LCY)'!$C9,'Model Assumptions'!$C$72:$C$77,0),MATCH('Detailed Model (LCY)'!AR$4,'Model Assumptions'!$C$72:$P$72,0))))</f>
        <v>199.98895526624565</v>
      </c>
      <c r="AS9" s="288">
        <f>AR9*(1+(INDEX(_Growthprojections,MATCH('Detailed Model (LCY)'!$C9,'Model Assumptions'!$C$72:$C$77,0),MATCH('Detailed Model (LCY)'!AS$4,'Model Assumptions'!$C$72:$P$72,0))))</f>
        <v>203.98873437157056</v>
      </c>
      <c r="AT9" s="288">
        <f>AS9*(1+(INDEX(_Growthprojections,MATCH('Detailed Model (LCY)'!$C9,'Model Assumptions'!$C$72:$C$77,0),MATCH('Detailed Model (LCY)'!AT$4,'Model Assumptions'!$C$72:$P$72,0))))</f>
        <v>208.06850905900197</v>
      </c>
      <c r="AU9" s="288">
        <f>AT9*(1+(INDEX(_Growthprojections,MATCH('Detailed Model (LCY)'!$C9,'Model Assumptions'!$C$72:$C$77,0),MATCH('Detailed Model (LCY)'!AU$4,'Model Assumptions'!$C$72:$P$72,0))))</f>
        <v>212.22987924018202</v>
      </c>
      <c r="AV9" s="288">
        <f>AU9*(1+(INDEX(_Growthprojections,MATCH('Detailed Model (LCY)'!$C9,'Model Assumptions'!$C$72:$C$77,0),MATCH('Detailed Model (LCY)'!AV$4,'Model Assumptions'!$C$72:$P$72,0))))</f>
        <v>216.47447682498566</v>
      </c>
      <c r="AW9" s="288">
        <f>AV9*(1+(INDEX(_Growthprojections,MATCH('Detailed Model (LCY)'!$C9,'Model Assumptions'!$C$72:$C$77,0),MATCH('Detailed Model (LCY)'!AW$4,'Model Assumptions'!$C$72:$P$72,0))))</f>
        <v>220.80396636148538</v>
      </c>
      <c r="AX9" s="288">
        <f>AW9*(1+(INDEX(_Growthprojections,MATCH('Detailed Model (LCY)'!$C9,'Model Assumptions'!$C$72:$C$77,0),MATCH('Detailed Model (LCY)'!AX$4,'Model Assumptions'!$C$72:$P$72,0))))</f>
        <v>225.22004568871509</v>
      </c>
      <c r="AY9" s="288">
        <f>AX9*(1+(INDEX(_Growthprojections,MATCH('Detailed Model (LCY)'!$C9,'Model Assumptions'!$C$72:$C$77,0),MATCH('Detailed Model (LCY)'!AY$4,'Model Assumptions'!$C$72:$P$72,0))))</f>
        <v>229.72444660248939</v>
      </c>
      <c r="AZ9" s="288">
        <f>AY9*(1+(INDEX(_Growthprojections,MATCH('Detailed Model (LCY)'!$C9,'Model Assumptions'!$C$72:$C$77,0),MATCH('Detailed Model (LCY)'!AZ$4,'Model Assumptions'!$C$72:$P$72,0))))</f>
        <v>234.31893553453918</v>
      </c>
      <c r="BA9" s="288">
        <f>AZ9*(1+(INDEX(_Growthprojections,MATCH('Detailed Model (LCY)'!$C9,'Model Assumptions'!$C$72:$C$77,0),MATCH('Detailed Model (LCY)'!BA$4,'Model Assumptions'!$C$72:$P$72,0))))</f>
        <v>239.00531424522995</v>
      </c>
      <c r="BB9" s="288">
        <f>BA9*(1+(INDEX(_Growthprojections,MATCH('Detailed Model (LCY)'!$C9,'Model Assumptions'!$C$72:$C$77,0),MATCH('Detailed Model (LCY)'!BB$4,'Model Assumptions'!$C$72:$P$72,0))))</f>
        <v>243.78542053013456</v>
      </c>
      <c r="BC9" s="288">
        <f>BB9*(1+(INDEX(_Growthprojections,MATCH('Detailed Model (LCY)'!$C9,'Model Assumptions'!$C$72:$C$77,0),MATCH('Detailed Model (LCY)'!BC$4,'Model Assumptions'!$C$72:$P$72,0))))</f>
        <v>248.66112894073726</v>
      </c>
      <c r="BD9" s="288">
        <f>BC9*(1+(INDEX(_Growthprojections,MATCH('Detailed Model (LCY)'!$C9,'Model Assumptions'!$C$72:$C$77,0),MATCH('Detailed Model (LCY)'!BD$4,'Model Assumptions'!$C$72:$P$72,0))))</f>
        <v>253.63435151955201</v>
      </c>
      <c r="BE9" s="288">
        <f>BD9*(1+(INDEX(_Growthprojections,MATCH('Detailed Model (LCY)'!$C9,'Model Assumptions'!$C$72:$C$77,0),MATCH('Detailed Model (LCY)'!BE$4,'Model Assumptions'!$C$72:$P$72,0))))</f>
        <v>258.70703854994304</v>
      </c>
      <c r="BF9" s="288">
        <f>BE9*(1+(INDEX(_Growthprojections,MATCH('Detailed Model (LCY)'!$C9,'Model Assumptions'!$C$72:$C$77,0),MATCH('Detailed Model (LCY)'!BF$4,'Model Assumptions'!$C$72:$P$72,0))))</f>
        <v>263.8811793209419</v>
      </c>
      <c r="BG9" s="288">
        <f>BF9*(1+(INDEX(_Growthprojections,MATCH('Detailed Model (LCY)'!$C9,'Model Assumptions'!$C$72:$C$77,0),MATCH('Detailed Model (LCY)'!BG$4,'Model Assumptions'!$C$72:$P$72,0))))</f>
        <v>269.15880290736072</v>
      </c>
      <c r="BH9" s="288">
        <f>BG9*(1+(INDEX(_Growthprojections,MATCH('Detailed Model (LCY)'!$C9,'Model Assumptions'!$C$72:$C$77,0),MATCH('Detailed Model (LCY)'!BH$4,'Model Assumptions'!$C$72:$P$72,0))))</f>
        <v>274.54197896550795</v>
      </c>
      <c r="BI9" s="288">
        <f>BH9*(1+(INDEX(_Growthprojections,MATCH('Detailed Model (LCY)'!$C9,'Model Assumptions'!$C$72:$C$77,0),MATCH('Detailed Model (LCY)'!BI$4,'Model Assumptions'!$C$72:$P$72,0))))</f>
        <v>280.0328185448181</v>
      </c>
      <c r="BJ9" s="288">
        <f>BI9*(1+(INDEX(_Growthprojections,MATCH('Detailed Model (LCY)'!$C9,'Model Assumptions'!$C$72:$C$77,0),MATCH('Detailed Model (LCY)'!BJ$4,'Model Assumptions'!$C$72:$P$72,0))))</f>
        <v>285.63347491571449</v>
      </c>
      <c r="BK9" s="288">
        <f>BJ9*(1+(INDEX(_Growthprojections,MATCH('Detailed Model (LCY)'!$C9,'Model Assumptions'!$C$72:$C$77,0),MATCH('Detailed Model (LCY)'!BK$4,'Model Assumptions'!$C$72:$P$72,0))))</f>
        <v>291.3461444140288</v>
      </c>
      <c r="BL9" s="288">
        <f>BK9*(1+(INDEX(_Growthprojections,MATCH('Detailed Model (LCY)'!$C9,'Model Assumptions'!$C$72:$C$77,0),MATCH('Detailed Model (LCY)'!BL$4,'Model Assumptions'!$C$72:$P$72,0))))</f>
        <v>297.17306730230939</v>
      </c>
      <c r="BM9" s="288">
        <f>BL9*(1+(INDEX(_Growthprojections,MATCH('Detailed Model (LCY)'!$C9,'Model Assumptions'!$C$72:$C$77,0),MATCH('Detailed Model (LCY)'!BM$4,'Model Assumptions'!$C$72:$P$72,0))))</f>
        <v>303.1165286483556</v>
      </c>
      <c r="BN9" s="288">
        <f>BM9*(1+(INDEX(_Growthprojections,MATCH('Detailed Model (LCY)'!$C9,'Model Assumptions'!$C$72:$C$77,0),MATCH('Detailed Model (LCY)'!BN$4,'Model Assumptions'!$C$72:$P$72,0))))</f>
        <v>309.17885922132274</v>
      </c>
      <c r="BO9" s="288">
        <f>BN9*(1+(INDEX(_Growthprojections,MATCH('Detailed Model (LCY)'!$C9,'Model Assumptions'!$C$72:$C$77,0),MATCH('Detailed Model (LCY)'!BO$4,'Model Assumptions'!$C$72:$P$72,0))))</f>
        <v>315.36243640574918</v>
      </c>
      <c r="BP9" s="288">
        <f>BO9*(1+(INDEX(_Growthprojections,MATCH('Detailed Model (LCY)'!$C9,'Model Assumptions'!$C$72:$C$77,0),MATCH('Detailed Model (LCY)'!BP$4,'Model Assumptions'!$C$72:$P$72,0))))</f>
        <v>321.66968513386416</v>
      </c>
      <c r="BQ9" s="288">
        <f>BP9*(1+(INDEX(_Growthprojections,MATCH('Detailed Model (LCY)'!$C9,'Model Assumptions'!$C$72:$C$77,0),MATCH('Detailed Model (LCY)'!BQ$4,'Model Assumptions'!$C$72:$P$72,0))))</f>
        <v>328.10307883654144</v>
      </c>
      <c r="BR9" s="288">
        <f>BQ9*(1+(INDEX(_Growthprojections,MATCH('Detailed Model (LCY)'!$C9,'Model Assumptions'!$C$72:$C$77,0),MATCH('Detailed Model (LCY)'!BR$4,'Model Assumptions'!$C$72:$P$72,0))))</f>
        <v>328.10307883654144</v>
      </c>
      <c r="BS9" s="288">
        <f>BR9*(1+(INDEX(_Growthprojections,MATCH('Detailed Model (LCY)'!$C9,'Model Assumptions'!$C$72:$C$77,0),MATCH('Detailed Model (LCY)'!BS$4,'Model Assumptions'!$C$72:$P$72,0))))</f>
        <v>328.10307883654144</v>
      </c>
      <c r="BT9" s="288">
        <f>BS9*(1+(INDEX(_Growthprojections,MATCH('Detailed Model (LCY)'!$C9,'Model Assumptions'!$C$72:$C$77,0),MATCH('Detailed Model (LCY)'!BT$4,'Model Assumptions'!$C$72:$P$72,0))))</f>
        <v>328.10307883654144</v>
      </c>
      <c r="BU9" s="288">
        <f>BT9*(1+(INDEX(_Growthprojections,MATCH('Detailed Model (LCY)'!$C9,'Model Assumptions'!$C$72:$C$77,0),MATCH('Detailed Model (LCY)'!BU$4,'Model Assumptions'!$C$72:$P$72,0))))</f>
        <v>328.10307883654144</v>
      </c>
      <c r="BV9" s="288">
        <f>BU9*(1+(INDEX(_Growthprojections,MATCH('Detailed Model (LCY)'!$C9,'Model Assumptions'!$C$72:$C$77,0),MATCH('Detailed Model (LCY)'!BV$4,'Model Assumptions'!$C$72:$P$72,0))))</f>
        <v>328.10307883654144</v>
      </c>
      <c r="BW9" s="288">
        <f>BV9*(1+(INDEX(_Growthprojections,MATCH('Detailed Model (LCY)'!$C9,'Model Assumptions'!$C$72:$C$77,0),MATCH('Detailed Model (LCY)'!BW$4,'Model Assumptions'!$C$72:$P$72,0))))</f>
        <v>328.10307883654144</v>
      </c>
      <c r="BX9" s="288">
        <f>BW9*(1+(INDEX(_Growthprojections,MATCH('Detailed Model (LCY)'!$C9,'Model Assumptions'!$C$72:$C$77,0),MATCH('Detailed Model (LCY)'!BX$4,'Model Assumptions'!$C$72:$P$72,0))))</f>
        <v>328.10307883654144</v>
      </c>
      <c r="BY9" s="288">
        <f>BX9*(1+(INDEX(_Growthprojections,MATCH('Detailed Model (LCY)'!$C9,'Model Assumptions'!$C$72:$C$77,0),MATCH('Detailed Model (LCY)'!BY$4,'Model Assumptions'!$C$72:$P$72,0))))</f>
        <v>328.10307883654144</v>
      </c>
      <c r="BZ9" s="288">
        <f>BY9*(1+(INDEX(_Growthprojections,MATCH('Detailed Model (LCY)'!$C9,'Model Assumptions'!$C$72:$C$77,0),MATCH('Detailed Model (LCY)'!BZ$4,'Model Assumptions'!$C$72:$P$72,0))))</f>
        <v>328.10307883654144</v>
      </c>
      <c r="CA9" s="288">
        <f>BZ9*(1+(INDEX(_Growthprojections,MATCH('Detailed Model (LCY)'!$C9,'Model Assumptions'!$C$72:$C$77,0),MATCH('Detailed Model (LCY)'!CA$4,'Model Assumptions'!$C$72:$P$72,0))))</f>
        <v>328.10307883654144</v>
      </c>
      <c r="CB9" s="288">
        <f>CA9*(1+(INDEX(_Growthprojections,MATCH('Detailed Model (LCY)'!$C9,'Model Assumptions'!$C$72:$C$77,0),MATCH('Detailed Model (LCY)'!CB$4,'Model Assumptions'!$C$72:$P$72,0))))</f>
        <v>328.10307883654144</v>
      </c>
      <c r="CC9" s="288">
        <f>CB9*(1+(INDEX(_Growthprojections,MATCH('Detailed Model (LCY)'!$C9,'Model Assumptions'!$C$72:$C$77,0),MATCH('Detailed Model (LCY)'!CC$4,'Model Assumptions'!$C$72:$P$72,0))))</f>
        <v>328.10307883654144</v>
      </c>
      <c r="CD9" s="288">
        <f>CC9*(1+(INDEX(_Growthprojections,MATCH('Detailed Model (LCY)'!$C9,'Model Assumptions'!$C$72:$C$77,0),MATCH('Detailed Model (LCY)'!CD$4,'Model Assumptions'!$C$72:$P$72,0))))</f>
        <v>328.10307883654144</v>
      </c>
      <c r="CE9" s="288">
        <f>CD9*(1+(INDEX(_Growthprojections,MATCH('Detailed Model (LCY)'!$C9,'Model Assumptions'!$C$72:$C$77,0),MATCH('Detailed Model (LCY)'!CE$4,'Model Assumptions'!$C$72:$P$72,0))))</f>
        <v>328.10307883654144</v>
      </c>
      <c r="CF9" s="288">
        <f>CE9*(1+(INDEX(_Growthprojections,MATCH('Detailed Model (LCY)'!$C9,'Model Assumptions'!$C$72:$C$77,0),MATCH('Detailed Model (LCY)'!CF$4,'Model Assumptions'!$C$72:$P$72,0))))</f>
        <v>328.10307883654144</v>
      </c>
      <c r="CG9" s="288">
        <f>CF9*(1+(INDEX(_Growthprojections,MATCH('Detailed Model (LCY)'!$C9,'Model Assumptions'!$C$72:$C$77,0),MATCH('Detailed Model (LCY)'!CG$4,'Model Assumptions'!$C$72:$P$72,0))))</f>
        <v>328.10307883654144</v>
      </c>
      <c r="CH9" s="288">
        <f>CG9*(1+(INDEX(_Growthprojections,MATCH('Detailed Model (LCY)'!$C9,'Model Assumptions'!$C$72:$C$77,0),MATCH('Detailed Model (LCY)'!CH$4,'Model Assumptions'!$C$72:$P$72,0))))</f>
        <v>328.10307883654144</v>
      </c>
      <c r="CI9" s="288">
        <f>CH9*(1+(INDEX(_Growthprojections,MATCH('Detailed Model (LCY)'!$C9,'Model Assumptions'!$C$72:$C$77,0),MATCH('Detailed Model (LCY)'!CI$4,'Model Assumptions'!$C$72:$P$72,0))))</f>
        <v>328.10307883654144</v>
      </c>
      <c r="CJ9" s="288">
        <f>CI9*(1+(INDEX(_Growthprojections,MATCH('Detailed Model (LCY)'!$C9,'Model Assumptions'!$C$72:$C$77,0),MATCH('Detailed Model (LCY)'!CJ$4,'Model Assumptions'!$C$72:$P$72,0))))</f>
        <v>328.10307883654144</v>
      </c>
      <c r="CK9" s="288">
        <f>CJ9*(1+(INDEX(_Growthprojections,MATCH('Detailed Model (LCY)'!$C9,'Model Assumptions'!$C$72:$C$77,0),MATCH('Detailed Model (LCY)'!CK$4,'Model Assumptions'!$C$72:$P$72,0))))</f>
        <v>328.10307883654144</v>
      </c>
      <c r="CL9" s="288">
        <f>CK9*(1+(INDEX(_Growthprojections,MATCH('Detailed Model (LCY)'!$C9,'Model Assumptions'!$C$72:$C$77,0),MATCH('Detailed Model (LCY)'!CL$4,'Model Assumptions'!$C$72:$P$72,0))))</f>
        <v>328.10307883654144</v>
      </c>
      <c r="CM9" s="288">
        <f>CL9*(1+(INDEX(_Growthprojections,MATCH('Detailed Model (LCY)'!$C9,'Model Assumptions'!$C$72:$C$77,0),MATCH('Detailed Model (LCY)'!CM$4,'Model Assumptions'!$C$72:$P$72,0))))</f>
        <v>328.10307883654144</v>
      </c>
      <c r="CN9" s="288">
        <f>CM9*(1+(INDEX(_Growthprojections,MATCH('Detailed Model (LCY)'!$C9,'Model Assumptions'!$C$72:$C$77,0),MATCH('Detailed Model (LCY)'!CN$4,'Model Assumptions'!$C$72:$P$72,0))))</f>
        <v>328.10307883654144</v>
      </c>
      <c r="CO9" s="288">
        <f>CN9*(1+(INDEX(_Growthprojections,MATCH('Detailed Model (LCY)'!$C9,'Model Assumptions'!$C$72:$C$77,0),MATCH('Detailed Model (LCY)'!CO$4,'Model Assumptions'!$C$72:$P$72,0))))</f>
        <v>328.10307883654144</v>
      </c>
      <c r="CP9" s="288">
        <f>CO9*(1+(INDEX(_Growthprojections,MATCH('Detailed Model (LCY)'!$C9,'Model Assumptions'!$C$72:$C$77,0),MATCH('Detailed Model (LCY)'!CP$4,'Model Assumptions'!$C$72:$P$72,0))))</f>
        <v>328.10307883654144</v>
      </c>
      <c r="CQ9" s="288">
        <f>CP9*(1+(INDEX(_Growthprojections,MATCH('Detailed Model (LCY)'!$C9,'Model Assumptions'!$C$72:$C$77,0),MATCH('Detailed Model (LCY)'!CQ$4,'Model Assumptions'!$C$72:$P$72,0))))</f>
        <v>328.10307883654144</v>
      </c>
      <c r="CR9" s="288">
        <f>CQ9*(1+(INDEX(_Growthprojections,MATCH('Detailed Model (LCY)'!$C9,'Model Assumptions'!$C$72:$C$77,0),MATCH('Detailed Model (LCY)'!CR$4,'Model Assumptions'!$C$72:$P$72,0))))</f>
        <v>328.10307883654144</v>
      </c>
      <c r="CS9" s="288">
        <f>CR9*(1+(INDEX(_Growthprojections,MATCH('Detailed Model (LCY)'!$C9,'Model Assumptions'!$C$72:$C$77,0),MATCH('Detailed Model (LCY)'!CS$4,'Model Assumptions'!$C$72:$P$72,0))))</f>
        <v>328.10307883654144</v>
      </c>
      <c r="CT9" s="288">
        <f>CS9*(1+(INDEX(_Growthprojections,MATCH('Detailed Model (LCY)'!$C9,'Model Assumptions'!$C$72:$C$77,0),MATCH('Detailed Model (LCY)'!CT$4,'Model Assumptions'!$C$72:$P$72,0))))</f>
        <v>328.10307883654144</v>
      </c>
      <c r="CU9" s="288">
        <f>CT9*(1+(INDEX(_Growthprojections,MATCH('Detailed Model (LCY)'!$C9,'Model Assumptions'!$C$72:$C$77,0),MATCH('Detailed Model (LCY)'!CU$4,'Model Assumptions'!$C$72:$P$72,0))))</f>
        <v>328.10307883654144</v>
      </c>
      <c r="CV9" s="288">
        <f>CU9*(1+(INDEX(_Growthprojections,MATCH('Detailed Model (LCY)'!$C9,'Model Assumptions'!$C$72:$C$77,0),MATCH('Detailed Model (LCY)'!CV$4,'Model Assumptions'!$C$72:$P$72,0))))</f>
        <v>328.10307883654144</v>
      </c>
      <c r="CW9" s="288">
        <f>CV9*(1+(INDEX(_Growthprojections,MATCH('Detailed Model (LCY)'!$C9,'Model Assumptions'!$C$72:$C$77,0),MATCH('Detailed Model (LCY)'!CW$4,'Model Assumptions'!$C$72:$P$72,0))))</f>
        <v>328.10307883654144</v>
      </c>
      <c r="CX9" s="288">
        <f>CW9*(1+(INDEX(_Growthprojections,MATCH('Detailed Model (LCY)'!$C9,'Model Assumptions'!$C$72:$C$77,0),MATCH('Detailed Model (LCY)'!CX$4,'Model Assumptions'!$C$72:$P$72,0))))</f>
        <v>328.10307883654144</v>
      </c>
      <c r="CY9" s="288">
        <f>CX9*(1+(INDEX(_Growthprojections,MATCH('Detailed Model (LCY)'!$C9,'Model Assumptions'!$C$72:$C$77,0),MATCH('Detailed Model (LCY)'!CY$4,'Model Assumptions'!$C$72:$P$72,0))))</f>
        <v>328.10307883654144</v>
      </c>
      <c r="CZ9" s="288">
        <f>CY9*(1+(INDEX(_Growthprojections,MATCH('Detailed Model (LCY)'!$C9,'Model Assumptions'!$C$72:$C$77,0),MATCH('Detailed Model (LCY)'!CZ$4,'Model Assumptions'!$C$72:$P$72,0))))</f>
        <v>328.10307883654144</v>
      </c>
      <c r="DA9" s="288">
        <f>CZ9*(1+(INDEX(_Growthprojections,MATCH('Detailed Model (LCY)'!$C9,'Model Assumptions'!$C$72:$C$77,0),MATCH('Detailed Model (LCY)'!DA$4,'Model Assumptions'!$C$72:$P$72,0))))</f>
        <v>328.10307883654144</v>
      </c>
      <c r="DB9" s="288">
        <f>DA9*(1+(INDEX(_Growthprojections,MATCH('Detailed Model (LCY)'!$C9,'Model Assumptions'!$C$72:$C$77,0),MATCH('Detailed Model (LCY)'!DB$4,'Model Assumptions'!$C$72:$P$72,0))))</f>
        <v>328.10307883654144</v>
      </c>
      <c r="DC9" s="288">
        <f>DB9*(1+(INDEX(_Growthprojections,MATCH('Detailed Model (LCY)'!$C9,'Model Assumptions'!$C$72:$C$77,0),MATCH('Detailed Model (LCY)'!DC$4,'Model Assumptions'!$C$72:$P$72,0))))</f>
        <v>328.10307883654144</v>
      </c>
      <c r="DD9" s="288">
        <f>DC9*(1+(INDEX(_Growthprojections,MATCH('Detailed Model (LCY)'!$C9,'Model Assumptions'!$C$72:$C$77,0),MATCH('Detailed Model (LCY)'!DD$4,'Model Assumptions'!$C$72:$P$72,0))))</f>
        <v>328.10307883654144</v>
      </c>
      <c r="DE9" s="288">
        <f>DD9*(1+(INDEX(_Growthprojections,MATCH('Detailed Model (LCY)'!$C9,'Model Assumptions'!$C$72:$C$77,0),MATCH('Detailed Model (LCY)'!DE$4,'Model Assumptions'!$C$72:$P$72,0))))</f>
        <v>328.10307883654144</v>
      </c>
      <c r="DF9" s="288">
        <f>DE9*(1+(INDEX(_Growthprojections,MATCH('Detailed Model (LCY)'!$C9,'Model Assumptions'!$C$72:$C$77,0),MATCH('Detailed Model (LCY)'!DF$4,'Model Assumptions'!$C$72:$P$72,0))))</f>
        <v>328.10307883654144</v>
      </c>
      <c r="DG9" s="288">
        <f>DF9*(1+(INDEX(_Growthprojections,MATCH('Detailed Model (LCY)'!$C9,'Model Assumptions'!$C$72:$C$77,0),MATCH('Detailed Model (LCY)'!DG$4,'Model Assumptions'!$C$72:$P$72,0))))</f>
        <v>328.10307883654144</v>
      </c>
      <c r="DH9" s="288">
        <f>DG9*(1+(INDEX(_Growthprojections,MATCH('Detailed Model (LCY)'!$C9,'Model Assumptions'!$C$72:$C$77,0),MATCH('Detailed Model (LCY)'!DH$4,'Model Assumptions'!$C$72:$P$72,0))))</f>
        <v>328.10307883654144</v>
      </c>
      <c r="DI9" s="288">
        <f>DH9*(1+(INDEX(_Growthprojections,MATCH('Detailed Model (LCY)'!$C9,'Model Assumptions'!$C$72:$C$77,0),MATCH('Detailed Model (LCY)'!DI$4,'Model Assumptions'!$C$72:$P$72,0))))</f>
        <v>328.10307883654144</v>
      </c>
      <c r="DJ9" s="288">
        <f>DI9*(1+(INDEX(_Growthprojections,MATCH('Detailed Model (LCY)'!$C9,'Model Assumptions'!$C$72:$C$77,0),MATCH('Detailed Model (LCY)'!DJ$4,'Model Assumptions'!$C$72:$P$72,0))))</f>
        <v>328.10307883654144</v>
      </c>
      <c r="DK9" s="288">
        <f>DJ9*(1+(INDEX(_Growthprojections,MATCH('Detailed Model (LCY)'!$C9,'Model Assumptions'!$C$72:$C$77,0),MATCH('Detailed Model (LCY)'!DK$4,'Model Assumptions'!$C$72:$P$72,0))))</f>
        <v>328.10307883654144</v>
      </c>
      <c r="DL9" s="288">
        <f>DK9*(1+(INDEX(_Growthprojections,MATCH('Detailed Model (LCY)'!$C9,'Model Assumptions'!$C$72:$C$77,0),MATCH('Detailed Model (LCY)'!DL$4,'Model Assumptions'!$C$72:$P$72,0))))</f>
        <v>328.10307883654144</v>
      </c>
      <c r="DM9" s="288">
        <f>DL9*(1+(INDEX(_Growthprojections,MATCH('Detailed Model (LCY)'!$C9,'Model Assumptions'!$C$72:$C$77,0),MATCH('Detailed Model (LCY)'!DM$4,'Model Assumptions'!$C$72:$P$72,0))))</f>
        <v>328.10307883654144</v>
      </c>
      <c r="DN9" s="288">
        <f>DM9*(1+(INDEX(_Growthprojections,MATCH('Detailed Model (LCY)'!$C9,'Model Assumptions'!$C$72:$C$77,0),MATCH('Detailed Model (LCY)'!DN$4,'Model Assumptions'!$C$72:$P$72,0))))</f>
        <v>328.10307883654144</v>
      </c>
      <c r="DO9" s="288">
        <f>DN9*(1+(INDEX(_Growthprojections,MATCH('Detailed Model (LCY)'!$C9,'Model Assumptions'!$C$72:$C$77,0),MATCH('Detailed Model (LCY)'!DO$4,'Model Assumptions'!$C$72:$P$72,0))))</f>
        <v>328.10307883654144</v>
      </c>
      <c r="DP9" s="288">
        <f>DO9*(1+(INDEX(_Growthprojections,MATCH('Detailed Model (LCY)'!$C9,'Model Assumptions'!$C$72:$C$77,0),MATCH('Detailed Model (LCY)'!DP$4,'Model Assumptions'!$C$72:$P$72,0))))</f>
        <v>328.10307883654144</v>
      </c>
      <c r="DQ9" s="288">
        <f>DP9*(1+(INDEX(_Growthprojections,MATCH('Detailed Model (LCY)'!$C9,'Model Assumptions'!$C$72:$C$77,0),MATCH('Detailed Model (LCY)'!DQ$4,'Model Assumptions'!$C$72:$P$72,0))))</f>
        <v>328.10307883654144</v>
      </c>
      <c r="DR9" s="288">
        <f>DQ9*(1+(INDEX(_Growthprojections,MATCH('Detailed Model (LCY)'!$C9,'Model Assumptions'!$C$72:$C$77,0),MATCH('Detailed Model (LCY)'!DR$4,'Model Assumptions'!$C$72:$P$72,0))))</f>
        <v>328.10307883654144</v>
      </c>
      <c r="DS9" s="288">
        <f>DR9*(1+(INDEX(_Growthprojections,MATCH('Detailed Model (LCY)'!$C9,'Model Assumptions'!$C$72:$C$77,0),MATCH('Detailed Model (LCY)'!DS$4,'Model Assumptions'!$C$72:$P$72,0))))</f>
        <v>328.10307883654144</v>
      </c>
      <c r="DT9" s="288">
        <f>DS9*(1+(INDEX(_Growthprojections,MATCH('Detailed Model (LCY)'!$C9,'Model Assumptions'!$C$72:$C$77,0),MATCH('Detailed Model (LCY)'!DT$4,'Model Assumptions'!$C$72:$P$72,0))))</f>
        <v>328.10307883654144</v>
      </c>
      <c r="DU9" s="288">
        <f>DT9*(1+(INDEX(_Growthprojections,MATCH('Detailed Model (LCY)'!$C9,'Model Assumptions'!$C$72:$C$77,0),MATCH('Detailed Model (LCY)'!DU$4,'Model Assumptions'!$C$72:$P$72,0))))</f>
        <v>328.10307883654144</v>
      </c>
      <c r="DV9" s="288">
        <f>DU9*(1+(INDEX(_Growthprojections,MATCH('Detailed Model (LCY)'!$C9,'Model Assumptions'!$C$72:$C$77,0),MATCH('Detailed Model (LCY)'!DV$4,'Model Assumptions'!$C$72:$P$72,0))))</f>
        <v>328.10307883654144</v>
      </c>
      <c r="DW9" s="288">
        <f>DV9*(1+(INDEX(_Growthprojections,MATCH('Detailed Model (LCY)'!$C9,'Model Assumptions'!$C$72:$C$77,0),MATCH('Detailed Model (LCY)'!DW$4,'Model Assumptions'!$C$72:$P$72,0))))</f>
        <v>328.10307883654144</v>
      </c>
      <c r="DX9" s="288">
        <f>DW9*(1+(INDEX(_Growthprojections,MATCH('Detailed Model (LCY)'!$C9,'Model Assumptions'!$C$72:$C$77,0),MATCH('Detailed Model (LCY)'!DX$4,'Model Assumptions'!$C$72:$P$72,0))))</f>
        <v>328.10307883654144</v>
      </c>
      <c r="DY9" s="288">
        <f>DX9*(1+(INDEX(_Growthprojections,MATCH('Detailed Model (LCY)'!$C9,'Model Assumptions'!$C$72:$C$77,0),MATCH('Detailed Model (LCY)'!DY$4,'Model Assumptions'!$C$72:$P$72,0))))</f>
        <v>328.10307883654144</v>
      </c>
    </row>
    <row r="10" spans="1:129" s="19" customFormat="1" outlineLevel="1">
      <c r="A10" s="20"/>
      <c r="B10" s="14"/>
      <c r="C10" s="114" t="str">
        <f>'Model Assumptions'!$I$24</f>
        <v>Product 3</v>
      </c>
      <c r="D10" s="285"/>
      <c r="E10" s="286" t="s">
        <v>448</v>
      </c>
      <c r="F10" s="30"/>
      <c r="G10" s="14"/>
      <c r="H10" s="14"/>
      <c r="I10" s="584">
        <f>startP3</f>
        <v>50</v>
      </c>
      <c r="J10" s="288">
        <f>I10*(1+(INDEX(_Growthprojections,MATCH('Detailed Model (LCY)'!$C10,'Model Assumptions'!$C$72:$C$77,0),MATCH('Detailed Model (LCY)'!J$4,'Model Assumptions'!$C$72:$P$72,0))))</f>
        <v>51</v>
      </c>
      <c r="K10" s="288">
        <f>J10*(1+(INDEX(_Growthprojections,MATCH('Detailed Model (LCY)'!$C10,'Model Assumptions'!$C$72:$C$77,0),MATCH('Detailed Model (LCY)'!K$4,'Model Assumptions'!$C$72:$P$72,0))))</f>
        <v>52.02</v>
      </c>
      <c r="L10" s="288">
        <f>K10*(1+(INDEX(_Growthprojections,MATCH('Detailed Model (LCY)'!$C10,'Model Assumptions'!$C$72:$C$77,0),MATCH('Detailed Model (LCY)'!L$4,'Model Assumptions'!$C$72:$P$72,0))))</f>
        <v>53.060400000000001</v>
      </c>
      <c r="M10" s="288">
        <f>L10*(1+(INDEX(_Growthprojections,MATCH('Detailed Model (LCY)'!$C10,'Model Assumptions'!$C$72:$C$77,0),MATCH('Detailed Model (LCY)'!M$4,'Model Assumptions'!$C$72:$P$72,0))))</f>
        <v>54.121608000000002</v>
      </c>
      <c r="N10" s="288">
        <f>M10*(1+(INDEX(_Growthprojections,MATCH('Detailed Model (LCY)'!$C10,'Model Assumptions'!$C$72:$C$77,0),MATCH('Detailed Model (LCY)'!N$4,'Model Assumptions'!$C$72:$P$72,0))))</f>
        <v>55.204040160000005</v>
      </c>
      <c r="O10" s="288">
        <f>N10*(1+(INDEX(_Growthprojections,MATCH('Detailed Model (LCY)'!$C10,'Model Assumptions'!$C$72:$C$77,0),MATCH('Detailed Model (LCY)'!O$4,'Model Assumptions'!$C$72:$P$72,0))))</f>
        <v>56.308120963200004</v>
      </c>
      <c r="P10" s="288">
        <f>O10*(1+(INDEX(_Growthprojections,MATCH('Detailed Model (LCY)'!$C10,'Model Assumptions'!$C$72:$C$77,0),MATCH('Detailed Model (LCY)'!P$4,'Model Assumptions'!$C$72:$P$72,0))))</f>
        <v>57.434283382464002</v>
      </c>
      <c r="Q10" s="288">
        <f>P10*(1+(INDEX(_Growthprojections,MATCH('Detailed Model (LCY)'!$C10,'Model Assumptions'!$C$72:$C$77,0),MATCH('Detailed Model (LCY)'!Q$4,'Model Assumptions'!$C$72:$P$72,0))))</f>
        <v>58.582969050113284</v>
      </c>
      <c r="R10" s="288">
        <f>Q10*(1+(INDEX(_Growthprojections,MATCH('Detailed Model (LCY)'!$C10,'Model Assumptions'!$C$72:$C$77,0),MATCH('Detailed Model (LCY)'!R$4,'Model Assumptions'!$C$72:$P$72,0))))</f>
        <v>59.754628431115549</v>
      </c>
      <c r="S10" s="288">
        <f>R10*(1+(INDEX(_Growthprojections,MATCH('Detailed Model (LCY)'!$C10,'Model Assumptions'!$C$72:$C$77,0),MATCH('Detailed Model (LCY)'!S$4,'Model Assumptions'!$C$72:$P$72,0))))</f>
        <v>60.949720999737863</v>
      </c>
      <c r="T10" s="288">
        <f>S10*(1+(INDEX(_Growthprojections,MATCH('Detailed Model (LCY)'!$C10,'Model Assumptions'!$C$72:$C$77,0),MATCH('Detailed Model (LCY)'!T$4,'Model Assumptions'!$C$72:$P$72,0))))</f>
        <v>62.168715419732621</v>
      </c>
      <c r="U10" s="288">
        <f>T10*(1+(INDEX(_Growthprojections,MATCH('Detailed Model (LCY)'!$C10,'Model Assumptions'!$C$72:$C$77,0),MATCH('Detailed Model (LCY)'!U$4,'Model Assumptions'!$C$72:$P$72,0))))</f>
        <v>63.412089728127278</v>
      </c>
      <c r="V10" s="288">
        <f>U10*(1+(INDEX(_Growthprojections,MATCH('Detailed Model (LCY)'!$C10,'Model Assumptions'!$C$72:$C$77,0),MATCH('Detailed Model (LCY)'!V$4,'Model Assumptions'!$C$72:$P$72,0))))</f>
        <v>64.680331522689826</v>
      </c>
      <c r="W10" s="288">
        <f>V10*(1+(INDEX(_Growthprojections,MATCH('Detailed Model (LCY)'!$C10,'Model Assumptions'!$C$72:$C$77,0),MATCH('Detailed Model (LCY)'!W$4,'Model Assumptions'!$C$72:$P$72,0))))</f>
        <v>65.973938153143621</v>
      </c>
      <c r="X10" s="288">
        <f>W10*(1+(INDEX(_Growthprojections,MATCH('Detailed Model (LCY)'!$C10,'Model Assumptions'!$C$72:$C$77,0),MATCH('Detailed Model (LCY)'!X$4,'Model Assumptions'!$C$72:$P$72,0))))</f>
        <v>67.293416916206496</v>
      </c>
      <c r="Y10" s="288">
        <f>X10*(1+(INDEX(_Growthprojections,MATCH('Detailed Model (LCY)'!$C10,'Model Assumptions'!$C$72:$C$77,0),MATCH('Detailed Model (LCY)'!Y$4,'Model Assumptions'!$C$72:$P$72,0))))</f>
        <v>68.639285254530634</v>
      </c>
      <c r="Z10" s="288">
        <f>Y10*(1+(INDEX(_Growthprojections,MATCH('Detailed Model (LCY)'!$C10,'Model Assumptions'!$C$72:$C$77,0),MATCH('Detailed Model (LCY)'!Z$4,'Model Assumptions'!$C$72:$P$72,0))))</f>
        <v>70.012070959621255</v>
      </c>
      <c r="AA10" s="288">
        <f>Z10*(1+(INDEX(_Growthprojections,MATCH('Detailed Model (LCY)'!$C10,'Model Assumptions'!$C$72:$C$77,0),MATCH('Detailed Model (LCY)'!AA$4,'Model Assumptions'!$C$72:$P$72,0))))</f>
        <v>71.412312378813681</v>
      </c>
      <c r="AB10" s="288">
        <f>AA10*(1+(INDEX(_Growthprojections,MATCH('Detailed Model (LCY)'!$C10,'Model Assumptions'!$C$72:$C$77,0),MATCH('Detailed Model (LCY)'!AB$4,'Model Assumptions'!$C$72:$P$72,0))))</f>
        <v>72.840558626389949</v>
      </c>
      <c r="AC10" s="288">
        <f>AB10*(1+(INDEX(_Growthprojections,MATCH('Detailed Model (LCY)'!$C10,'Model Assumptions'!$C$72:$C$77,0),MATCH('Detailed Model (LCY)'!AC$4,'Model Assumptions'!$C$72:$P$72,0))))</f>
        <v>74.297369798917757</v>
      </c>
      <c r="AD10" s="288">
        <f>AC10*(1+(INDEX(_Growthprojections,MATCH('Detailed Model (LCY)'!$C10,'Model Assumptions'!$C$72:$C$77,0),MATCH('Detailed Model (LCY)'!AD$4,'Model Assumptions'!$C$72:$P$72,0))))</f>
        <v>75.783317194896114</v>
      </c>
      <c r="AE10" s="288">
        <f>AD10*(1+(INDEX(_Growthprojections,MATCH('Detailed Model (LCY)'!$C10,'Model Assumptions'!$C$72:$C$77,0),MATCH('Detailed Model (LCY)'!AE$4,'Model Assumptions'!$C$72:$P$72,0))))</f>
        <v>77.298983538794033</v>
      </c>
      <c r="AF10" s="288">
        <f>AE10*(1+(INDEX(_Growthprojections,MATCH('Detailed Model (LCY)'!$C10,'Model Assumptions'!$C$72:$C$77,0),MATCH('Detailed Model (LCY)'!AF$4,'Model Assumptions'!$C$72:$P$72,0))))</f>
        <v>78.844963209569912</v>
      </c>
      <c r="AG10" s="288">
        <f>AF10*(1+(INDEX(_Growthprojections,MATCH('Detailed Model (LCY)'!$C10,'Model Assumptions'!$C$72:$C$77,0),MATCH('Detailed Model (LCY)'!AG$4,'Model Assumptions'!$C$72:$P$72,0))))</f>
        <v>80.421862473761308</v>
      </c>
      <c r="AH10" s="288">
        <f>AG10*(1+(INDEX(_Growthprojections,MATCH('Detailed Model (LCY)'!$C10,'Model Assumptions'!$C$72:$C$77,0),MATCH('Detailed Model (LCY)'!AH$4,'Model Assumptions'!$C$72:$P$72,0))))</f>
        <v>82.030299723236539</v>
      </c>
      <c r="AI10" s="288">
        <f>AH10*(1+(INDEX(_Growthprojections,MATCH('Detailed Model (LCY)'!$C10,'Model Assumptions'!$C$72:$C$77,0),MATCH('Detailed Model (LCY)'!AI$4,'Model Assumptions'!$C$72:$P$72,0))))</f>
        <v>83.670905717701274</v>
      </c>
      <c r="AJ10" s="288">
        <f>AI10*(1+(INDEX(_Growthprojections,MATCH('Detailed Model (LCY)'!$C10,'Model Assumptions'!$C$72:$C$77,0),MATCH('Detailed Model (LCY)'!AJ$4,'Model Assumptions'!$C$72:$P$72,0))))</f>
        <v>85.344323832055295</v>
      </c>
      <c r="AK10" s="288">
        <f>AJ10*(1+(INDEX(_Growthprojections,MATCH('Detailed Model (LCY)'!$C10,'Model Assumptions'!$C$72:$C$77,0),MATCH('Detailed Model (LCY)'!AK$4,'Model Assumptions'!$C$72:$P$72,0))))</f>
        <v>87.051210308696398</v>
      </c>
      <c r="AL10" s="288">
        <f>AK10*(1+(INDEX(_Growthprojections,MATCH('Detailed Model (LCY)'!$C10,'Model Assumptions'!$C$72:$C$77,0),MATCH('Detailed Model (LCY)'!AL$4,'Model Assumptions'!$C$72:$P$72,0))))</f>
        <v>88.79223451487033</v>
      </c>
      <c r="AM10" s="288">
        <f>AL10*(1+(INDEX(_Growthprojections,MATCH('Detailed Model (LCY)'!$C10,'Model Assumptions'!$C$72:$C$77,0),MATCH('Detailed Model (LCY)'!AM$4,'Model Assumptions'!$C$72:$P$72,0))))</f>
        <v>90.568079205167734</v>
      </c>
      <c r="AN10" s="288">
        <f>AM10*(1+(INDEX(_Growthprojections,MATCH('Detailed Model (LCY)'!$C10,'Model Assumptions'!$C$72:$C$77,0),MATCH('Detailed Model (LCY)'!AN$4,'Model Assumptions'!$C$72:$P$72,0))))</f>
        <v>92.379440789271086</v>
      </c>
      <c r="AO10" s="288">
        <f>AN10*(1+(INDEX(_Growthprojections,MATCH('Detailed Model (LCY)'!$C10,'Model Assumptions'!$C$72:$C$77,0),MATCH('Detailed Model (LCY)'!AO$4,'Model Assumptions'!$C$72:$P$72,0))))</f>
        <v>94.227029605056515</v>
      </c>
      <c r="AP10" s="288">
        <f>AO10*(1+(INDEX(_Growthprojections,MATCH('Detailed Model (LCY)'!$C10,'Model Assumptions'!$C$72:$C$77,0),MATCH('Detailed Model (LCY)'!AP$4,'Model Assumptions'!$C$72:$P$72,0))))</f>
        <v>96.111570197157647</v>
      </c>
      <c r="AQ10" s="288">
        <f>AP10*(1+(INDEX(_Growthprojections,MATCH('Detailed Model (LCY)'!$C10,'Model Assumptions'!$C$72:$C$77,0),MATCH('Detailed Model (LCY)'!AQ$4,'Model Assumptions'!$C$72:$P$72,0))))</f>
        <v>98.033801601100805</v>
      </c>
      <c r="AR10" s="288">
        <f>AQ10*(1+(INDEX(_Growthprojections,MATCH('Detailed Model (LCY)'!$C10,'Model Assumptions'!$C$72:$C$77,0),MATCH('Detailed Model (LCY)'!AR$4,'Model Assumptions'!$C$72:$P$72,0))))</f>
        <v>99.994477633122827</v>
      </c>
      <c r="AS10" s="288">
        <f>AR10*(1+(INDEX(_Growthprojections,MATCH('Detailed Model (LCY)'!$C10,'Model Assumptions'!$C$72:$C$77,0),MATCH('Detailed Model (LCY)'!AS$4,'Model Assumptions'!$C$72:$P$72,0))))</f>
        <v>101.99436718578528</v>
      </c>
      <c r="AT10" s="288">
        <f>AS10*(1+(INDEX(_Growthprojections,MATCH('Detailed Model (LCY)'!$C10,'Model Assumptions'!$C$72:$C$77,0),MATCH('Detailed Model (LCY)'!AT$4,'Model Assumptions'!$C$72:$P$72,0))))</f>
        <v>104.03425452950098</v>
      </c>
      <c r="AU10" s="288">
        <f>AT10*(1+(INDEX(_Growthprojections,MATCH('Detailed Model (LCY)'!$C10,'Model Assumptions'!$C$72:$C$77,0),MATCH('Detailed Model (LCY)'!AU$4,'Model Assumptions'!$C$72:$P$72,0))))</f>
        <v>106.11493962009101</v>
      </c>
      <c r="AV10" s="288">
        <f>AU10*(1+(INDEX(_Growthprojections,MATCH('Detailed Model (LCY)'!$C10,'Model Assumptions'!$C$72:$C$77,0),MATCH('Detailed Model (LCY)'!AV$4,'Model Assumptions'!$C$72:$P$72,0))))</f>
        <v>108.23723841249283</v>
      </c>
      <c r="AW10" s="288">
        <f>AV10*(1+(INDEX(_Growthprojections,MATCH('Detailed Model (LCY)'!$C10,'Model Assumptions'!$C$72:$C$77,0),MATCH('Detailed Model (LCY)'!AW$4,'Model Assumptions'!$C$72:$P$72,0))))</f>
        <v>110.40198318074269</v>
      </c>
      <c r="AX10" s="288">
        <f>AW10*(1+(INDEX(_Growthprojections,MATCH('Detailed Model (LCY)'!$C10,'Model Assumptions'!$C$72:$C$77,0),MATCH('Detailed Model (LCY)'!AX$4,'Model Assumptions'!$C$72:$P$72,0))))</f>
        <v>112.61002284435754</v>
      </c>
      <c r="AY10" s="288">
        <f>AX10*(1+(INDEX(_Growthprojections,MATCH('Detailed Model (LCY)'!$C10,'Model Assumptions'!$C$72:$C$77,0),MATCH('Detailed Model (LCY)'!AY$4,'Model Assumptions'!$C$72:$P$72,0))))</f>
        <v>114.8622233012447</v>
      </c>
      <c r="AZ10" s="288">
        <f>AY10*(1+(INDEX(_Growthprojections,MATCH('Detailed Model (LCY)'!$C10,'Model Assumptions'!$C$72:$C$77,0),MATCH('Detailed Model (LCY)'!AZ$4,'Model Assumptions'!$C$72:$P$72,0))))</f>
        <v>117.15946776726959</v>
      </c>
      <c r="BA10" s="288">
        <f>AZ10*(1+(INDEX(_Growthprojections,MATCH('Detailed Model (LCY)'!$C10,'Model Assumptions'!$C$72:$C$77,0),MATCH('Detailed Model (LCY)'!BA$4,'Model Assumptions'!$C$72:$P$72,0))))</f>
        <v>119.50265712261498</v>
      </c>
      <c r="BB10" s="288">
        <f>BA10*(1+(INDEX(_Growthprojections,MATCH('Detailed Model (LCY)'!$C10,'Model Assumptions'!$C$72:$C$77,0),MATCH('Detailed Model (LCY)'!BB$4,'Model Assumptions'!$C$72:$P$72,0))))</f>
        <v>121.89271026506728</v>
      </c>
      <c r="BC10" s="288">
        <f>BB10*(1+(INDEX(_Growthprojections,MATCH('Detailed Model (LCY)'!$C10,'Model Assumptions'!$C$72:$C$77,0),MATCH('Detailed Model (LCY)'!BC$4,'Model Assumptions'!$C$72:$P$72,0))))</f>
        <v>124.33056447036863</v>
      </c>
      <c r="BD10" s="288">
        <f>BC10*(1+(INDEX(_Growthprojections,MATCH('Detailed Model (LCY)'!$C10,'Model Assumptions'!$C$72:$C$77,0),MATCH('Detailed Model (LCY)'!BD$4,'Model Assumptions'!$C$72:$P$72,0))))</f>
        <v>126.81717575977601</v>
      </c>
      <c r="BE10" s="288">
        <f>BD10*(1+(INDEX(_Growthprojections,MATCH('Detailed Model (LCY)'!$C10,'Model Assumptions'!$C$72:$C$77,0),MATCH('Detailed Model (LCY)'!BE$4,'Model Assumptions'!$C$72:$P$72,0))))</f>
        <v>129.35351927497152</v>
      </c>
      <c r="BF10" s="288">
        <f>BE10*(1+(INDEX(_Growthprojections,MATCH('Detailed Model (LCY)'!$C10,'Model Assumptions'!$C$72:$C$77,0),MATCH('Detailed Model (LCY)'!BF$4,'Model Assumptions'!$C$72:$P$72,0))))</f>
        <v>131.94058966047095</v>
      </c>
      <c r="BG10" s="288">
        <f>BF10*(1+(INDEX(_Growthprojections,MATCH('Detailed Model (LCY)'!$C10,'Model Assumptions'!$C$72:$C$77,0),MATCH('Detailed Model (LCY)'!BG$4,'Model Assumptions'!$C$72:$P$72,0))))</f>
        <v>134.57940145368036</v>
      </c>
      <c r="BH10" s="288">
        <f>BG10*(1+(INDEX(_Growthprojections,MATCH('Detailed Model (LCY)'!$C10,'Model Assumptions'!$C$72:$C$77,0),MATCH('Detailed Model (LCY)'!BH$4,'Model Assumptions'!$C$72:$P$72,0))))</f>
        <v>137.27098948275398</v>
      </c>
      <c r="BI10" s="288">
        <f>BH10*(1+(INDEX(_Growthprojections,MATCH('Detailed Model (LCY)'!$C10,'Model Assumptions'!$C$72:$C$77,0),MATCH('Detailed Model (LCY)'!BI$4,'Model Assumptions'!$C$72:$P$72,0))))</f>
        <v>140.01640927240905</v>
      </c>
      <c r="BJ10" s="288">
        <f>BI10*(1+(INDEX(_Growthprojections,MATCH('Detailed Model (LCY)'!$C10,'Model Assumptions'!$C$72:$C$77,0),MATCH('Detailed Model (LCY)'!BJ$4,'Model Assumptions'!$C$72:$P$72,0))))</f>
        <v>142.81673745785724</v>
      </c>
      <c r="BK10" s="288">
        <f>BJ10*(1+(INDEX(_Growthprojections,MATCH('Detailed Model (LCY)'!$C10,'Model Assumptions'!$C$72:$C$77,0),MATCH('Detailed Model (LCY)'!BK$4,'Model Assumptions'!$C$72:$P$72,0))))</f>
        <v>145.6730722070144</v>
      </c>
      <c r="BL10" s="288">
        <f>BK10*(1+(INDEX(_Growthprojections,MATCH('Detailed Model (LCY)'!$C10,'Model Assumptions'!$C$72:$C$77,0),MATCH('Detailed Model (LCY)'!BL$4,'Model Assumptions'!$C$72:$P$72,0))))</f>
        <v>148.5865336511547</v>
      </c>
      <c r="BM10" s="288">
        <f>BL10*(1+(INDEX(_Growthprojections,MATCH('Detailed Model (LCY)'!$C10,'Model Assumptions'!$C$72:$C$77,0),MATCH('Detailed Model (LCY)'!BM$4,'Model Assumptions'!$C$72:$P$72,0))))</f>
        <v>151.5582643241778</v>
      </c>
      <c r="BN10" s="288">
        <f>BM10*(1+(INDEX(_Growthprojections,MATCH('Detailed Model (LCY)'!$C10,'Model Assumptions'!$C$72:$C$77,0),MATCH('Detailed Model (LCY)'!BN$4,'Model Assumptions'!$C$72:$P$72,0))))</f>
        <v>154.58942961066137</v>
      </c>
      <c r="BO10" s="288">
        <f>BN10*(1+(INDEX(_Growthprojections,MATCH('Detailed Model (LCY)'!$C10,'Model Assumptions'!$C$72:$C$77,0),MATCH('Detailed Model (LCY)'!BO$4,'Model Assumptions'!$C$72:$P$72,0))))</f>
        <v>157.68121820287459</v>
      </c>
      <c r="BP10" s="288">
        <f>BO10*(1+(INDEX(_Growthprojections,MATCH('Detailed Model (LCY)'!$C10,'Model Assumptions'!$C$72:$C$77,0),MATCH('Detailed Model (LCY)'!BP$4,'Model Assumptions'!$C$72:$P$72,0))))</f>
        <v>160.83484256693208</v>
      </c>
      <c r="BQ10" s="288">
        <f>BP10*(1+(INDEX(_Growthprojections,MATCH('Detailed Model (LCY)'!$C10,'Model Assumptions'!$C$72:$C$77,0),MATCH('Detailed Model (LCY)'!BQ$4,'Model Assumptions'!$C$72:$P$72,0))))</f>
        <v>164.05153941827072</v>
      </c>
      <c r="BR10" s="288">
        <f>BQ10*(1+(INDEX(_Growthprojections,MATCH('Detailed Model (LCY)'!$C10,'Model Assumptions'!$C$72:$C$77,0),MATCH('Detailed Model (LCY)'!BR$4,'Model Assumptions'!$C$72:$P$72,0))))</f>
        <v>164.05153941827072</v>
      </c>
      <c r="BS10" s="288">
        <f>BR10*(1+(INDEX(_Growthprojections,MATCH('Detailed Model (LCY)'!$C10,'Model Assumptions'!$C$72:$C$77,0),MATCH('Detailed Model (LCY)'!BS$4,'Model Assumptions'!$C$72:$P$72,0))))</f>
        <v>164.05153941827072</v>
      </c>
      <c r="BT10" s="288">
        <f>BS10*(1+(INDEX(_Growthprojections,MATCH('Detailed Model (LCY)'!$C10,'Model Assumptions'!$C$72:$C$77,0),MATCH('Detailed Model (LCY)'!BT$4,'Model Assumptions'!$C$72:$P$72,0))))</f>
        <v>164.05153941827072</v>
      </c>
      <c r="BU10" s="288">
        <f>BT10*(1+(INDEX(_Growthprojections,MATCH('Detailed Model (LCY)'!$C10,'Model Assumptions'!$C$72:$C$77,0),MATCH('Detailed Model (LCY)'!BU$4,'Model Assumptions'!$C$72:$P$72,0))))</f>
        <v>164.05153941827072</v>
      </c>
      <c r="BV10" s="288">
        <f>BU10*(1+(INDEX(_Growthprojections,MATCH('Detailed Model (LCY)'!$C10,'Model Assumptions'!$C$72:$C$77,0),MATCH('Detailed Model (LCY)'!BV$4,'Model Assumptions'!$C$72:$P$72,0))))</f>
        <v>164.05153941827072</v>
      </c>
      <c r="BW10" s="288">
        <f>BV10*(1+(INDEX(_Growthprojections,MATCH('Detailed Model (LCY)'!$C10,'Model Assumptions'!$C$72:$C$77,0),MATCH('Detailed Model (LCY)'!BW$4,'Model Assumptions'!$C$72:$P$72,0))))</f>
        <v>164.05153941827072</v>
      </c>
      <c r="BX10" s="288">
        <f>BW10*(1+(INDEX(_Growthprojections,MATCH('Detailed Model (LCY)'!$C10,'Model Assumptions'!$C$72:$C$77,0),MATCH('Detailed Model (LCY)'!BX$4,'Model Assumptions'!$C$72:$P$72,0))))</f>
        <v>164.05153941827072</v>
      </c>
      <c r="BY10" s="288">
        <f>BX10*(1+(INDEX(_Growthprojections,MATCH('Detailed Model (LCY)'!$C10,'Model Assumptions'!$C$72:$C$77,0),MATCH('Detailed Model (LCY)'!BY$4,'Model Assumptions'!$C$72:$P$72,0))))</f>
        <v>164.05153941827072</v>
      </c>
      <c r="BZ10" s="288">
        <f>BY10*(1+(INDEX(_Growthprojections,MATCH('Detailed Model (LCY)'!$C10,'Model Assumptions'!$C$72:$C$77,0),MATCH('Detailed Model (LCY)'!BZ$4,'Model Assumptions'!$C$72:$P$72,0))))</f>
        <v>164.05153941827072</v>
      </c>
      <c r="CA10" s="288">
        <f>BZ10*(1+(INDEX(_Growthprojections,MATCH('Detailed Model (LCY)'!$C10,'Model Assumptions'!$C$72:$C$77,0),MATCH('Detailed Model (LCY)'!CA$4,'Model Assumptions'!$C$72:$P$72,0))))</f>
        <v>164.05153941827072</v>
      </c>
      <c r="CB10" s="288">
        <f>CA10*(1+(INDEX(_Growthprojections,MATCH('Detailed Model (LCY)'!$C10,'Model Assumptions'!$C$72:$C$77,0),MATCH('Detailed Model (LCY)'!CB$4,'Model Assumptions'!$C$72:$P$72,0))))</f>
        <v>164.05153941827072</v>
      </c>
      <c r="CC10" s="288">
        <f>CB10*(1+(INDEX(_Growthprojections,MATCH('Detailed Model (LCY)'!$C10,'Model Assumptions'!$C$72:$C$77,0),MATCH('Detailed Model (LCY)'!CC$4,'Model Assumptions'!$C$72:$P$72,0))))</f>
        <v>164.05153941827072</v>
      </c>
      <c r="CD10" s="288">
        <f>CC10*(1+(INDEX(_Growthprojections,MATCH('Detailed Model (LCY)'!$C10,'Model Assumptions'!$C$72:$C$77,0),MATCH('Detailed Model (LCY)'!CD$4,'Model Assumptions'!$C$72:$P$72,0))))</f>
        <v>164.05153941827072</v>
      </c>
      <c r="CE10" s="288">
        <f>CD10*(1+(INDEX(_Growthprojections,MATCH('Detailed Model (LCY)'!$C10,'Model Assumptions'!$C$72:$C$77,0),MATCH('Detailed Model (LCY)'!CE$4,'Model Assumptions'!$C$72:$P$72,0))))</f>
        <v>164.05153941827072</v>
      </c>
      <c r="CF10" s="288">
        <f>CE10*(1+(INDEX(_Growthprojections,MATCH('Detailed Model (LCY)'!$C10,'Model Assumptions'!$C$72:$C$77,0),MATCH('Detailed Model (LCY)'!CF$4,'Model Assumptions'!$C$72:$P$72,0))))</f>
        <v>164.05153941827072</v>
      </c>
      <c r="CG10" s="288">
        <f>CF10*(1+(INDEX(_Growthprojections,MATCH('Detailed Model (LCY)'!$C10,'Model Assumptions'!$C$72:$C$77,0),MATCH('Detailed Model (LCY)'!CG$4,'Model Assumptions'!$C$72:$P$72,0))))</f>
        <v>164.05153941827072</v>
      </c>
      <c r="CH10" s="288">
        <f>CG10*(1+(INDEX(_Growthprojections,MATCH('Detailed Model (LCY)'!$C10,'Model Assumptions'!$C$72:$C$77,0),MATCH('Detailed Model (LCY)'!CH$4,'Model Assumptions'!$C$72:$P$72,0))))</f>
        <v>164.05153941827072</v>
      </c>
      <c r="CI10" s="288">
        <f>CH10*(1+(INDEX(_Growthprojections,MATCH('Detailed Model (LCY)'!$C10,'Model Assumptions'!$C$72:$C$77,0),MATCH('Detailed Model (LCY)'!CI$4,'Model Assumptions'!$C$72:$P$72,0))))</f>
        <v>164.05153941827072</v>
      </c>
      <c r="CJ10" s="288">
        <f>CI10*(1+(INDEX(_Growthprojections,MATCH('Detailed Model (LCY)'!$C10,'Model Assumptions'!$C$72:$C$77,0),MATCH('Detailed Model (LCY)'!CJ$4,'Model Assumptions'!$C$72:$P$72,0))))</f>
        <v>164.05153941827072</v>
      </c>
      <c r="CK10" s="288">
        <f>CJ10*(1+(INDEX(_Growthprojections,MATCH('Detailed Model (LCY)'!$C10,'Model Assumptions'!$C$72:$C$77,0),MATCH('Detailed Model (LCY)'!CK$4,'Model Assumptions'!$C$72:$P$72,0))))</f>
        <v>164.05153941827072</v>
      </c>
      <c r="CL10" s="288">
        <f>CK10*(1+(INDEX(_Growthprojections,MATCH('Detailed Model (LCY)'!$C10,'Model Assumptions'!$C$72:$C$77,0),MATCH('Detailed Model (LCY)'!CL$4,'Model Assumptions'!$C$72:$P$72,0))))</f>
        <v>164.05153941827072</v>
      </c>
      <c r="CM10" s="288">
        <f>CL10*(1+(INDEX(_Growthprojections,MATCH('Detailed Model (LCY)'!$C10,'Model Assumptions'!$C$72:$C$77,0),MATCH('Detailed Model (LCY)'!CM$4,'Model Assumptions'!$C$72:$P$72,0))))</f>
        <v>164.05153941827072</v>
      </c>
      <c r="CN10" s="288">
        <f>CM10*(1+(INDEX(_Growthprojections,MATCH('Detailed Model (LCY)'!$C10,'Model Assumptions'!$C$72:$C$77,0),MATCH('Detailed Model (LCY)'!CN$4,'Model Assumptions'!$C$72:$P$72,0))))</f>
        <v>164.05153941827072</v>
      </c>
      <c r="CO10" s="288">
        <f>CN10*(1+(INDEX(_Growthprojections,MATCH('Detailed Model (LCY)'!$C10,'Model Assumptions'!$C$72:$C$77,0),MATCH('Detailed Model (LCY)'!CO$4,'Model Assumptions'!$C$72:$P$72,0))))</f>
        <v>164.05153941827072</v>
      </c>
      <c r="CP10" s="288">
        <f>CO10*(1+(INDEX(_Growthprojections,MATCH('Detailed Model (LCY)'!$C10,'Model Assumptions'!$C$72:$C$77,0),MATCH('Detailed Model (LCY)'!CP$4,'Model Assumptions'!$C$72:$P$72,0))))</f>
        <v>164.05153941827072</v>
      </c>
      <c r="CQ10" s="288">
        <f>CP10*(1+(INDEX(_Growthprojections,MATCH('Detailed Model (LCY)'!$C10,'Model Assumptions'!$C$72:$C$77,0),MATCH('Detailed Model (LCY)'!CQ$4,'Model Assumptions'!$C$72:$P$72,0))))</f>
        <v>164.05153941827072</v>
      </c>
      <c r="CR10" s="288">
        <f>CQ10*(1+(INDEX(_Growthprojections,MATCH('Detailed Model (LCY)'!$C10,'Model Assumptions'!$C$72:$C$77,0),MATCH('Detailed Model (LCY)'!CR$4,'Model Assumptions'!$C$72:$P$72,0))))</f>
        <v>164.05153941827072</v>
      </c>
      <c r="CS10" s="288">
        <f>CR10*(1+(INDEX(_Growthprojections,MATCH('Detailed Model (LCY)'!$C10,'Model Assumptions'!$C$72:$C$77,0),MATCH('Detailed Model (LCY)'!CS$4,'Model Assumptions'!$C$72:$P$72,0))))</f>
        <v>164.05153941827072</v>
      </c>
      <c r="CT10" s="288">
        <f>CS10*(1+(INDEX(_Growthprojections,MATCH('Detailed Model (LCY)'!$C10,'Model Assumptions'!$C$72:$C$77,0),MATCH('Detailed Model (LCY)'!CT$4,'Model Assumptions'!$C$72:$P$72,0))))</f>
        <v>164.05153941827072</v>
      </c>
      <c r="CU10" s="288">
        <f>CT10*(1+(INDEX(_Growthprojections,MATCH('Detailed Model (LCY)'!$C10,'Model Assumptions'!$C$72:$C$77,0),MATCH('Detailed Model (LCY)'!CU$4,'Model Assumptions'!$C$72:$P$72,0))))</f>
        <v>164.05153941827072</v>
      </c>
      <c r="CV10" s="288">
        <f>CU10*(1+(INDEX(_Growthprojections,MATCH('Detailed Model (LCY)'!$C10,'Model Assumptions'!$C$72:$C$77,0),MATCH('Detailed Model (LCY)'!CV$4,'Model Assumptions'!$C$72:$P$72,0))))</f>
        <v>164.05153941827072</v>
      </c>
      <c r="CW10" s="288">
        <f>CV10*(1+(INDEX(_Growthprojections,MATCH('Detailed Model (LCY)'!$C10,'Model Assumptions'!$C$72:$C$77,0),MATCH('Detailed Model (LCY)'!CW$4,'Model Assumptions'!$C$72:$P$72,0))))</f>
        <v>164.05153941827072</v>
      </c>
      <c r="CX10" s="288">
        <f>CW10*(1+(INDEX(_Growthprojections,MATCH('Detailed Model (LCY)'!$C10,'Model Assumptions'!$C$72:$C$77,0),MATCH('Detailed Model (LCY)'!CX$4,'Model Assumptions'!$C$72:$P$72,0))))</f>
        <v>164.05153941827072</v>
      </c>
      <c r="CY10" s="288">
        <f>CX10*(1+(INDEX(_Growthprojections,MATCH('Detailed Model (LCY)'!$C10,'Model Assumptions'!$C$72:$C$77,0),MATCH('Detailed Model (LCY)'!CY$4,'Model Assumptions'!$C$72:$P$72,0))))</f>
        <v>164.05153941827072</v>
      </c>
      <c r="CZ10" s="288">
        <f>CY10*(1+(INDEX(_Growthprojections,MATCH('Detailed Model (LCY)'!$C10,'Model Assumptions'!$C$72:$C$77,0),MATCH('Detailed Model (LCY)'!CZ$4,'Model Assumptions'!$C$72:$P$72,0))))</f>
        <v>164.05153941827072</v>
      </c>
      <c r="DA10" s="288">
        <f>CZ10*(1+(INDEX(_Growthprojections,MATCH('Detailed Model (LCY)'!$C10,'Model Assumptions'!$C$72:$C$77,0),MATCH('Detailed Model (LCY)'!DA$4,'Model Assumptions'!$C$72:$P$72,0))))</f>
        <v>164.05153941827072</v>
      </c>
      <c r="DB10" s="288">
        <f>DA10*(1+(INDEX(_Growthprojections,MATCH('Detailed Model (LCY)'!$C10,'Model Assumptions'!$C$72:$C$77,0),MATCH('Detailed Model (LCY)'!DB$4,'Model Assumptions'!$C$72:$P$72,0))))</f>
        <v>164.05153941827072</v>
      </c>
      <c r="DC10" s="288">
        <f>DB10*(1+(INDEX(_Growthprojections,MATCH('Detailed Model (LCY)'!$C10,'Model Assumptions'!$C$72:$C$77,0),MATCH('Detailed Model (LCY)'!DC$4,'Model Assumptions'!$C$72:$P$72,0))))</f>
        <v>164.05153941827072</v>
      </c>
      <c r="DD10" s="288">
        <f>DC10*(1+(INDEX(_Growthprojections,MATCH('Detailed Model (LCY)'!$C10,'Model Assumptions'!$C$72:$C$77,0),MATCH('Detailed Model (LCY)'!DD$4,'Model Assumptions'!$C$72:$P$72,0))))</f>
        <v>164.05153941827072</v>
      </c>
      <c r="DE10" s="288">
        <f>DD10*(1+(INDEX(_Growthprojections,MATCH('Detailed Model (LCY)'!$C10,'Model Assumptions'!$C$72:$C$77,0),MATCH('Detailed Model (LCY)'!DE$4,'Model Assumptions'!$C$72:$P$72,0))))</f>
        <v>164.05153941827072</v>
      </c>
      <c r="DF10" s="288">
        <f>DE10*(1+(INDEX(_Growthprojections,MATCH('Detailed Model (LCY)'!$C10,'Model Assumptions'!$C$72:$C$77,0),MATCH('Detailed Model (LCY)'!DF$4,'Model Assumptions'!$C$72:$P$72,0))))</f>
        <v>164.05153941827072</v>
      </c>
      <c r="DG10" s="288">
        <f>DF10*(1+(INDEX(_Growthprojections,MATCH('Detailed Model (LCY)'!$C10,'Model Assumptions'!$C$72:$C$77,0),MATCH('Detailed Model (LCY)'!DG$4,'Model Assumptions'!$C$72:$P$72,0))))</f>
        <v>164.05153941827072</v>
      </c>
      <c r="DH10" s="288">
        <f>DG10*(1+(INDEX(_Growthprojections,MATCH('Detailed Model (LCY)'!$C10,'Model Assumptions'!$C$72:$C$77,0),MATCH('Detailed Model (LCY)'!DH$4,'Model Assumptions'!$C$72:$P$72,0))))</f>
        <v>164.05153941827072</v>
      </c>
      <c r="DI10" s="288">
        <f>DH10*(1+(INDEX(_Growthprojections,MATCH('Detailed Model (LCY)'!$C10,'Model Assumptions'!$C$72:$C$77,0),MATCH('Detailed Model (LCY)'!DI$4,'Model Assumptions'!$C$72:$P$72,0))))</f>
        <v>164.05153941827072</v>
      </c>
      <c r="DJ10" s="288">
        <f>DI10*(1+(INDEX(_Growthprojections,MATCH('Detailed Model (LCY)'!$C10,'Model Assumptions'!$C$72:$C$77,0),MATCH('Detailed Model (LCY)'!DJ$4,'Model Assumptions'!$C$72:$P$72,0))))</f>
        <v>164.05153941827072</v>
      </c>
      <c r="DK10" s="288">
        <f>DJ10*(1+(INDEX(_Growthprojections,MATCH('Detailed Model (LCY)'!$C10,'Model Assumptions'!$C$72:$C$77,0),MATCH('Detailed Model (LCY)'!DK$4,'Model Assumptions'!$C$72:$P$72,0))))</f>
        <v>164.05153941827072</v>
      </c>
      <c r="DL10" s="288">
        <f>DK10*(1+(INDEX(_Growthprojections,MATCH('Detailed Model (LCY)'!$C10,'Model Assumptions'!$C$72:$C$77,0),MATCH('Detailed Model (LCY)'!DL$4,'Model Assumptions'!$C$72:$P$72,0))))</f>
        <v>164.05153941827072</v>
      </c>
      <c r="DM10" s="288">
        <f>DL10*(1+(INDEX(_Growthprojections,MATCH('Detailed Model (LCY)'!$C10,'Model Assumptions'!$C$72:$C$77,0),MATCH('Detailed Model (LCY)'!DM$4,'Model Assumptions'!$C$72:$P$72,0))))</f>
        <v>164.05153941827072</v>
      </c>
      <c r="DN10" s="288">
        <f>DM10*(1+(INDEX(_Growthprojections,MATCH('Detailed Model (LCY)'!$C10,'Model Assumptions'!$C$72:$C$77,0),MATCH('Detailed Model (LCY)'!DN$4,'Model Assumptions'!$C$72:$P$72,0))))</f>
        <v>164.05153941827072</v>
      </c>
      <c r="DO10" s="288">
        <f>DN10*(1+(INDEX(_Growthprojections,MATCH('Detailed Model (LCY)'!$C10,'Model Assumptions'!$C$72:$C$77,0),MATCH('Detailed Model (LCY)'!DO$4,'Model Assumptions'!$C$72:$P$72,0))))</f>
        <v>164.05153941827072</v>
      </c>
      <c r="DP10" s="288">
        <f>DO10*(1+(INDEX(_Growthprojections,MATCH('Detailed Model (LCY)'!$C10,'Model Assumptions'!$C$72:$C$77,0),MATCH('Detailed Model (LCY)'!DP$4,'Model Assumptions'!$C$72:$P$72,0))))</f>
        <v>164.05153941827072</v>
      </c>
      <c r="DQ10" s="288">
        <f>DP10*(1+(INDEX(_Growthprojections,MATCH('Detailed Model (LCY)'!$C10,'Model Assumptions'!$C$72:$C$77,0),MATCH('Detailed Model (LCY)'!DQ$4,'Model Assumptions'!$C$72:$P$72,0))))</f>
        <v>164.05153941827072</v>
      </c>
      <c r="DR10" s="288">
        <f>DQ10*(1+(INDEX(_Growthprojections,MATCH('Detailed Model (LCY)'!$C10,'Model Assumptions'!$C$72:$C$77,0),MATCH('Detailed Model (LCY)'!DR$4,'Model Assumptions'!$C$72:$P$72,0))))</f>
        <v>164.05153941827072</v>
      </c>
      <c r="DS10" s="288">
        <f>DR10*(1+(INDEX(_Growthprojections,MATCH('Detailed Model (LCY)'!$C10,'Model Assumptions'!$C$72:$C$77,0),MATCH('Detailed Model (LCY)'!DS$4,'Model Assumptions'!$C$72:$P$72,0))))</f>
        <v>164.05153941827072</v>
      </c>
      <c r="DT10" s="288">
        <f>DS10*(1+(INDEX(_Growthprojections,MATCH('Detailed Model (LCY)'!$C10,'Model Assumptions'!$C$72:$C$77,0),MATCH('Detailed Model (LCY)'!DT$4,'Model Assumptions'!$C$72:$P$72,0))))</f>
        <v>164.05153941827072</v>
      </c>
      <c r="DU10" s="288">
        <f>DT10*(1+(INDEX(_Growthprojections,MATCH('Detailed Model (LCY)'!$C10,'Model Assumptions'!$C$72:$C$77,0),MATCH('Detailed Model (LCY)'!DU$4,'Model Assumptions'!$C$72:$P$72,0))))</f>
        <v>164.05153941827072</v>
      </c>
      <c r="DV10" s="288">
        <f>DU10*(1+(INDEX(_Growthprojections,MATCH('Detailed Model (LCY)'!$C10,'Model Assumptions'!$C$72:$C$77,0),MATCH('Detailed Model (LCY)'!DV$4,'Model Assumptions'!$C$72:$P$72,0))))</f>
        <v>164.05153941827072</v>
      </c>
      <c r="DW10" s="288">
        <f>DV10*(1+(INDEX(_Growthprojections,MATCH('Detailed Model (LCY)'!$C10,'Model Assumptions'!$C$72:$C$77,0),MATCH('Detailed Model (LCY)'!DW$4,'Model Assumptions'!$C$72:$P$72,0))))</f>
        <v>164.05153941827072</v>
      </c>
      <c r="DX10" s="288">
        <f>DW10*(1+(INDEX(_Growthprojections,MATCH('Detailed Model (LCY)'!$C10,'Model Assumptions'!$C$72:$C$77,0),MATCH('Detailed Model (LCY)'!DX$4,'Model Assumptions'!$C$72:$P$72,0))))</f>
        <v>164.05153941827072</v>
      </c>
      <c r="DY10" s="288">
        <f>DX10*(1+(INDEX(_Growthprojections,MATCH('Detailed Model (LCY)'!$C10,'Model Assumptions'!$C$72:$C$77,0),MATCH('Detailed Model (LCY)'!DY$4,'Model Assumptions'!$C$72:$P$72,0))))</f>
        <v>164.05153941827072</v>
      </c>
    </row>
    <row r="11" spans="1:129" s="19" customFormat="1" outlineLevel="1">
      <c r="A11" s="20"/>
      <c r="B11" s="14"/>
      <c r="C11" s="114" t="str">
        <f>'Model Assumptions'!$J$24</f>
        <v>Product 4</v>
      </c>
      <c r="D11" s="285"/>
      <c r="E11" s="286" t="s">
        <v>448</v>
      </c>
      <c r="F11" s="30"/>
      <c r="G11" s="14"/>
      <c r="H11" s="14"/>
      <c r="I11" s="584">
        <f>startP4</f>
        <v>200</v>
      </c>
      <c r="J11" s="288">
        <f>I11*(1+(INDEX(_Growthprojections,MATCH('Detailed Model (LCY)'!$C11,'Model Assumptions'!$C$72:$C$77,0),MATCH('Detailed Model (LCY)'!J$4,'Model Assumptions'!$C$72:$P$72,0))))</f>
        <v>204</v>
      </c>
      <c r="K11" s="288">
        <f>J11*(1+(INDEX(_Growthprojections,MATCH('Detailed Model (LCY)'!$C11,'Model Assumptions'!$C$72:$C$77,0),MATCH('Detailed Model (LCY)'!K$4,'Model Assumptions'!$C$72:$P$72,0))))</f>
        <v>208.08</v>
      </c>
      <c r="L11" s="288">
        <f>K11*(1+(INDEX(_Growthprojections,MATCH('Detailed Model (LCY)'!$C11,'Model Assumptions'!$C$72:$C$77,0),MATCH('Detailed Model (LCY)'!L$4,'Model Assumptions'!$C$72:$P$72,0))))</f>
        <v>212.24160000000001</v>
      </c>
      <c r="M11" s="288">
        <f>L11*(1+(INDEX(_Growthprojections,MATCH('Detailed Model (LCY)'!$C11,'Model Assumptions'!$C$72:$C$77,0),MATCH('Detailed Model (LCY)'!M$4,'Model Assumptions'!$C$72:$P$72,0))))</f>
        <v>216.48643200000001</v>
      </c>
      <c r="N11" s="288">
        <f>M11*(1+(INDEX(_Growthprojections,MATCH('Detailed Model (LCY)'!$C11,'Model Assumptions'!$C$72:$C$77,0),MATCH('Detailed Model (LCY)'!N$4,'Model Assumptions'!$C$72:$P$72,0))))</f>
        <v>220.81616064000002</v>
      </c>
      <c r="O11" s="288">
        <f>N11*(1+(INDEX(_Growthprojections,MATCH('Detailed Model (LCY)'!$C11,'Model Assumptions'!$C$72:$C$77,0),MATCH('Detailed Model (LCY)'!O$4,'Model Assumptions'!$C$72:$P$72,0))))</f>
        <v>225.23248385280002</v>
      </c>
      <c r="P11" s="288">
        <f>O11*(1+(INDEX(_Growthprojections,MATCH('Detailed Model (LCY)'!$C11,'Model Assumptions'!$C$72:$C$77,0),MATCH('Detailed Model (LCY)'!P$4,'Model Assumptions'!$C$72:$P$72,0))))</f>
        <v>229.73713352985601</v>
      </c>
      <c r="Q11" s="288">
        <f>P11*(1+(INDEX(_Growthprojections,MATCH('Detailed Model (LCY)'!$C11,'Model Assumptions'!$C$72:$C$77,0),MATCH('Detailed Model (LCY)'!Q$4,'Model Assumptions'!$C$72:$P$72,0))))</f>
        <v>234.33187620045314</v>
      </c>
      <c r="R11" s="288">
        <f>Q11*(1+(INDEX(_Growthprojections,MATCH('Detailed Model (LCY)'!$C11,'Model Assumptions'!$C$72:$C$77,0),MATCH('Detailed Model (LCY)'!R$4,'Model Assumptions'!$C$72:$P$72,0))))</f>
        <v>239.0185137244622</v>
      </c>
      <c r="S11" s="288">
        <f>R11*(1+(INDEX(_Growthprojections,MATCH('Detailed Model (LCY)'!$C11,'Model Assumptions'!$C$72:$C$77,0),MATCH('Detailed Model (LCY)'!S$4,'Model Assumptions'!$C$72:$P$72,0))))</f>
        <v>243.79888399895145</v>
      </c>
      <c r="T11" s="288">
        <f>S11*(1+(INDEX(_Growthprojections,MATCH('Detailed Model (LCY)'!$C11,'Model Assumptions'!$C$72:$C$77,0),MATCH('Detailed Model (LCY)'!T$4,'Model Assumptions'!$C$72:$P$72,0))))</f>
        <v>248.67486167893048</v>
      </c>
      <c r="U11" s="288">
        <f>T11*(1+(INDEX(_Growthprojections,MATCH('Detailed Model (LCY)'!$C11,'Model Assumptions'!$C$72:$C$77,0),MATCH('Detailed Model (LCY)'!U$4,'Model Assumptions'!$C$72:$P$72,0))))</f>
        <v>253.64835891250911</v>
      </c>
      <c r="V11" s="288">
        <f>U11*(1+(INDEX(_Growthprojections,MATCH('Detailed Model (LCY)'!$C11,'Model Assumptions'!$C$72:$C$77,0),MATCH('Detailed Model (LCY)'!V$4,'Model Assumptions'!$C$72:$P$72,0))))</f>
        <v>258.72132609075931</v>
      </c>
      <c r="W11" s="288">
        <f>V11*(1+(INDEX(_Growthprojections,MATCH('Detailed Model (LCY)'!$C11,'Model Assumptions'!$C$72:$C$77,0),MATCH('Detailed Model (LCY)'!W$4,'Model Assumptions'!$C$72:$P$72,0))))</f>
        <v>263.89575261257448</v>
      </c>
      <c r="X11" s="288">
        <f>W11*(1+(INDEX(_Growthprojections,MATCH('Detailed Model (LCY)'!$C11,'Model Assumptions'!$C$72:$C$77,0),MATCH('Detailed Model (LCY)'!X$4,'Model Assumptions'!$C$72:$P$72,0))))</f>
        <v>269.17366766482598</v>
      </c>
      <c r="Y11" s="288">
        <f>X11*(1+(INDEX(_Growthprojections,MATCH('Detailed Model (LCY)'!$C11,'Model Assumptions'!$C$72:$C$77,0),MATCH('Detailed Model (LCY)'!Y$4,'Model Assumptions'!$C$72:$P$72,0))))</f>
        <v>274.55714101812254</v>
      </c>
      <c r="Z11" s="288">
        <f>Y11*(1+(INDEX(_Growthprojections,MATCH('Detailed Model (LCY)'!$C11,'Model Assumptions'!$C$72:$C$77,0),MATCH('Detailed Model (LCY)'!Z$4,'Model Assumptions'!$C$72:$P$72,0))))</f>
        <v>280.04828383848502</v>
      </c>
      <c r="AA11" s="288">
        <f>Z11*(1+(INDEX(_Growthprojections,MATCH('Detailed Model (LCY)'!$C11,'Model Assumptions'!$C$72:$C$77,0),MATCH('Detailed Model (LCY)'!AA$4,'Model Assumptions'!$C$72:$P$72,0))))</f>
        <v>285.64924951525472</v>
      </c>
      <c r="AB11" s="288">
        <f>AA11*(1+(INDEX(_Growthprojections,MATCH('Detailed Model (LCY)'!$C11,'Model Assumptions'!$C$72:$C$77,0),MATCH('Detailed Model (LCY)'!AB$4,'Model Assumptions'!$C$72:$P$72,0))))</f>
        <v>291.3622345055598</v>
      </c>
      <c r="AC11" s="288">
        <f>AB11*(1+(INDEX(_Growthprojections,MATCH('Detailed Model (LCY)'!$C11,'Model Assumptions'!$C$72:$C$77,0),MATCH('Detailed Model (LCY)'!AC$4,'Model Assumptions'!$C$72:$P$72,0))))</f>
        <v>297.18947919567103</v>
      </c>
      <c r="AD11" s="288">
        <f>AC11*(1+(INDEX(_Growthprojections,MATCH('Detailed Model (LCY)'!$C11,'Model Assumptions'!$C$72:$C$77,0),MATCH('Detailed Model (LCY)'!AD$4,'Model Assumptions'!$C$72:$P$72,0))))</f>
        <v>303.13326877958445</v>
      </c>
      <c r="AE11" s="288">
        <f>AD11*(1+(INDEX(_Growthprojections,MATCH('Detailed Model (LCY)'!$C11,'Model Assumptions'!$C$72:$C$77,0),MATCH('Detailed Model (LCY)'!AE$4,'Model Assumptions'!$C$72:$P$72,0))))</f>
        <v>309.19593415517613</v>
      </c>
      <c r="AF11" s="288">
        <f>AE11*(1+(INDEX(_Growthprojections,MATCH('Detailed Model (LCY)'!$C11,'Model Assumptions'!$C$72:$C$77,0),MATCH('Detailed Model (LCY)'!AF$4,'Model Assumptions'!$C$72:$P$72,0))))</f>
        <v>315.37985283827965</v>
      </c>
      <c r="AG11" s="288">
        <f>AF11*(1+(INDEX(_Growthprojections,MATCH('Detailed Model (LCY)'!$C11,'Model Assumptions'!$C$72:$C$77,0),MATCH('Detailed Model (LCY)'!AG$4,'Model Assumptions'!$C$72:$P$72,0))))</f>
        <v>321.68744989504523</v>
      </c>
      <c r="AH11" s="288">
        <f>AG11*(1+(INDEX(_Growthprojections,MATCH('Detailed Model (LCY)'!$C11,'Model Assumptions'!$C$72:$C$77,0),MATCH('Detailed Model (LCY)'!AH$4,'Model Assumptions'!$C$72:$P$72,0))))</f>
        <v>328.12119889294615</v>
      </c>
      <c r="AI11" s="288">
        <f>AH11*(1+(INDEX(_Growthprojections,MATCH('Detailed Model (LCY)'!$C11,'Model Assumptions'!$C$72:$C$77,0),MATCH('Detailed Model (LCY)'!AI$4,'Model Assumptions'!$C$72:$P$72,0))))</f>
        <v>334.6836228708051</v>
      </c>
      <c r="AJ11" s="288">
        <f>AI11*(1+(INDEX(_Growthprojections,MATCH('Detailed Model (LCY)'!$C11,'Model Assumptions'!$C$72:$C$77,0),MATCH('Detailed Model (LCY)'!AJ$4,'Model Assumptions'!$C$72:$P$72,0))))</f>
        <v>341.37729532822118</v>
      </c>
      <c r="AK11" s="288">
        <f>AJ11*(1+(INDEX(_Growthprojections,MATCH('Detailed Model (LCY)'!$C11,'Model Assumptions'!$C$72:$C$77,0),MATCH('Detailed Model (LCY)'!AK$4,'Model Assumptions'!$C$72:$P$72,0))))</f>
        <v>348.20484123478559</v>
      </c>
      <c r="AL11" s="288">
        <f>AK11*(1+(INDEX(_Growthprojections,MATCH('Detailed Model (LCY)'!$C11,'Model Assumptions'!$C$72:$C$77,0),MATCH('Detailed Model (LCY)'!AL$4,'Model Assumptions'!$C$72:$P$72,0))))</f>
        <v>355.16893805948132</v>
      </c>
      <c r="AM11" s="288">
        <f>AL11*(1+(INDEX(_Growthprojections,MATCH('Detailed Model (LCY)'!$C11,'Model Assumptions'!$C$72:$C$77,0),MATCH('Detailed Model (LCY)'!AM$4,'Model Assumptions'!$C$72:$P$72,0))))</f>
        <v>362.27231682067094</v>
      </c>
      <c r="AN11" s="288">
        <f>AM11*(1+(INDEX(_Growthprojections,MATCH('Detailed Model (LCY)'!$C11,'Model Assumptions'!$C$72:$C$77,0),MATCH('Detailed Model (LCY)'!AN$4,'Model Assumptions'!$C$72:$P$72,0))))</f>
        <v>369.51776315708435</v>
      </c>
      <c r="AO11" s="288">
        <f>AN11*(1+(INDEX(_Growthprojections,MATCH('Detailed Model (LCY)'!$C11,'Model Assumptions'!$C$72:$C$77,0),MATCH('Detailed Model (LCY)'!AO$4,'Model Assumptions'!$C$72:$P$72,0))))</f>
        <v>376.90811842022606</v>
      </c>
      <c r="AP11" s="288">
        <f>AO11*(1+(INDEX(_Growthprojections,MATCH('Detailed Model (LCY)'!$C11,'Model Assumptions'!$C$72:$C$77,0),MATCH('Detailed Model (LCY)'!AP$4,'Model Assumptions'!$C$72:$P$72,0))))</f>
        <v>384.44628078863059</v>
      </c>
      <c r="AQ11" s="288">
        <f>AP11*(1+(INDEX(_Growthprojections,MATCH('Detailed Model (LCY)'!$C11,'Model Assumptions'!$C$72:$C$77,0),MATCH('Detailed Model (LCY)'!AQ$4,'Model Assumptions'!$C$72:$P$72,0))))</f>
        <v>392.13520640440322</v>
      </c>
      <c r="AR11" s="288">
        <f>AQ11*(1+(INDEX(_Growthprojections,MATCH('Detailed Model (LCY)'!$C11,'Model Assumptions'!$C$72:$C$77,0),MATCH('Detailed Model (LCY)'!AR$4,'Model Assumptions'!$C$72:$P$72,0))))</f>
        <v>399.97791053249131</v>
      </c>
      <c r="AS11" s="288">
        <f>AR11*(1+(INDEX(_Growthprojections,MATCH('Detailed Model (LCY)'!$C11,'Model Assumptions'!$C$72:$C$77,0),MATCH('Detailed Model (LCY)'!AS$4,'Model Assumptions'!$C$72:$P$72,0))))</f>
        <v>407.97746874314112</v>
      </c>
      <c r="AT11" s="288">
        <f>AS11*(1+(INDEX(_Growthprojections,MATCH('Detailed Model (LCY)'!$C11,'Model Assumptions'!$C$72:$C$77,0),MATCH('Detailed Model (LCY)'!AT$4,'Model Assumptions'!$C$72:$P$72,0))))</f>
        <v>416.13701811800394</v>
      </c>
      <c r="AU11" s="288">
        <f>AT11*(1+(INDEX(_Growthprojections,MATCH('Detailed Model (LCY)'!$C11,'Model Assumptions'!$C$72:$C$77,0),MATCH('Detailed Model (LCY)'!AU$4,'Model Assumptions'!$C$72:$P$72,0))))</f>
        <v>424.45975848036403</v>
      </c>
      <c r="AV11" s="288">
        <f>AU11*(1+(INDEX(_Growthprojections,MATCH('Detailed Model (LCY)'!$C11,'Model Assumptions'!$C$72:$C$77,0),MATCH('Detailed Model (LCY)'!AV$4,'Model Assumptions'!$C$72:$P$72,0))))</f>
        <v>432.94895364997132</v>
      </c>
      <c r="AW11" s="288">
        <f>AV11*(1+(INDEX(_Growthprojections,MATCH('Detailed Model (LCY)'!$C11,'Model Assumptions'!$C$72:$C$77,0),MATCH('Detailed Model (LCY)'!AW$4,'Model Assumptions'!$C$72:$P$72,0))))</f>
        <v>441.60793272297076</v>
      </c>
      <c r="AX11" s="288">
        <f>AW11*(1+(INDEX(_Growthprojections,MATCH('Detailed Model (LCY)'!$C11,'Model Assumptions'!$C$72:$C$77,0),MATCH('Detailed Model (LCY)'!AX$4,'Model Assumptions'!$C$72:$P$72,0))))</f>
        <v>450.44009137743018</v>
      </c>
      <c r="AY11" s="288">
        <f>AX11*(1+(INDEX(_Growthprojections,MATCH('Detailed Model (LCY)'!$C11,'Model Assumptions'!$C$72:$C$77,0),MATCH('Detailed Model (LCY)'!AY$4,'Model Assumptions'!$C$72:$P$72,0))))</f>
        <v>459.44889320497879</v>
      </c>
      <c r="AZ11" s="288">
        <f>AY11*(1+(INDEX(_Growthprojections,MATCH('Detailed Model (LCY)'!$C11,'Model Assumptions'!$C$72:$C$77,0),MATCH('Detailed Model (LCY)'!AZ$4,'Model Assumptions'!$C$72:$P$72,0))))</f>
        <v>468.63787106907836</v>
      </c>
      <c r="BA11" s="288">
        <f>AZ11*(1+(INDEX(_Growthprojections,MATCH('Detailed Model (LCY)'!$C11,'Model Assumptions'!$C$72:$C$77,0),MATCH('Detailed Model (LCY)'!BA$4,'Model Assumptions'!$C$72:$P$72,0))))</f>
        <v>478.01062849045991</v>
      </c>
      <c r="BB11" s="288">
        <f>BA11*(1+(INDEX(_Growthprojections,MATCH('Detailed Model (LCY)'!$C11,'Model Assumptions'!$C$72:$C$77,0),MATCH('Detailed Model (LCY)'!BB$4,'Model Assumptions'!$C$72:$P$72,0))))</f>
        <v>487.57084106026912</v>
      </c>
      <c r="BC11" s="288">
        <f>BB11*(1+(INDEX(_Growthprojections,MATCH('Detailed Model (LCY)'!$C11,'Model Assumptions'!$C$72:$C$77,0),MATCH('Detailed Model (LCY)'!BC$4,'Model Assumptions'!$C$72:$P$72,0))))</f>
        <v>497.32225788147451</v>
      </c>
      <c r="BD11" s="288">
        <f>BC11*(1+(INDEX(_Growthprojections,MATCH('Detailed Model (LCY)'!$C11,'Model Assumptions'!$C$72:$C$77,0),MATCH('Detailed Model (LCY)'!BD$4,'Model Assumptions'!$C$72:$P$72,0))))</f>
        <v>507.26870303910403</v>
      </c>
      <c r="BE11" s="288">
        <f>BD11*(1+(INDEX(_Growthprojections,MATCH('Detailed Model (LCY)'!$C11,'Model Assumptions'!$C$72:$C$77,0),MATCH('Detailed Model (LCY)'!BE$4,'Model Assumptions'!$C$72:$P$72,0))))</f>
        <v>517.41407709988607</v>
      </c>
      <c r="BF11" s="288">
        <f>BE11*(1+(INDEX(_Growthprojections,MATCH('Detailed Model (LCY)'!$C11,'Model Assumptions'!$C$72:$C$77,0),MATCH('Detailed Model (LCY)'!BF$4,'Model Assumptions'!$C$72:$P$72,0))))</f>
        <v>527.76235864188379</v>
      </c>
      <c r="BG11" s="288">
        <f>BF11*(1+(INDEX(_Growthprojections,MATCH('Detailed Model (LCY)'!$C11,'Model Assumptions'!$C$72:$C$77,0),MATCH('Detailed Model (LCY)'!BG$4,'Model Assumptions'!$C$72:$P$72,0))))</f>
        <v>538.31760581472145</v>
      </c>
      <c r="BH11" s="288">
        <f>BG11*(1+(INDEX(_Growthprojections,MATCH('Detailed Model (LCY)'!$C11,'Model Assumptions'!$C$72:$C$77,0),MATCH('Detailed Model (LCY)'!BH$4,'Model Assumptions'!$C$72:$P$72,0))))</f>
        <v>549.0839579310159</v>
      </c>
      <c r="BI11" s="288">
        <f>BH11*(1+(INDEX(_Growthprojections,MATCH('Detailed Model (LCY)'!$C11,'Model Assumptions'!$C$72:$C$77,0),MATCH('Detailed Model (LCY)'!BI$4,'Model Assumptions'!$C$72:$P$72,0))))</f>
        <v>560.0656370896362</v>
      </c>
      <c r="BJ11" s="288">
        <f>BI11*(1+(INDEX(_Growthprojections,MATCH('Detailed Model (LCY)'!$C11,'Model Assumptions'!$C$72:$C$77,0),MATCH('Detailed Model (LCY)'!BJ$4,'Model Assumptions'!$C$72:$P$72,0))))</f>
        <v>571.26694983142897</v>
      </c>
      <c r="BK11" s="288">
        <f>BJ11*(1+(INDEX(_Growthprojections,MATCH('Detailed Model (LCY)'!$C11,'Model Assumptions'!$C$72:$C$77,0),MATCH('Detailed Model (LCY)'!BK$4,'Model Assumptions'!$C$72:$P$72,0))))</f>
        <v>582.6922888280576</v>
      </c>
      <c r="BL11" s="288">
        <f>BK11*(1+(INDEX(_Growthprojections,MATCH('Detailed Model (LCY)'!$C11,'Model Assumptions'!$C$72:$C$77,0),MATCH('Detailed Model (LCY)'!BL$4,'Model Assumptions'!$C$72:$P$72,0))))</f>
        <v>594.34613460461878</v>
      </c>
      <c r="BM11" s="288">
        <f>BL11*(1+(INDEX(_Growthprojections,MATCH('Detailed Model (LCY)'!$C11,'Model Assumptions'!$C$72:$C$77,0),MATCH('Detailed Model (LCY)'!BM$4,'Model Assumptions'!$C$72:$P$72,0))))</f>
        <v>606.23305729671119</v>
      </c>
      <c r="BN11" s="288">
        <f>BM11*(1+(INDEX(_Growthprojections,MATCH('Detailed Model (LCY)'!$C11,'Model Assumptions'!$C$72:$C$77,0),MATCH('Detailed Model (LCY)'!BN$4,'Model Assumptions'!$C$72:$P$72,0))))</f>
        <v>618.35771844264548</v>
      </c>
      <c r="BO11" s="288">
        <f>BN11*(1+(INDEX(_Growthprojections,MATCH('Detailed Model (LCY)'!$C11,'Model Assumptions'!$C$72:$C$77,0),MATCH('Detailed Model (LCY)'!BO$4,'Model Assumptions'!$C$72:$P$72,0))))</f>
        <v>630.72487281149836</v>
      </c>
      <c r="BP11" s="288">
        <f>BO11*(1+(INDEX(_Growthprojections,MATCH('Detailed Model (LCY)'!$C11,'Model Assumptions'!$C$72:$C$77,0),MATCH('Detailed Model (LCY)'!BP$4,'Model Assumptions'!$C$72:$P$72,0))))</f>
        <v>643.33937026772833</v>
      </c>
      <c r="BQ11" s="288">
        <f>BP11*(1+(INDEX(_Growthprojections,MATCH('Detailed Model (LCY)'!$C11,'Model Assumptions'!$C$72:$C$77,0),MATCH('Detailed Model (LCY)'!BQ$4,'Model Assumptions'!$C$72:$P$72,0))))</f>
        <v>656.20615767308288</v>
      </c>
      <c r="BR11" s="288">
        <f>BQ11*(1+(INDEX(_Growthprojections,MATCH('Detailed Model (LCY)'!$C11,'Model Assumptions'!$C$72:$C$77,0),MATCH('Detailed Model (LCY)'!BR$4,'Model Assumptions'!$C$72:$P$72,0))))</f>
        <v>656.20615767308288</v>
      </c>
      <c r="BS11" s="288">
        <f>BR11*(1+(INDEX(_Growthprojections,MATCH('Detailed Model (LCY)'!$C11,'Model Assumptions'!$C$72:$C$77,0),MATCH('Detailed Model (LCY)'!BS$4,'Model Assumptions'!$C$72:$P$72,0))))</f>
        <v>656.20615767308288</v>
      </c>
      <c r="BT11" s="288">
        <f>BS11*(1+(INDEX(_Growthprojections,MATCH('Detailed Model (LCY)'!$C11,'Model Assumptions'!$C$72:$C$77,0),MATCH('Detailed Model (LCY)'!BT$4,'Model Assumptions'!$C$72:$P$72,0))))</f>
        <v>656.20615767308288</v>
      </c>
      <c r="BU11" s="288">
        <f>BT11*(1+(INDEX(_Growthprojections,MATCH('Detailed Model (LCY)'!$C11,'Model Assumptions'!$C$72:$C$77,0),MATCH('Detailed Model (LCY)'!BU$4,'Model Assumptions'!$C$72:$P$72,0))))</f>
        <v>656.20615767308288</v>
      </c>
      <c r="BV11" s="288">
        <f>BU11*(1+(INDEX(_Growthprojections,MATCH('Detailed Model (LCY)'!$C11,'Model Assumptions'!$C$72:$C$77,0),MATCH('Detailed Model (LCY)'!BV$4,'Model Assumptions'!$C$72:$P$72,0))))</f>
        <v>656.20615767308288</v>
      </c>
      <c r="BW11" s="288">
        <f>BV11*(1+(INDEX(_Growthprojections,MATCH('Detailed Model (LCY)'!$C11,'Model Assumptions'!$C$72:$C$77,0),MATCH('Detailed Model (LCY)'!BW$4,'Model Assumptions'!$C$72:$P$72,0))))</f>
        <v>656.20615767308288</v>
      </c>
      <c r="BX11" s="288">
        <f>BW11*(1+(INDEX(_Growthprojections,MATCH('Detailed Model (LCY)'!$C11,'Model Assumptions'!$C$72:$C$77,0),MATCH('Detailed Model (LCY)'!BX$4,'Model Assumptions'!$C$72:$P$72,0))))</f>
        <v>656.20615767308288</v>
      </c>
      <c r="BY11" s="288">
        <f>BX11*(1+(INDEX(_Growthprojections,MATCH('Detailed Model (LCY)'!$C11,'Model Assumptions'!$C$72:$C$77,0),MATCH('Detailed Model (LCY)'!BY$4,'Model Assumptions'!$C$72:$P$72,0))))</f>
        <v>656.20615767308288</v>
      </c>
      <c r="BZ11" s="288">
        <f>BY11*(1+(INDEX(_Growthprojections,MATCH('Detailed Model (LCY)'!$C11,'Model Assumptions'!$C$72:$C$77,0),MATCH('Detailed Model (LCY)'!BZ$4,'Model Assumptions'!$C$72:$P$72,0))))</f>
        <v>656.20615767308288</v>
      </c>
      <c r="CA11" s="288">
        <f>BZ11*(1+(INDEX(_Growthprojections,MATCH('Detailed Model (LCY)'!$C11,'Model Assumptions'!$C$72:$C$77,0),MATCH('Detailed Model (LCY)'!CA$4,'Model Assumptions'!$C$72:$P$72,0))))</f>
        <v>656.20615767308288</v>
      </c>
      <c r="CB11" s="288">
        <f>CA11*(1+(INDEX(_Growthprojections,MATCH('Detailed Model (LCY)'!$C11,'Model Assumptions'!$C$72:$C$77,0),MATCH('Detailed Model (LCY)'!CB$4,'Model Assumptions'!$C$72:$P$72,0))))</f>
        <v>656.20615767308288</v>
      </c>
      <c r="CC11" s="288">
        <f>CB11*(1+(INDEX(_Growthprojections,MATCH('Detailed Model (LCY)'!$C11,'Model Assumptions'!$C$72:$C$77,0),MATCH('Detailed Model (LCY)'!CC$4,'Model Assumptions'!$C$72:$P$72,0))))</f>
        <v>656.20615767308288</v>
      </c>
      <c r="CD11" s="288">
        <f>CC11*(1+(INDEX(_Growthprojections,MATCH('Detailed Model (LCY)'!$C11,'Model Assumptions'!$C$72:$C$77,0),MATCH('Detailed Model (LCY)'!CD$4,'Model Assumptions'!$C$72:$P$72,0))))</f>
        <v>656.20615767308288</v>
      </c>
      <c r="CE11" s="288">
        <f>CD11*(1+(INDEX(_Growthprojections,MATCH('Detailed Model (LCY)'!$C11,'Model Assumptions'!$C$72:$C$77,0),MATCH('Detailed Model (LCY)'!CE$4,'Model Assumptions'!$C$72:$P$72,0))))</f>
        <v>656.20615767308288</v>
      </c>
      <c r="CF11" s="288">
        <f>CE11*(1+(INDEX(_Growthprojections,MATCH('Detailed Model (LCY)'!$C11,'Model Assumptions'!$C$72:$C$77,0),MATCH('Detailed Model (LCY)'!CF$4,'Model Assumptions'!$C$72:$P$72,0))))</f>
        <v>656.20615767308288</v>
      </c>
      <c r="CG11" s="288">
        <f>CF11*(1+(INDEX(_Growthprojections,MATCH('Detailed Model (LCY)'!$C11,'Model Assumptions'!$C$72:$C$77,0),MATCH('Detailed Model (LCY)'!CG$4,'Model Assumptions'!$C$72:$P$72,0))))</f>
        <v>656.20615767308288</v>
      </c>
      <c r="CH11" s="288">
        <f>CG11*(1+(INDEX(_Growthprojections,MATCH('Detailed Model (LCY)'!$C11,'Model Assumptions'!$C$72:$C$77,0),MATCH('Detailed Model (LCY)'!CH$4,'Model Assumptions'!$C$72:$P$72,0))))</f>
        <v>656.20615767308288</v>
      </c>
      <c r="CI11" s="288">
        <f>CH11*(1+(INDEX(_Growthprojections,MATCH('Detailed Model (LCY)'!$C11,'Model Assumptions'!$C$72:$C$77,0),MATCH('Detailed Model (LCY)'!CI$4,'Model Assumptions'!$C$72:$P$72,0))))</f>
        <v>656.20615767308288</v>
      </c>
      <c r="CJ11" s="288">
        <f>CI11*(1+(INDEX(_Growthprojections,MATCH('Detailed Model (LCY)'!$C11,'Model Assumptions'!$C$72:$C$77,0),MATCH('Detailed Model (LCY)'!CJ$4,'Model Assumptions'!$C$72:$P$72,0))))</f>
        <v>656.20615767308288</v>
      </c>
      <c r="CK11" s="288">
        <f>CJ11*(1+(INDEX(_Growthprojections,MATCH('Detailed Model (LCY)'!$C11,'Model Assumptions'!$C$72:$C$77,0),MATCH('Detailed Model (LCY)'!CK$4,'Model Assumptions'!$C$72:$P$72,0))))</f>
        <v>656.20615767308288</v>
      </c>
      <c r="CL11" s="288">
        <f>CK11*(1+(INDEX(_Growthprojections,MATCH('Detailed Model (LCY)'!$C11,'Model Assumptions'!$C$72:$C$77,0),MATCH('Detailed Model (LCY)'!CL$4,'Model Assumptions'!$C$72:$P$72,0))))</f>
        <v>656.20615767308288</v>
      </c>
      <c r="CM11" s="288">
        <f>CL11*(1+(INDEX(_Growthprojections,MATCH('Detailed Model (LCY)'!$C11,'Model Assumptions'!$C$72:$C$77,0),MATCH('Detailed Model (LCY)'!CM$4,'Model Assumptions'!$C$72:$P$72,0))))</f>
        <v>656.20615767308288</v>
      </c>
      <c r="CN11" s="288">
        <f>CM11*(1+(INDEX(_Growthprojections,MATCH('Detailed Model (LCY)'!$C11,'Model Assumptions'!$C$72:$C$77,0),MATCH('Detailed Model (LCY)'!CN$4,'Model Assumptions'!$C$72:$P$72,0))))</f>
        <v>656.20615767308288</v>
      </c>
      <c r="CO11" s="288">
        <f>CN11*(1+(INDEX(_Growthprojections,MATCH('Detailed Model (LCY)'!$C11,'Model Assumptions'!$C$72:$C$77,0),MATCH('Detailed Model (LCY)'!CO$4,'Model Assumptions'!$C$72:$P$72,0))))</f>
        <v>656.20615767308288</v>
      </c>
      <c r="CP11" s="288">
        <f>CO11*(1+(INDEX(_Growthprojections,MATCH('Detailed Model (LCY)'!$C11,'Model Assumptions'!$C$72:$C$77,0),MATCH('Detailed Model (LCY)'!CP$4,'Model Assumptions'!$C$72:$P$72,0))))</f>
        <v>656.20615767308288</v>
      </c>
      <c r="CQ11" s="288">
        <f>CP11*(1+(INDEX(_Growthprojections,MATCH('Detailed Model (LCY)'!$C11,'Model Assumptions'!$C$72:$C$77,0),MATCH('Detailed Model (LCY)'!CQ$4,'Model Assumptions'!$C$72:$P$72,0))))</f>
        <v>656.20615767308288</v>
      </c>
      <c r="CR11" s="288">
        <f>CQ11*(1+(INDEX(_Growthprojections,MATCH('Detailed Model (LCY)'!$C11,'Model Assumptions'!$C$72:$C$77,0),MATCH('Detailed Model (LCY)'!CR$4,'Model Assumptions'!$C$72:$P$72,0))))</f>
        <v>656.20615767308288</v>
      </c>
      <c r="CS11" s="288">
        <f>CR11*(1+(INDEX(_Growthprojections,MATCH('Detailed Model (LCY)'!$C11,'Model Assumptions'!$C$72:$C$77,0),MATCH('Detailed Model (LCY)'!CS$4,'Model Assumptions'!$C$72:$P$72,0))))</f>
        <v>656.20615767308288</v>
      </c>
      <c r="CT11" s="288">
        <f>CS11*(1+(INDEX(_Growthprojections,MATCH('Detailed Model (LCY)'!$C11,'Model Assumptions'!$C$72:$C$77,0),MATCH('Detailed Model (LCY)'!CT$4,'Model Assumptions'!$C$72:$P$72,0))))</f>
        <v>656.20615767308288</v>
      </c>
      <c r="CU11" s="288">
        <f>CT11*(1+(INDEX(_Growthprojections,MATCH('Detailed Model (LCY)'!$C11,'Model Assumptions'!$C$72:$C$77,0),MATCH('Detailed Model (LCY)'!CU$4,'Model Assumptions'!$C$72:$P$72,0))))</f>
        <v>656.20615767308288</v>
      </c>
      <c r="CV11" s="288">
        <f>CU11*(1+(INDEX(_Growthprojections,MATCH('Detailed Model (LCY)'!$C11,'Model Assumptions'!$C$72:$C$77,0),MATCH('Detailed Model (LCY)'!CV$4,'Model Assumptions'!$C$72:$P$72,0))))</f>
        <v>656.20615767308288</v>
      </c>
      <c r="CW11" s="288">
        <f>CV11*(1+(INDEX(_Growthprojections,MATCH('Detailed Model (LCY)'!$C11,'Model Assumptions'!$C$72:$C$77,0),MATCH('Detailed Model (LCY)'!CW$4,'Model Assumptions'!$C$72:$P$72,0))))</f>
        <v>656.20615767308288</v>
      </c>
      <c r="CX11" s="288">
        <f>CW11*(1+(INDEX(_Growthprojections,MATCH('Detailed Model (LCY)'!$C11,'Model Assumptions'!$C$72:$C$77,0),MATCH('Detailed Model (LCY)'!CX$4,'Model Assumptions'!$C$72:$P$72,0))))</f>
        <v>656.20615767308288</v>
      </c>
      <c r="CY11" s="288">
        <f>CX11*(1+(INDEX(_Growthprojections,MATCH('Detailed Model (LCY)'!$C11,'Model Assumptions'!$C$72:$C$77,0),MATCH('Detailed Model (LCY)'!CY$4,'Model Assumptions'!$C$72:$P$72,0))))</f>
        <v>656.20615767308288</v>
      </c>
      <c r="CZ11" s="288">
        <f>CY11*(1+(INDEX(_Growthprojections,MATCH('Detailed Model (LCY)'!$C11,'Model Assumptions'!$C$72:$C$77,0),MATCH('Detailed Model (LCY)'!CZ$4,'Model Assumptions'!$C$72:$P$72,0))))</f>
        <v>656.20615767308288</v>
      </c>
      <c r="DA11" s="288">
        <f>CZ11*(1+(INDEX(_Growthprojections,MATCH('Detailed Model (LCY)'!$C11,'Model Assumptions'!$C$72:$C$77,0),MATCH('Detailed Model (LCY)'!DA$4,'Model Assumptions'!$C$72:$P$72,0))))</f>
        <v>656.20615767308288</v>
      </c>
      <c r="DB11" s="288">
        <f>DA11*(1+(INDEX(_Growthprojections,MATCH('Detailed Model (LCY)'!$C11,'Model Assumptions'!$C$72:$C$77,0),MATCH('Detailed Model (LCY)'!DB$4,'Model Assumptions'!$C$72:$P$72,0))))</f>
        <v>656.20615767308288</v>
      </c>
      <c r="DC11" s="288">
        <f>DB11*(1+(INDEX(_Growthprojections,MATCH('Detailed Model (LCY)'!$C11,'Model Assumptions'!$C$72:$C$77,0),MATCH('Detailed Model (LCY)'!DC$4,'Model Assumptions'!$C$72:$P$72,0))))</f>
        <v>656.20615767308288</v>
      </c>
      <c r="DD11" s="288">
        <f>DC11*(1+(INDEX(_Growthprojections,MATCH('Detailed Model (LCY)'!$C11,'Model Assumptions'!$C$72:$C$77,0),MATCH('Detailed Model (LCY)'!DD$4,'Model Assumptions'!$C$72:$P$72,0))))</f>
        <v>656.20615767308288</v>
      </c>
      <c r="DE11" s="288">
        <f>DD11*(1+(INDEX(_Growthprojections,MATCH('Detailed Model (LCY)'!$C11,'Model Assumptions'!$C$72:$C$77,0),MATCH('Detailed Model (LCY)'!DE$4,'Model Assumptions'!$C$72:$P$72,0))))</f>
        <v>656.20615767308288</v>
      </c>
      <c r="DF11" s="288">
        <f>DE11*(1+(INDEX(_Growthprojections,MATCH('Detailed Model (LCY)'!$C11,'Model Assumptions'!$C$72:$C$77,0),MATCH('Detailed Model (LCY)'!DF$4,'Model Assumptions'!$C$72:$P$72,0))))</f>
        <v>656.20615767308288</v>
      </c>
      <c r="DG11" s="288">
        <f>DF11*(1+(INDEX(_Growthprojections,MATCH('Detailed Model (LCY)'!$C11,'Model Assumptions'!$C$72:$C$77,0),MATCH('Detailed Model (LCY)'!DG$4,'Model Assumptions'!$C$72:$P$72,0))))</f>
        <v>656.20615767308288</v>
      </c>
      <c r="DH11" s="288">
        <f>DG11*(1+(INDEX(_Growthprojections,MATCH('Detailed Model (LCY)'!$C11,'Model Assumptions'!$C$72:$C$77,0),MATCH('Detailed Model (LCY)'!DH$4,'Model Assumptions'!$C$72:$P$72,0))))</f>
        <v>656.20615767308288</v>
      </c>
      <c r="DI11" s="288">
        <f>DH11*(1+(INDEX(_Growthprojections,MATCH('Detailed Model (LCY)'!$C11,'Model Assumptions'!$C$72:$C$77,0),MATCH('Detailed Model (LCY)'!DI$4,'Model Assumptions'!$C$72:$P$72,0))))</f>
        <v>656.20615767308288</v>
      </c>
      <c r="DJ11" s="288">
        <f>DI11*(1+(INDEX(_Growthprojections,MATCH('Detailed Model (LCY)'!$C11,'Model Assumptions'!$C$72:$C$77,0),MATCH('Detailed Model (LCY)'!DJ$4,'Model Assumptions'!$C$72:$P$72,0))))</f>
        <v>656.20615767308288</v>
      </c>
      <c r="DK11" s="288">
        <f>DJ11*(1+(INDEX(_Growthprojections,MATCH('Detailed Model (LCY)'!$C11,'Model Assumptions'!$C$72:$C$77,0),MATCH('Detailed Model (LCY)'!DK$4,'Model Assumptions'!$C$72:$P$72,0))))</f>
        <v>656.20615767308288</v>
      </c>
      <c r="DL11" s="288">
        <f>DK11*(1+(INDEX(_Growthprojections,MATCH('Detailed Model (LCY)'!$C11,'Model Assumptions'!$C$72:$C$77,0),MATCH('Detailed Model (LCY)'!DL$4,'Model Assumptions'!$C$72:$P$72,0))))</f>
        <v>656.20615767308288</v>
      </c>
      <c r="DM11" s="288">
        <f>DL11*(1+(INDEX(_Growthprojections,MATCH('Detailed Model (LCY)'!$C11,'Model Assumptions'!$C$72:$C$77,0),MATCH('Detailed Model (LCY)'!DM$4,'Model Assumptions'!$C$72:$P$72,0))))</f>
        <v>656.20615767308288</v>
      </c>
      <c r="DN11" s="288">
        <f>DM11*(1+(INDEX(_Growthprojections,MATCH('Detailed Model (LCY)'!$C11,'Model Assumptions'!$C$72:$C$77,0),MATCH('Detailed Model (LCY)'!DN$4,'Model Assumptions'!$C$72:$P$72,0))))</f>
        <v>656.20615767308288</v>
      </c>
      <c r="DO11" s="288">
        <f>DN11*(1+(INDEX(_Growthprojections,MATCH('Detailed Model (LCY)'!$C11,'Model Assumptions'!$C$72:$C$77,0),MATCH('Detailed Model (LCY)'!DO$4,'Model Assumptions'!$C$72:$P$72,0))))</f>
        <v>656.20615767308288</v>
      </c>
      <c r="DP11" s="288">
        <f>DO11*(1+(INDEX(_Growthprojections,MATCH('Detailed Model (LCY)'!$C11,'Model Assumptions'!$C$72:$C$77,0),MATCH('Detailed Model (LCY)'!DP$4,'Model Assumptions'!$C$72:$P$72,0))))</f>
        <v>656.20615767308288</v>
      </c>
      <c r="DQ11" s="288">
        <f>DP11*(1+(INDEX(_Growthprojections,MATCH('Detailed Model (LCY)'!$C11,'Model Assumptions'!$C$72:$C$77,0),MATCH('Detailed Model (LCY)'!DQ$4,'Model Assumptions'!$C$72:$P$72,0))))</f>
        <v>656.20615767308288</v>
      </c>
      <c r="DR11" s="288">
        <f>DQ11*(1+(INDEX(_Growthprojections,MATCH('Detailed Model (LCY)'!$C11,'Model Assumptions'!$C$72:$C$77,0),MATCH('Detailed Model (LCY)'!DR$4,'Model Assumptions'!$C$72:$P$72,0))))</f>
        <v>656.20615767308288</v>
      </c>
      <c r="DS11" s="288">
        <f>DR11*(1+(INDEX(_Growthprojections,MATCH('Detailed Model (LCY)'!$C11,'Model Assumptions'!$C$72:$C$77,0),MATCH('Detailed Model (LCY)'!DS$4,'Model Assumptions'!$C$72:$P$72,0))))</f>
        <v>656.20615767308288</v>
      </c>
      <c r="DT11" s="288">
        <f>DS11*(1+(INDEX(_Growthprojections,MATCH('Detailed Model (LCY)'!$C11,'Model Assumptions'!$C$72:$C$77,0),MATCH('Detailed Model (LCY)'!DT$4,'Model Assumptions'!$C$72:$P$72,0))))</f>
        <v>656.20615767308288</v>
      </c>
      <c r="DU11" s="288">
        <f>DT11*(1+(INDEX(_Growthprojections,MATCH('Detailed Model (LCY)'!$C11,'Model Assumptions'!$C$72:$C$77,0),MATCH('Detailed Model (LCY)'!DU$4,'Model Assumptions'!$C$72:$P$72,0))))</f>
        <v>656.20615767308288</v>
      </c>
      <c r="DV11" s="288">
        <f>DU11*(1+(INDEX(_Growthprojections,MATCH('Detailed Model (LCY)'!$C11,'Model Assumptions'!$C$72:$C$77,0),MATCH('Detailed Model (LCY)'!DV$4,'Model Assumptions'!$C$72:$P$72,0))))</f>
        <v>656.20615767308288</v>
      </c>
      <c r="DW11" s="288">
        <f>DV11*(1+(INDEX(_Growthprojections,MATCH('Detailed Model (LCY)'!$C11,'Model Assumptions'!$C$72:$C$77,0),MATCH('Detailed Model (LCY)'!DW$4,'Model Assumptions'!$C$72:$P$72,0))))</f>
        <v>656.20615767308288</v>
      </c>
      <c r="DX11" s="288">
        <f>DW11*(1+(INDEX(_Growthprojections,MATCH('Detailed Model (LCY)'!$C11,'Model Assumptions'!$C$72:$C$77,0),MATCH('Detailed Model (LCY)'!DX$4,'Model Assumptions'!$C$72:$P$72,0))))</f>
        <v>656.20615767308288</v>
      </c>
      <c r="DY11" s="288">
        <f>DX11*(1+(INDEX(_Growthprojections,MATCH('Detailed Model (LCY)'!$C11,'Model Assumptions'!$C$72:$C$77,0),MATCH('Detailed Model (LCY)'!DY$4,'Model Assumptions'!$C$72:$P$72,0))))</f>
        <v>656.20615767308288</v>
      </c>
    </row>
    <row r="12" spans="1:129" s="19" customFormat="1" outlineLevel="1">
      <c r="A12" s="20"/>
      <c r="B12" s="14"/>
      <c r="C12" s="114" t="str">
        <f>'Model Assumptions'!$K$24</f>
        <v>Product 5</v>
      </c>
      <c r="D12" s="285"/>
      <c r="E12" s="286" t="s">
        <v>448</v>
      </c>
      <c r="F12" s="30"/>
      <c r="G12" s="14"/>
      <c r="H12" s="14"/>
      <c r="I12" s="584">
        <f>startP5</f>
        <v>100</v>
      </c>
      <c r="J12" s="288">
        <f>I12*(1+(INDEX(_Growthprojections,MATCH('Detailed Model (LCY)'!$C12,'Model Assumptions'!$C$72:$C$77,0),MATCH('Detailed Model (LCY)'!J$4,'Model Assumptions'!$C$72:$P$72,0))))</f>
        <v>102</v>
      </c>
      <c r="K12" s="288">
        <f>J12*(1+(INDEX(_Growthprojections,MATCH('Detailed Model (LCY)'!$C12,'Model Assumptions'!$C$72:$C$77,0),MATCH('Detailed Model (LCY)'!K$4,'Model Assumptions'!$C$72:$P$72,0))))</f>
        <v>104.04</v>
      </c>
      <c r="L12" s="288">
        <f>K12*(1+(INDEX(_Growthprojections,MATCH('Detailed Model (LCY)'!$C12,'Model Assumptions'!$C$72:$C$77,0),MATCH('Detailed Model (LCY)'!L$4,'Model Assumptions'!$C$72:$P$72,0))))</f>
        <v>106.1208</v>
      </c>
      <c r="M12" s="288">
        <f>L12*(1+(INDEX(_Growthprojections,MATCH('Detailed Model (LCY)'!$C12,'Model Assumptions'!$C$72:$C$77,0),MATCH('Detailed Model (LCY)'!M$4,'Model Assumptions'!$C$72:$P$72,0))))</f>
        <v>108.243216</v>
      </c>
      <c r="N12" s="288">
        <f>M12*(1+(INDEX(_Growthprojections,MATCH('Detailed Model (LCY)'!$C12,'Model Assumptions'!$C$72:$C$77,0),MATCH('Detailed Model (LCY)'!N$4,'Model Assumptions'!$C$72:$P$72,0))))</f>
        <v>110.40808032000001</v>
      </c>
      <c r="O12" s="288">
        <f>N12*(1+(INDEX(_Growthprojections,MATCH('Detailed Model (LCY)'!$C12,'Model Assumptions'!$C$72:$C$77,0),MATCH('Detailed Model (LCY)'!O$4,'Model Assumptions'!$C$72:$P$72,0))))</f>
        <v>112.61624192640001</v>
      </c>
      <c r="P12" s="288">
        <f>O12*(1+(INDEX(_Growthprojections,MATCH('Detailed Model (LCY)'!$C12,'Model Assumptions'!$C$72:$C$77,0),MATCH('Detailed Model (LCY)'!P$4,'Model Assumptions'!$C$72:$P$72,0))))</f>
        <v>114.868566764928</v>
      </c>
      <c r="Q12" s="288">
        <f>P12*(1+(INDEX(_Growthprojections,MATCH('Detailed Model (LCY)'!$C12,'Model Assumptions'!$C$72:$C$77,0),MATCH('Detailed Model (LCY)'!Q$4,'Model Assumptions'!$C$72:$P$72,0))))</f>
        <v>117.16593810022657</v>
      </c>
      <c r="R12" s="288">
        <f>Q12*(1+(INDEX(_Growthprojections,MATCH('Detailed Model (LCY)'!$C12,'Model Assumptions'!$C$72:$C$77,0),MATCH('Detailed Model (LCY)'!R$4,'Model Assumptions'!$C$72:$P$72,0))))</f>
        <v>119.5092568622311</v>
      </c>
      <c r="S12" s="288">
        <f>R12*(1+(INDEX(_Growthprojections,MATCH('Detailed Model (LCY)'!$C12,'Model Assumptions'!$C$72:$C$77,0),MATCH('Detailed Model (LCY)'!S$4,'Model Assumptions'!$C$72:$P$72,0))))</f>
        <v>121.89944199947573</v>
      </c>
      <c r="T12" s="288">
        <f>S12*(1+(INDEX(_Growthprojections,MATCH('Detailed Model (LCY)'!$C12,'Model Assumptions'!$C$72:$C$77,0),MATCH('Detailed Model (LCY)'!T$4,'Model Assumptions'!$C$72:$P$72,0))))</f>
        <v>124.33743083946524</v>
      </c>
      <c r="U12" s="288">
        <f>T12*(1+(INDEX(_Growthprojections,MATCH('Detailed Model (LCY)'!$C12,'Model Assumptions'!$C$72:$C$77,0),MATCH('Detailed Model (LCY)'!U$4,'Model Assumptions'!$C$72:$P$72,0))))</f>
        <v>126.82417945625456</v>
      </c>
      <c r="V12" s="288">
        <f>U12*(1+(INDEX(_Growthprojections,MATCH('Detailed Model (LCY)'!$C12,'Model Assumptions'!$C$72:$C$77,0),MATCH('Detailed Model (LCY)'!V$4,'Model Assumptions'!$C$72:$P$72,0))))</f>
        <v>129.36066304537965</v>
      </c>
      <c r="W12" s="288">
        <f>V12*(1+(INDEX(_Growthprojections,MATCH('Detailed Model (LCY)'!$C12,'Model Assumptions'!$C$72:$C$77,0),MATCH('Detailed Model (LCY)'!W$4,'Model Assumptions'!$C$72:$P$72,0))))</f>
        <v>131.94787630628724</v>
      </c>
      <c r="X12" s="288">
        <f>W12*(1+(INDEX(_Growthprojections,MATCH('Detailed Model (LCY)'!$C12,'Model Assumptions'!$C$72:$C$77,0),MATCH('Detailed Model (LCY)'!X$4,'Model Assumptions'!$C$72:$P$72,0))))</f>
        <v>134.58683383241299</v>
      </c>
      <c r="Y12" s="288">
        <f>X12*(1+(INDEX(_Growthprojections,MATCH('Detailed Model (LCY)'!$C12,'Model Assumptions'!$C$72:$C$77,0),MATCH('Detailed Model (LCY)'!Y$4,'Model Assumptions'!$C$72:$P$72,0))))</f>
        <v>137.27857050906127</v>
      </c>
      <c r="Z12" s="288">
        <f>Y12*(1+(INDEX(_Growthprojections,MATCH('Detailed Model (LCY)'!$C12,'Model Assumptions'!$C$72:$C$77,0),MATCH('Detailed Model (LCY)'!Z$4,'Model Assumptions'!$C$72:$P$72,0))))</f>
        <v>140.02414191924251</v>
      </c>
      <c r="AA12" s="288">
        <f>Z12*(1+(INDEX(_Growthprojections,MATCH('Detailed Model (LCY)'!$C12,'Model Assumptions'!$C$72:$C$77,0),MATCH('Detailed Model (LCY)'!AA$4,'Model Assumptions'!$C$72:$P$72,0))))</f>
        <v>142.82462475762736</v>
      </c>
      <c r="AB12" s="288">
        <f>AA12*(1+(INDEX(_Growthprojections,MATCH('Detailed Model (LCY)'!$C12,'Model Assumptions'!$C$72:$C$77,0),MATCH('Detailed Model (LCY)'!AB$4,'Model Assumptions'!$C$72:$P$72,0))))</f>
        <v>145.6811172527799</v>
      </c>
      <c r="AC12" s="288">
        <f>AB12*(1+(INDEX(_Growthprojections,MATCH('Detailed Model (LCY)'!$C12,'Model Assumptions'!$C$72:$C$77,0),MATCH('Detailed Model (LCY)'!AC$4,'Model Assumptions'!$C$72:$P$72,0))))</f>
        <v>148.59473959783551</v>
      </c>
      <c r="AD12" s="288">
        <f>AC12*(1+(INDEX(_Growthprojections,MATCH('Detailed Model (LCY)'!$C12,'Model Assumptions'!$C$72:$C$77,0),MATCH('Detailed Model (LCY)'!AD$4,'Model Assumptions'!$C$72:$P$72,0))))</f>
        <v>151.56663438979223</v>
      </c>
      <c r="AE12" s="288">
        <f>AD12*(1+(INDEX(_Growthprojections,MATCH('Detailed Model (LCY)'!$C12,'Model Assumptions'!$C$72:$C$77,0),MATCH('Detailed Model (LCY)'!AE$4,'Model Assumptions'!$C$72:$P$72,0))))</f>
        <v>154.59796707758807</v>
      </c>
      <c r="AF12" s="288">
        <f>AE12*(1+(INDEX(_Growthprojections,MATCH('Detailed Model (LCY)'!$C12,'Model Assumptions'!$C$72:$C$77,0),MATCH('Detailed Model (LCY)'!AF$4,'Model Assumptions'!$C$72:$P$72,0))))</f>
        <v>157.68992641913982</v>
      </c>
      <c r="AG12" s="288">
        <f>AF12*(1+(INDEX(_Growthprojections,MATCH('Detailed Model (LCY)'!$C12,'Model Assumptions'!$C$72:$C$77,0),MATCH('Detailed Model (LCY)'!AG$4,'Model Assumptions'!$C$72:$P$72,0))))</f>
        <v>160.84372494752262</v>
      </c>
      <c r="AH12" s="288">
        <f>AG12*(1+(INDEX(_Growthprojections,MATCH('Detailed Model (LCY)'!$C12,'Model Assumptions'!$C$72:$C$77,0),MATCH('Detailed Model (LCY)'!AH$4,'Model Assumptions'!$C$72:$P$72,0))))</f>
        <v>164.06059944647308</v>
      </c>
      <c r="AI12" s="288">
        <f>AH12*(1+(INDEX(_Growthprojections,MATCH('Detailed Model (LCY)'!$C12,'Model Assumptions'!$C$72:$C$77,0),MATCH('Detailed Model (LCY)'!AI$4,'Model Assumptions'!$C$72:$P$72,0))))</f>
        <v>167.34181143540255</v>
      </c>
      <c r="AJ12" s="288">
        <f>AI12*(1+(INDEX(_Growthprojections,MATCH('Detailed Model (LCY)'!$C12,'Model Assumptions'!$C$72:$C$77,0),MATCH('Detailed Model (LCY)'!AJ$4,'Model Assumptions'!$C$72:$P$72,0))))</f>
        <v>170.68864766411059</v>
      </c>
      <c r="AK12" s="288">
        <f>AJ12*(1+(INDEX(_Growthprojections,MATCH('Detailed Model (LCY)'!$C12,'Model Assumptions'!$C$72:$C$77,0),MATCH('Detailed Model (LCY)'!AK$4,'Model Assumptions'!$C$72:$P$72,0))))</f>
        <v>174.1024206173928</v>
      </c>
      <c r="AL12" s="288">
        <f>AK12*(1+(INDEX(_Growthprojections,MATCH('Detailed Model (LCY)'!$C12,'Model Assumptions'!$C$72:$C$77,0),MATCH('Detailed Model (LCY)'!AL$4,'Model Assumptions'!$C$72:$P$72,0))))</f>
        <v>177.58446902974066</v>
      </c>
      <c r="AM12" s="288">
        <f>AL12*(1+(INDEX(_Growthprojections,MATCH('Detailed Model (LCY)'!$C12,'Model Assumptions'!$C$72:$C$77,0),MATCH('Detailed Model (LCY)'!AM$4,'Model Assumptions'!$C$72:$P$72,0))))</f>
        <v>181.13615841033547</v>
      </c>
      <c r="AN12" s="288">
        <f>AM12*(1+(INDEX(_Growthprojections,MATCH('Detailed Model (LCY)'!$C12,'Model Assumptions'!$C$72:$C$77,0),MATCH('Detailed Model (LCY)'!AN$4,'Model Assumptions'!$C$72:$P$72,0))))</f>
        <v>184.75888157854217</v>
      </c>
      <c r="AO12" s="288">
        <f>AN12*(1+(INDEX(_Growthprojections,MATCH('Detailed Model (LCY)'!$C12,'Model Assumptions'!$C$72:$C$77,0),MATCH('Detailed Model (LCY)'!AO$4,'Model Assumptions'!$C$72:$P$72,0))))</f>
        <v>188.45405921011303</v>
      </c>
      <c r="AP12" s="288">
        <f>AO12*(1+(INDEX(_Growthprojections,MATCH('Detailed Model (LCY)'!$C12,'Model Assumptions'!$C$72:$C$77,0),MATCH('Detailed Model (LCY)'!AP$4,'Model Assumptions'!$C$72:$P$72,0))))</f>
        <v>192.22314039431529</v>
      </c>
      <c r="AQ12" s="288">
        <f>AP12*(1+(INDEX(_Growthprojections,MATCH('Detailed Model (LCY)'!$C12,'Model Assumptions'!$C$72:$C$77,0),MATCH('Detailed Model (LCY)'!AQ$4,'Model Assumptions'!$C$72:$P$72,0))))</f>
        <v>196.06760320220161</v>
      </c>
      <c r="AR12" s="288">
        <f>AQ12*(1+(INDEX(_Growthprojections,MATCH('Detailed Model (LCY)'!$C12,'Model Assumptions'!$C$72:$C$77,0),MATCH('Detailed Model (LCY)'!AR$4,'Model Assumptions'!$C$72:$P$72,0))))</f>
        <v>199.98895526624565</v>
      </c>
      <c r="AS12" s="288">
        <f>AR12*(1+(INDEX(_Growthprojections,MATCH('Detailed Model (LCY)'!$C12,'Model Assumptions'!$C$72:$C$77,0),MATCH('Detailed Model (LCY)'!AS$4,'Model Assumptions'!$C$72:$P$72,0))))</f>
        <v>203.98873437157056</v>
      </c>
      <c r="AT12" s="288">
        <f>AS12*(1+(INDEX(_Growthprojections,MATCH('Detailed Model (LCY)'!$C12,'Model Assumptions'!$C$72:$C$77,0),MATCH('Detailed Model (LCY)'!AT$4,'Model Assumptions'!$C$72:$P$72,0))))</f>
        <v>208.06850905900197</v>
      </c>
      <c r="AU12" s="288">
        <f>AT12*(1+(INDEX(_Growthprojections,MATCH('Detailed Model (LCY)'!$C12,'Model Assumptions'!$C$72:$C$77,0),MATCH('Detailed Model (LCY)'!AU$4,'Model Assumptions'!$C$72:$P$72,0))))</f>
        <v>212.22987924018202</v>
      </c>
      <c r="AV12" s="288">
        <f>AU12*(1+(INDEX(_Growthprojections,MATCH('Detailed Model (LCY)'!$C12,'Model Assumptions'!$C$72:$C$77,0),MATCH('Detailed Model (LCY)'!AV$4,'Model Assumptions'!$C$72:$P$72,0))))</f>
        <v>216.47447682498566</v>
      </c>
      <c r="AW12" s="288">
        <f>AV12*(1+(INDEX(_Growthprojections,MATCH('Detailed Model (LCY)'!$C12,'Model Assumptions'!$C$72:$C$77,0),MATCH('Detailed Model (LCY)'!AW$4,'Model Assumptions'!$C$72:$P$72,0))))</f>
        <v>220.80396636148538</v>
      </c>
      <c r="AX12" s="288">
        <f>AW12*(1+(INDEX(_Growthprojections,MATCH('Detailed Model (LCY)'!$C12,'Model Assumptions'!$C$72:$C$77,0),MATCH('Detailed Model (LCY)'!AX$4,'Model Assumptions'!$C$72:$P$72,0))))</f>
        <v>225.22004568871509</v>
      </c>
      <c r="AY12" s="288">
        <f>AX12*(1+(INDEX(_Growthprojections,MATCH('Detailed Model (LCY)'!$C12,'Model Assumptions'!$C$72:$C$77,0),MATCH('Detailed Model (LCY)'!AY$4,'Model Assumptions'!$C$72:$P$72,0))))</f>
        <v>229.72444660248939</v>
      </c>
      <c r="AZ12" s="288">
        <f>AY12*(1+(INDEX(_Growthprojections,MATCH('Detailed Model (LCY)'!$C12,'Model Assumptions'!$C$72:$C$77,0),MATCH('Detailed Model (LCY)'!AZ$4,'Model Assumptions'!$C$72:$P$72,0))))</f>
        <v>234.31893553453918</v>
      </c>
      <c r="BA12" s="288">
        <f>AZ12*(1+(INDEX(_Growthprojections,MATCH('Detailed Model (LCY)'!$C12,'Model Assumptions'!$C$72:$C$77,0),MATCH('Detailed Model (LCY)'!BA$4,'Model Assumptions'!$C$72:$P$72,0))))</f>
        <v>239.00531424522995</v>
      </c>
      <c r="BB12" s="288">
        <f>BA12*(1+(INDEX(_Growthprojections,MATCH('Detailed Model (LCY)'!$C12,'Model Assumptions'!$C$72:$C$77,0),MATCH('Detailed Model (LCY)'!BB$4,'Model Assumptions'!$C$72:$P$72,0))))</f>
        <v>243.78542053013456</v>
      </c>
      <c r="BC12" s="288">
        <f>BB12*(1+(INDEX(_Growthprojections,MATCH('Detailed Model (LCY)'!$C12,'Model Assumptions'!$C$72:$C$77,0),MATCH('Detailed Model (LCY)'!BC$4,'Model Assumptions'!$C$72:$P$72,0))))</f>
        <v>248.66112894073726</v>
      </c>
      <c r="BD12" s="288">
        <f>BC12*(1+(INDEX(_Growthprojections,MATCH('Detailed Model (LCY)'!$C12,'Model Assumptions'!$C$72:$C$77,0),MATCH('Detailed Model (LCY)'!BD$4,'Model Assumptions'!$C$72:$P$72,0))))</f>
        <v>253.63435151955201</v>
      </c>
      <c r="BE12" s="288">
        <f>BD12*(1+(INDEX(_Growthprojections,MATCH('Detailed Model (LCY)'!$C12,'Model Assumptions'!$C$72:$C$77,0),MATCH('Detailed Model (LCY)'!BE$4,'Model Assumptions'!$C$72:$P$72,0))))</f>
        <v>258.70703854994304</v>
      </c>
      <c r="BF12" s="288">
        <f>BE12*(1+(INDEX(_Growthprojections,MATCH('Detailed Model (LCY)'!$C12,'Model Assumptions'!$C$72:$C$77,0),MATCH('Detailed Model (LCY)'!BF$4,'Model Assumptions'!$C$72:$P$72,0))))</f>
        <v>263.8811793209419</v>
      </c>
      <c r="BG12" s="288">
        <f>BF12*(1+(INDEX(_Growthprojections,MATCH('Detailed Model (LCY)'!$C12,'Model Assumptions'!$C$72:$C$77,0),MATCH('Detailed Model (LCY)'!BG$4,'Model Assumptions'!$C$72:$P$72,0))))</f>
        <v>269.15880290736072</v>
      </c>
      <c r="BH12" s="288">
        <f>BG12*(1+(INDEX(_Growthprojections,MATCH('Detailed Model (LCY)'!$C12,'Model Assumptions'!$C$72:$C$77,0),MATCH('Detailed Model (LCY)'!BH$4,'Model Assumptions'!$C$72:$P$72,0))))</f>
        <v>274.54197896550795</v>
      </c>
      <c r="BI12" s="288">
        <f>BH12*(1+(INDEX(_Growthprojections,MATCH('Detailed Model (LCY)'!$C12,'Model Assumptions'!$C$72:$C$77,0),MATCH('Detailed Model (LCY)'!BI$4,'Model Assumptions'!$C$72:$P$72,0))))</f>
        <v>280.0328185448181</v>
      </c>
      <c r="BJ12" s="288">
        <f>BI12*(1+(INDEX(_Growthprojections,MATCH('Detailed Model (LCY)'!$C12,'Model Assumptions'!$C$72:$C$77,0),MATCH('Detailed Model (LCY)'!BJ$4,'Model Assumptions'!$C$72:$P$72,0))))</f>
        <v>285.63347491571449</v>
      </c>
      <c r="BK12" s="288">
        <f>BJ12*(1+(INDEX(_Growthprojections,MATCH('Detailed Model (LCY)'!$C12,'Model Assumptions'!$C$72:$C$77,0),MATCH('Detailed Model (LCY)'!BK$4,'Model Assumptions'!$C$72:$P$72,0))))</f>
        <v>291.3461444140288</v>
      </c>
      <c r="BL12" s="288">
        <f>BK12*(1+(INDEX(_Growthprojections,MATCH('Detailed Model (LCY)'!$C12,'Model Assumptions'!$C$72:$C$77,0),MATCH('Detailed Model (LCY)'!BL$4,'Model Assumptions'!$C$72:$P$72,0))))</f>
        <v>297.17306730230939</v>
      </c>
      <c r="BM12" s="288">
        <f>BL12*(1+(INDEX(_Growthprojections,MATCH('Detailed Model (LCY)'!$C12,'Model Assumptions'!$C$72:$C$77,0),MATCH('Detailed Model (LCY)'!BM$4,'Model Assumptions'!$C$72:$P$72,0))))</f>
        <v>303.1165286483556</v>
      </c>
      <c r="BN12" s="288">
        <f>BM12*(1+(INDEX(_Growthprojections,MATCH('Detailed Model (LCY)'!$C12,'Model Assumptions'!$C$72:$C$77,0),MATCH('Detailed Model (LCY)'!BN$4,'Model Assumptions'!$C$72:$P$72,0))))</f>
        <v>309.17885922132274</v>
      </c>
      <c r="BO12" s="288">
        <f>BN12*(1+(INDEX(_Growthprojections,MATCH('Detailed Model (LCY)'!$C12,'Model Assumptions'!$C$72:$C$77,0),MATCH('Detailed Model (LCY)'!BO$4,'Model Assumptions'!$C$72:$P$72,0))))</f>
        <v>315.36243640574918</v>
      </c>
      <c r="BP12" s="288">
        <f>BO12*(1+(INDEX(_Growthprojections,MATCH('Detailed Model (LCY)'!$C12,'Model Assumptions'!$C$72:$C$77,0),MATCH('Detailed Model (LCY)'!BP$4,'Model Assumptions'!$C$72:$P$72,0))))</f>
        <v>321.66968513386416</v>
      </c>
      <c r="BQ12" s="288">
        <f>BP12*(1+(INDEX(_Growthprojections,MATCH('Detailed Model (LCY)'!$C12,'Model Assumptions'!$C$72:$C$77,0),MATCH('Detailed Model (LCY)'!BQ$4,'Model Assumptions'!$C$72:$P$72,0))))</f>
        <v>328.10307883654144</v>
      </c>
      <c r="BR12" s="288">
        <f>BQ12*(1+(INDEX(_Growthprojections,MATCH('Detailed Model (LCY)'!$C12,'Model Assumptions'!$C$72:$C$77,0),MATCH('Detailed Model (LCY)'!BR$4,'Model Assumptions'!$C$72:$P$72,0))))</f>
        <v>328.10307883654144</v>
      </c>
      <c r="BS12" s="288">
        <f>BR12*(1+(INDEX(_Growthprojections,MATCH('Detailed Model (LCY)'!$C12,'Model Assumptions'!$C$72:$C$77,0),MATCH('Detailed Model (LCY)'!BS$4,'Model Assumptions'!$C$72:$P$72,0))))</f>
        <v>328.10307883654144</v>
      </c>
      <c r="BT12" s="288">
        <f>BS12*(1+(INDEX(_Growthprojections,MATCH('Detailed Model (LCY)'!$C12,'Model Assumptions'!$C$72:$C$77,0),MATCH('Detailed Model (LCY)'!BT$4,'Model Assumptions'!$C$72:$P$72,0))))</f>
        <v>328.10307883654144</v>
      </c>
      <c r="BU12" s="288">
        <f>BT12*(1+(INDEX(_Growthprojections,MATCH('Detailed Model (LCY)'!$C12,'Model Assumptions'!$C$72:$C$77,0),MATCH('Detailed Model (LCY)'!BU$4,'Model Assumptions'!$C$72:$P$72,0))))</f>
        <v>328.10307883654144</v>
      </c>
      <c r="BV12" s="288">
        <f>BU12*(1+(INDEX(_Growthprojections,MATCH('Detailed Model (LCY)'!$C12,'Model Assumptions'!$C$72:$C$77,0),MATCH('Detailed Model (LCY)'!BV$4,'Model Assumptions'!$C$72:$P$72,0))))</f>
        <v>328.10307883654144</v>
      </c>
      <c r="BW12" s="288">
        <f>BV12*(1+(INDEX(_Growthprojections,MATCH('Detailed Model (LCY)'!$C12,'Model Assumptions'!$C$72:$C$77,0),MATCH('Detailed Model (LCY)'!BW$4,'Model Assumptions'!$C$72:$P$72,0))))</f>
        <v>328.10307883654144</v>
      </c>
      <c r="BX12" s="288">
        <f>BW12*(1+(INDEX(_Growthprojections,MATCH('Detailed Model (LCY)'!$C12,'Model Assumptions'!$C$72:$C$77,0),MATCH('Detailed Model (LCY)'!BX$4,'Model Assumptions'!$C$72:$P$72,0))))</f>
        <v>328.10307883654144</v>
      </c>
      <c r="BY12" s="288">
        <f>BX12*(1+(INDEX(_Growthprojections,MATCH('Detailed Model (LCY)'!$C12,'Model Assumptions'!$C$72:$C$77,0),MATCH('Detailed Model (LCY)'!BY$4,'Model Assumptions'!$C$72:$P$72,0))))</f>
        <v>328.10307883654144</v>
      </c>
      <c r="BZ12" s="288">
        <f>BY12*(1+(INDEX(_Growthprojections,MATCH('Detailed Model (LCY)'!$C12,'Model Assumptions'!$C$72:$C$77,0),MATCH('Detailed Model (LCY)'!BZ$4,'Model Assumptions'!$C$72:$P$72,0))))</f>
        <v>328.10307883654144</v>
      </c>
      <c r="CA12" s="288">
        <f>BZ12*(1+(INDEX(_Growthprojections,MATCH('Detailed Model (LCY)'!$C12,'Model Assumptions'!$C$72:$C$77,0),MATCH('Detailed Model (LCY)'!CA$4,'Model Assumptions'!$C$72:$P$72,0))))</f>
        <v>328.10307883654144</v>
      </c>
      <c r="CB12" s="288">
        <f>CA12*(1+(INDEX(_Growthprojections,MATCH('Detailed Model (LCY)'!$C12,'Model Assumptions'!$C$72:$C$77,0),MATCH('Detailed Model (LCY)'!CB$4,'Model Assumptions'!$C$72:$P$72,0))))</f>
        <v>328.10307883654144</v>
      </c>
      <c r="CC12" s="288">
        <f>CB12*(1+(INDEX(_Growthprojections,MATCH('Detailed Model (LCY)'!$C12,'Model Assumptions'!$C$72:$C$77,0),MATCH('Detailed Model (LCY)'!CC$4,'Model Assumptions'!$C$72:$P$72,0))))</f>
        <v>328.10307883654144</v>
      </c>
      <c r="CD12" s="288">
        <f>CC12*(1+(INDEX(_Growthprojections,MATCH('Detailed Model (LCY)'!$C12,'Model Assumptions'!$C$72:$C$77,0),MATCH('Detailed Model (LCY)'!CD$4,'Model Assumptions'!$C$72:$P$72,0))))</f>
        <v>328.10307883654144</v>
      </c>
      <c r="CE12" s="288">
        <f>CD12*(1+(INDEX(_Growthprojections,MATCH('Detailed Model (LCY)'!$C12,'Model Assumptions'!$C$72:$C$77,0),MATCH('Detailed Model (LCY)'!CE$4,'Model Assumptions'!$C$72:$P$72,0))))</f>
        <v>328.10307883654144</v>
      </c>
      <c r="CF12" s="288">
        <f>CE12*(1+(INDEX(_Growthprojections,MATCH('Detailed Model (LCY)'!$C12,'Model Assumptions'!$C$72:$C$77,0),MATCH('Detailed Model (LCY)'!CF$4,'Model Assumptions'!$C$72:$P$72,0))))</f>
        <v>328.10307883654144</v>
      </c>
      <c r="CG12" s="288">
        <f>CF12*(1+(INDEX(_Growthprojections,MATCH('Detailed Model (LCY)'!$C12,'Model Assumptions'!$C$72:$C$77,0),MATCH('Detailed Model (LCY)'!CG$4,'Model Assumptions'!$C$72:$P$72,0))))</f>
        <v>328.10307883654144</v>
      </c>
      <c r="CH12" s="288">
        <f>CG12*(1+(INDEX(_Growthprojections,MATCH('Detailed Model (LCY)'!$C12,'Model Assumptions'!$C$72:$C$77,0),MATCH('Detailed Model (LCY)'!CH$4,'Model Assumptions'!$C$72:$P$72,0))))</f>
        <v>328.10307883654144</v>
      </c>
      <c r="CI12" s="288">
        <f>CH12*(1+(INDEX(_Growthprojections,MATCH('Detailed Model (LCY)'!$C12,'Model Assumptions'!$C$72:$C$77,0),MATCH('Detailed Model (LCY)'!CI$4,'Model Assumptions'!$C$72:$P$72,0))))</f>
        <v>328.10307883654144</v>
      </c>
      <c r="CJ12" s="288">
        <f>CI12*(1+(INDEX(_Growthprojections,MATCH('Detailed Model (LCY)'!$C12,'Model Assumptions'!$C$72:$C$77,0),MATCH('Detailed Model (LCY)'!CJ$4,'Model Assumptions'!$C$72:$P$72,0))))</f>
        <v>328.10307883654144</v>
      </c>
      <c r="CK12" s="288">
        <f>CJ12*(1+(INDEX(_Growthprojections,MATCH('Detailed Model (LCY)'!$C12,'Model Assumptions'!$C$72:$C$77,0),MATCH('Detailed Model (LCY)'!CK$4,'Model Assumptions'!$C$72:$P$72,0))))</f>
        <v>328.10307883654144</v>
      </c>
      <c r="CL12" s="288">
        <f>CK12*(1+(INDEX(_Growthprojections,MATCH('Detailed Model (LCY)'!$C12,'Model Assumptions'!$C$72:$C$77,0),MATCH('Detailed Model (LCY)'!CL$4,'Model Assumptions'!$C$72:$P$72,0))))</f>
        <v>328.10307883654144</v>
      </c>
      <c r="CM12" s="288">
        <f>CL12*(1+(INDEX(_Growthprojections,MATCH('Detailed Model (LCY)'!$C12,'Model Assumptions'!$C$72:$C$77,0),MATCH('Detailed Model (LCY)'!CM$4,'Model Assumptions'!$C$72:$P$72,0))))</f>
        <v>328.10307883654144</v>
      </c>
      <c r="CN12" s="288">
        <f>CM12*(1+(INDEX(_Growthprojections,MATCH('Detailed Model (LCY)'!$C12,'Model Assumptions'!$C$72:$C$77,0),MATCH('Detailed Model (LCY)'!CN$4,'Model Assumptions'!$C$72:$P$72,0))))</f>
        <v>328.10307883654144</v>
      </c>
      <c r="CO12" s="288">
        <f>CN12*(1+(INDEX(_Growthprojections,MATCH('Detailed Model (LCY)'!$C12,'Model Assumptions'!$C$72:$C$77,0),MATCH('Detailed Model (LCY)'!CO$4,'Model Assumptions'!$C$72:$P$72,0))))</f>
        <v>328.10307883654144</v>
      </c>
      <c r="CP12" s="288">
        <f>CO12*(1+(INDEX(_Growthprojections,MATCH('Detailed Model (LCY)'!$C12,'Model Assumptions'!$C$72:$C$77,0),MATCH('Detailed Model (LCY)'!CP$4,'Model Assumptions'!$C$72:$P$72,0))))</f>
        <v>328.10307883654144</v>
      </c>
      <c r="CQ12" s="288">
        <f>CP12*(1+(INDEX(_Growthprojections,MATCH('Detailed Model (LCY)'!$C12,'Model Assumptions'!$C$72:$C$77,0),MATCH('Detailed Model (LCY)'!CQ$4,'Model Assumptions'!$C$72:$P$72,0))))</f>
        <v>328.10307883654144</v>
      </c>
      <c r="CR12" s="288">
        <f>CQ12*(1+(INDEX(_Growthprojections,MATCH('Detailed Model (LCY)'!$C12,'Model Assumptions'!$C$72:$C$77,0),MATCH('Detailed Model (LCY)'!CR$4,'Model Assumptions'!$C$72:$P$72,0))))</f>
        <v>328.10307883654144</v>
      </c>
      <c r="CS12" s="288">
        <f>CR12*(1+(INDEX(_Growthprojections,MATCH('Detailed Model (LCY)'!$C12,'Model Assumptions'!$C$72:$C$77,0),MATCH('Detailed Model (LCY)'!CS$4,'Model Assumptions'!$C$72:$P$72,0))))</f>
        <v>328.10307883654144</v>
      </c>
      <c r="CT12" s="288">
        <f>CS12*(1+(INDEX(_Growthprojections,MATCH('Detailed Model (LCY)'!$C12,'Model Assumptions'!$C$72:$C$77,0),MATCH('Detailed Model (LCY)'!CT$4,'Model Assumptions'!$C$72:$P$72,0))))</f>
        <v>328.10307883654144</v>
      </c>
      <c r="CU12" s="288">
        <f>CT12*(1+(INDEX(_Growthprojections,MATCH('Detailed Model (LCY)'!$C12,'Model Assumptions'!$C$72:$C$77,0),MATCH('Detailed Model (LCY)'!CU$4,'Model Assumptions'!$C$72:$P$72,0))))</f>
        <v>328.10307883654144</v>
      </c>
      <c r="CV12" s="288">
        <f>CU12*(1+(INDEX(_Growthprojections,MATCH('Detailed Model (LCY)'!$C12,'Model Assumptions'!$C$72:$C$77,0),MATCH('Detailed Model (LCY)'!CV$4,'Model Assumptions'!$C$72:$P$72,0))))</f>
        <v>328.10307883654144</v>
      </c>
      <c r="CW12" s="288">
        <f>CV12*(1+(INDEX(_Growthprojections,MATCH('Detailed Model (LCY)'!$C12,'Model Assumptions'!$C$72:$C$77,0),MATCH('Detailed Model (LCY)'!CW$4,'Model Assumptions'!$C$72:$P$72,0))))</f>
        <v>328.10307883654144</v>
      </c>
      <c r="CX12" s="288">
        <f>CW12*(1+(INDEX(_Growthprojections,MATCH('Detailed Model (LCY)'!$C12,'Model Assumptions'!$C$72:$C$77,0),MATCH('Detailed Model (LCY)'!CX$4,'Model Assumptions'!$C$72:$P$72,0))))</f>
        <v>328.10307883654144</v>
      </c>
      <c r="CY12" s="288">
        <f>CX12*(1+(INDEX(_Growthprojections,MATCH('Detailed Model (LCY)'!$C12,'Model Assumptions'!$C$72:$C$77,0),MATCH('Detailed Model (LCY)'!CY$4,'Model Assumptions'!$C$72:$P$72,0))))</f>
        <v>328.10307883654144</v>
      </c>
      <c r="CZ12" s="288">
        <f>CY12*(1+(INDEX(_Growthprojections,MATCH('Detailed Model (LCY)'!$C12,'Model Assumptions'!$C$72:$C$77,0),MATCH('Detailed Model (LCY)'!CZ$4,'Model Assumptions'!$C$72:$P$72,0))))</f>
        <v>328.10307883654144</v>
      </c>
      <c r="DA12" s="288">
        <f>CZ12*(1+(INDEX(_Growthprojections,MATCH('Detailed Model (LCY)'!$C12,'Model Assumptions'!$C$72:$C$77,0),MATCH('Detailed Model (LCY)'!DA$4,'Model Assumptions'!$C$72:$P$72,0))))</f>
        <v>328.10307883654144</v>
      </c>
      <c r="DB12" s="288">
        <f>DA12*(1+(INDEX(_Growthprojections,MATCH('Detailed Model (LCY)'!$C12,'Model Assumptions'!$C$72:$C$77,0),MATCH('Detailed Model (LCY)'!DB$4,'Model Assumptions'!$C$72:$P$72,0))))</f>
        <v>328.10307883654144</v>
      </c>
      <c r="DC12" s="288">
        <f>DB12*(1+(INDEX(_Growthprojections,MATCH('Detailed Model (LCY)'!$C12,'Model Assumptions'!$C$72:$C$77,0),MATCH('Detailed Model (LCY)'!DC$4,'Model Assumptions'!$C$72:$P$72,0))))</f>
        <v>328.10307883654144</v>
      </c>
      <c r="DD12" s="288">
        <f>DC12*(1+(INDEX(_Growthprojections,MATCH('Detailed Model (LCY)'!$C12,'Model Assumptions'!$C$72:$C$77,0),MATCH('Detailed Model (LCY)'!DD$4,'Model Assumptions'!$C$72:$P$72,0))))</f>
        <v>328.10307883654144</v>
      </c>
      <c r="DE12" s="288">
        <f>DD12*(1+(INDEX(_Growthprojections,MATCH('Detailed Model (LCY)'!$C12,'Model Assumptions'!$C$72:$C$77,0),MATCH('Detailed Model (LCY)'!DE$4,'Model Assumptions'!$C$72:$P$72,0))))</f>
        <v>328.10307883654144</v>
      </c>
      <c r="DF12" s="288">
        <f>DE12*(1+(INDEX(_Growthprojections,MATCH('Detailed Model (LCY)'!$C12,'Model Assumptions'!$C$72:$C$77,0),MATCH('Detailed Model (LCY)'!DF$4,'Model Assumptions'!$C$72:$P$72,0))))</f>
        <v>328.10307883654144</v>
      </c>
      <c r="DG12" s="288">
        <f>DF12*(1+(INDEX(_Growthprojections,MATCH('Detailed Model (LCY)'!$C12,'Model Assumptions'!$C$72:$C$77,0),MATCH('Detailed Model (LCY)'!DG$4,'Model Assumptions'!$C$72:$P$72,0))))</f>
        <v>328.10307883654144</v>
      </c>
      <c r="DH12" s="288">
        <f>DG12*(1+(INDEX(_Growthprojections,MATCH('Detailed Model (LCY)'!$C12,'Model Assumptions'!$C$72:$C$77,0),MATCH('Detailed Model (LCY)'!DH$4,'Model Assumptions'!$C$72:$P$72,0))))</f>
        <v>328.10307883654144</v>
      </c>
      <c r="DI12" s="288">
        <f>DH12*(1+(INDEX(_Growthprojections,MATCH('Detailed Model (LCY)'!$C12,'Model Assumptions'!$C$72:$C$77,0),MATCH('Detailed Model (LCY)'!DI$4,'Model Assumptions'!$C$72:$P$72,0))))</f>
        <v>328.10307883654144</v>
      </c>
      <c r="DJ12" s="288">
        <f>DI12*(1+(INDEX(_Growthprojections,MATCH('Detailed Model (LCY)'!$C12,'Model Assumptions'!$C$72:$C$77,0),MATCH('Detailed Model (LCY)'!DJ$4,'Model Assumptions'!$C$72:$P$72,0))))</f>
        <v>328.10307883654144</v>
      </c>
      <c r="DK12" s="288">
        <f>DJ12*(1+(INDEX(_Growthprojections,MATCH('Detailed Model (LCY)'!$C12,'Model Assumptions'!$C$72:$C$77,0),MATCH('Detailed Model (LCY)'!DK$4,'Model Assumptions'!$C$72:$P$72,0))))</f>
        <v>328.10307883654144</v>
      </c>
      <c r="DL12" s="288">
        <f>DK12*(1+(INDEX(_Growthprojections,MATCH('Detailed Model (LCY)'!$C12,'Model Assumptions'!$C$72:$C$77,0),MATCH('Detailed Model (LCY)'!DL$4,'Model Assumptions'!$C$72:$P$72,0))))</f>
        <v>328.10307883654144</v>
      </c>
      <c r="DM12" s="288">
        <f>DL12*(1+(INDEX(_Growthprojections,MATCH('Detailed Model (LCY)'!$C12,'Model Assumptions'!$C$72:$C$77,0),MATCH('Detailed Model (LCY)'!DM$4,'Model Assumptions'!$C$72:$P$72,0))))</f>
        <v>328.10307883654144</v>
      </c>
      <c r="DN12" s="288">
        <f>DM12*(1+(INDEX(_Growthprojections,MATCH('Detailed Model (LCY)'!$C12,'Model Assumptions'!$C$72:$C$77,0),MATCH('Detailed Model (LCY)'!DN$4,'Model Assumptions'!$C$72:$P$72,0))))</f>
        <v>328.10307883654144</v>
      </c>
      <c r="DO12" s="288">
        <f>DN12*(1+(INDEX(_Growthprojections,MATCH('Detailed Model (LCY)'!$C12,'Model Assumptions'!$C$72:$C$77,0),MATCH('Detailed Model (LCY)'!DO$4,'Model Assumptions'!$C$72:$P$72,0))))</f>
        <v>328.10307883654144</v>
      </c>
      <c r="DP12" s="288">
        <f>DO12*(1+(INDEX(_Growthprojections,MATCH('Detailed Model (LCY)'!$C12,'Model Assumptions'!$C$72:$C$77,0),MATCH('Detailed Model (LCY)'!DP$4,'Model Assumptions'!$C$72:$P$72,0))))</f>
        <v>328.10307883654144</v>
      </c>
      <c r="DQ12" s="288">
        <f>DP12*(1+(INDEX(_Growthprojections,MATCH('Detailed Model (LCY)'!$C12,'Model Assumptions'!$C$72:$C$77,0),MATCH('Detailed Model (LCY)'!DQ$4,'Model Assumptions'!$C$72:$P$72,0))))</f>
        <v>328.10307883654144</v>
      </c>
      <c r="DR12" s="288">
        <f>DQ12*(1+(INDEX(_Growthprojections,MATCH('Detailed Model (LCY)'!$C12,'Model Assumptions'!$C$72:$C$77,0),MATCH('Detailed Model (LCY)'!DR$4,'Model Assumptions'!$C$72:$P$72,0))))</f>
        <v>328.10307883654144</v>
      </c>
      <c r="DS12" s="288">
        <f>DR12*(1+(INDEX(_Growthprojections,MATCH('Detailed Model (LCY)'!$C12,'Model Assumptions'!$C$72:$C$77,0),MATCH('Detailed Model (LCY)'!DS$4,'Model Assumptions'!$C$72:$P$72,0))))</f>
        <v>328.10307883654144</v>
      </c>
      <c r="DT12" s="288">
        <f>DS12*(1+(INDEX(_Growthprojections,MATCH('Detailed Model (LCY)'!$C12,'Model Assumptions'!$C$72:$C$77,0),MATCH('Detailed Model (LCY)'!DT$4,'Model Assumptions'!$C$72:$P$72,0))))</f>
        <v>328.10307883654144</v>
      </c>
      <c r="DU12" s="288">
        <f>DT12*(1+(INDEX(_Growthprojections,MATCH('Detailed Model (LCY)'!$C12,'Model Assumptions'!$C$72:$C$77,0),MATCH('Detailed Model (LCY)'!DU$4,'Model Assumptions'!$C$72:$P$72,0))))</f>
        <v>328.10307883654144</v>
      </c>
      <c r="DV12" s="288">
        <f>DU12*(1+(INDEX(_Growthprojections,MATCH('Detailed Model (LCY)'!$C12,'Model Assumptions'!$C$72:$C$77,0),MATCH('Detailed Model (LCY)'!DV$4,'Model Assumptions'!$C$72:$P$72,0))))</f>
        <v>328.10307883654144</v>
      </c>
      <c r="DW12" s="288">
        <f>DV12*(1+(INDEX(_Growthprojections,MATCH('Detailed Model (LCY)'!$C12,'Model Assumptions'!$C$72:$C$77,0),MATCH('Detailed Model (LCY)'!DW$4,'Model Assumptions'!$C$72:$P$72,0))))</f>
        <v>328.10307883654144</v>
      </c>
      <c r="DX12" s="288">
        <f>DW12*(1+(INDEX(_Growthprojections,MATCH('Detailed Model (LCY)'!$C12,'Model Assumptions'!$C$72:$C$77,0),MATCH('Detailed Model (LCY)'!DX$4,'Model Assumptions'!$C$72:$P$72,0))))</f>
        <v>328.10307883654144</v>
      </c>
      <c r="DY12" s="288">
        <f>DX12*(1+(INDEX(_Growthprojections,MATCH('Detailed Model (LCY)'!$C12,'Model Assumptions'!$C$72:$C$77,0),MATCH('Detailed Model (LCY)'!DY$4,'Model Assumptions'!$C$72:$P$72,0))))</f>
        <v>328.10307883654144</v>
      </c>
    </row>
    <row r="13" spans="1:129" s="19" customFormat="1" ht="15.6" outlineLevel="1">
      <c r="A13" s="20"/>
      <c r="B13" s="21"/>
      <c r="C13" s="9" t="str">
        <f>'Model Assumptions'!$G$24</f>
        <v>Product 1</v>
      </c>
      <c r="D13" s="9"/>
      <c r="E13" s="32"/>
      <c r="F13" s="32"/>
      <c r="G13" s="20"/>
      <c r="H13" s="20"/>
      <c r="I13" s="585">
        <f>startP1</f>
        <v>10</v>
      </c>
      <c r="J13" s="209">
        <f>J8*_Seasonalityeffect</f>
        <v>10.199999999999999</v>
      </c>
      <c r="K13" s="209">
        <f>K8*_Seasonalityeffect</f>
        <v>10.404</v>
      </c>
      <c r="L13" s="209">
        <f t="shared" ref="L13:AO13" si="0">L8*_Seasonalityeffect</f>
        <v>10.612080000000001</v>
      </c>
      <c r="M13" s="209">
        <f t="shared" si="0"/>
        <v>10.824321600000001</v>
      </c>
      <c r="N13" s="209">
        <f t="shared" si="0"/>
        <v>11.040808032000001</v>
      </c>
      <c r="O13" s="209">
        <f t="shared" si="0"/>
        <v>11.261624192640001</v>
      </c>
      <c r="P13" s="209">
        <f t="shared" si="0"/>
        <v>11.486856676492801</v>
      </c>
      <c r="Q13" s="209">
        <f t="shared" si="0"/>
        <v>11.716593810022657</v>
      </c>
      <c r="R13" s="209">
        <f t="shared" si="0"/>
        <v>11.95092568622311</v>
      </c>
      <c r="S13" s="209">
        <f t="shared" si="0"/>
        <v>12.189944199947572</v>
      </c>
      <c r="T13" s="209">
        <f t="shared" si="0"/>
        <v>12.433743083946524</v>
      </c>
      <c r="U13" s="209">
        <f t="shared" si="0"/>
        <v>12.682417945625454</v>
      </c>
      <c r="V13" s="209">
        <f t="shared" si="0"/>
        <v>12.936066304537963</v>
      </c>
      <c r="W13" s="209">
        <f t="shared" si="0"/>
        <v>13.194787630628722</v>
      </c>
      <c r="X13" s="209">
        <f t="shared" si="0"/>
        <v>13.458683383241297</v>
      </c>
      <c r="Y13" s="209">
        <f t="shared" si="0"/>
        <v>13.727857050906124</v>
      </c>
      <c r="Z13" s="209">
        <f t="shared" si="0"/>
        <v>14.002414191924247</v>
      </c>
      <c r="AA13" s="209">
        <f t="shared" si="0"/>
        <v>14.282462475762733</v>
      </c>
      <c r="AB13" s="209">
        <f t="shared" si="0"/>
        <v>14.568111725277987</v>
      </c>
      <c r="AC13" s="209">
        <f t="shared" si="0"/>
        <v>14.859473959783546</v>
      </c>
      <c r="AD13" s="209">
        <f t="shared" si="0"/>
        <v>15.156663438979217</v>
      </c>
      <c r="AE13" s="209">
        <f t="shared" si="0"/>
        <v>15.459796707758802</v>
      </c>
      <c r="AF13" s="209">
        <f t="shared" si="0"/>
        <v>15.768992641913979</v>
      </c>
      <c r="AG13" s="209">
        <f t="shared" si="0"/>
        <v>16.084372494752259</v>
      </c>
      <c r="AH13" s="209">
        <f t="shared" si="0"/>
        <v>16.406059944647303</v>
      </c>
      <c r="AI13" s="209">
        <f t="shared" si="0"/>
        <v>16.734181143540251</v>
      </c>
      <c r="AJ13" s="209">
        <f t="shared" si="0"/>
        <v>17.068864766411057</v>
      </c>
      <c r="AK13" s="209">
        <f t="shared" si="0"/>
        <v>17.410242061739279</v>
      </c>
      <c r="AL13" s="209">
        <f t="shared" si="0"/>
        <v>17.758446902974065</v>
      </c>
      <c r="AM13" s="209">
        <f t="shared" si="0"/>
        <v>18.113615841033546</v>
      </c>
      <c r="AN13" s="209">
        <f t="shared" si="0"/>
        <v>18.475888157854218</v>
      </c>
      <c r="AO13" s="209">
        <f t="shared" si="0"/>
        <v>18.845405921011302</v>
      </c>
      <c r="AP13" s="209">
        <f t="shared" ref="AP13:BU13" si="1">AP8*_Seasonalityeffect</f>
        <v>19.222314039431527</v>
      </c>
      <c r="AQ13" s="209">
        <f t="shared" si="1"/>
        <v>19.606760320220157</v>
      </c>
      <c r="AR13" s="209">
        <f t="shared" si="1"/>
        <v>19.998895526624562</v>
      </c>
      <c r="AS13" s="209">
        <f t="shared" si="1"/>
        <v>20.398873437157054</v>
      </c>
      <c r="AT13" s="209">
        <f t="shared" si="1"/>
        <v>20.806850905900195</v>
      </c>
      <c r="AU13" s="209">
        <f t="shared" si="1"/>
        <v>21.222987924018199</v>
      </c>
      <c r="AV13" s="209">
        <f t="shared" si="1"/>
        <v>21.647447682498562</v>
      </c>
      <c r="AW13" s="209">
        <f t="shared" si="1"/>
        <v>22.080396636148535</v>
      </c>
      <c r="AX13" s="209">
        <f t="shared" si="1"/>
        <v>22.522004568871505</v>
      </c>
      <c r="AY13" s="209">
        <f t="shared" si="1"/>
        <v>22.972444660248936</v>
      </c>
      <c r="AZ13" s="209">
        <f t="shared" si="1"/>
        <v>23.431893553453914</v>
      </c>
      <c r="BA13" s="209">
        <f t="shared" si="1"/>
        <v>23.900531424522992</v>
      </c>
      <c r="BB13" s="209">
        <f t="shared" si="1"/>
        <v>24.378542053013451</v>
      </c>
      <c r="BC13" s="209">
        <f t="shared" si="1"/>
        <v>24.866112894073719</v>
      </c>
      <c r="BD13" s="209">
        <f t="shared" si="1"/>
        <v>25.363435151955194</v>
      </c>
      <c r="BE13" s="209">
        <f t="shared" si="1"/>
        <v>25.8707038549943</v>
      </c>
      <c r="BF13" s="209">
        <f t="shared" si="1"/>
        <v>26.388117932094186</v>
      </c>
      <c r="BG13" s="209">
        <f t="shared" si="1"/>
        <v>26.915880290736069</v>
      </c>
      <c r="BH13" s="209">
        <f t="shared" si="1"/>
        <v>27.454197896550792</v>
      </c>
      <c r="BI13" s="209">
        <f t="shared" si="1"/>
        <v>28.003281854481809</v>
      </c>
      <c r="BJ13" s="209">
        <f t="shared" si="1"/>
        <v>28.563347491571445</v>
      </c>
      <c r="BK13" s="209">
        <f t="shared" si="1"/>
        <v>29.134614441402874</v>
      </c>
      <c r="BL13" s="209">
        <f t="shared" si="1"/>
        <v>29.717306730230931</v>
      </c>
      <c r="BM13" s="209">
        <f t="shared" si="1"/>
        <v>30.311652864835551</v>
      </c>
      <c r="BN13" s="209">
        <f t="shared" si="1"/>
        <v>30.917885922132264</v>
      </c>
      <c r="BO13" s="209">
        <f t="shared" si="1"/>
        <v>31.536243640574909</v>
      </c>
      <c r="BP13" s="209">
        <f t="shared" si="1"/>
        <v>32.166968513386408</v>
      </c>
      <c r="BQ13" s="209">
        <f t="shared" si="1"/>
        <v>32.81030788365414</v>
      </c>
      <c r="BR13" s="209">
        <f t="shared" si="1"/>
        <v>32.81030788365414</v>
      </c>
      <c r="BS13" s="209">
        <f t="shared" si="1"/>
        <v>32.81030788365414</v>
      </c>
      <c r="BT13" s="209">
        <f t="shared" si="1"/>
        <v>32.81030788365414</v>
      </c>
      <c r="BU13" s="209">
        <f t="shared" si="1"/>
        <v>32.81030788365414</v>
      </c>
      <c r="BV13" s="209">
        <f t="shared" ref="BV13:DA13" si="2">BV8*_Seasonalityeffect</f>
        <v>32.81030788365414</v>
      </c>
      <c r="BW13" s="209">
        <f t="shared" si="2"/>
        <v>32.81030788365414</v>
      </c>
      <c r="BX13" s="209">
        <f t="shared" si="2"/>
        <v>32.81030788365414</v>
      </c>
      <c r="BY13" s="209">
        <f t="shared" si="2"/>
        <v>32.81030788365414</v>
      </c>
      <c r="BZ13" s="209">
        <f t="shared" si="2"/>
        <v>32.81030788365414</v>
      </c>
      <c r="CA13" s="209">
        <f t="shared" si="2"/>
        <v>32.81030788365414</v>
      </c>
      <c r="CB13" s="209">
        <f t="shared" si="2"/>
        <v>32.81030788365414</v>
      </c>
      <c r="CC13" s="209">
        <f t="shared" si="2"/>
        <v>32.81030788365414</v>
      </c>
      <c r="CD13" s="209">
        <f t="shared" si="2"/>
        <v>32.81030788365414</v>
      </c>
      <c r="CE13" s="209">
        <f t="shared" si="2"/>
        <v>32.81030788365414</v>
      </c>
      <c r="CF13" s="209">
        <f t="shared" si="2"/>
        <v>32.81030788365414</v>
      </c>
      <c r="CG13" s="209">
        <f t="shared" si="2"/>
        <v>32.81030788365414</v>
      </c>
      <c r="CH13" s="209">
        <f t="shared" si="2"/>
        <v>32.81030788365414</v>
      </c>
      <c r="CI13" s="209">
        <f t="shared" si="2"/>
        <v>32.81030788365414</v>
      </c>
      <c r="CJ13" s="209">
        <f t="shared" si="2"/>
        <v>32.81030788365414</v>
      </c>
      <c r="CK13" s="209">
        <f t="shared" si="2"/>
        <v>32.81030788365414</v>
      </c>
      <c r="CL13" s="209">
        <f t="shared" si="2"/>
        <v>32.81030788365414</v>
      </c>
      <c r="CM13" s="209">
        <f t="shared" si="2"/>
        <v>32.81030788365414</v>
      </c>
      <c r="CN13" s="209">
        <f t="shared" si="2"/>
        <v>32.81030788365414</v>
      </c>
      <c r="CO13" s="209">
        <f t="shared" si="2"/>
        <v>32.81030788365414</v>
      </c>
      <c r="CP13" s="209">
        <f t="shared" si="2"/>
        <v>32.81030788365414</v>
      </c>
      <c r="CQ13" s="209">
        <f t="shared" si="2"/>
        <v>32.81030788365414</v>
      </c>
      <c r="CR13" s="209">
        <f t="shared" si="2"/>
        <v>32.81030788365414</v>
      </c>
      <c r="CS13" s="209">
        <f t="shared" si="2"/>
        <v>32.81030788365414</v>
      </c>
      <c r="CT13" s="209">
        <f t="shared" si="2"/>
        <v>32.81030788365414</v>
      </c>
      <c r="CU13" s="209">
        <f t="shared" si="2"/>
        <v>32.81030788365414</v>
      </c>
      <c r="CV13" s="209">
        <f t="shared" si="2"/>
        <v>32.81030788365414</v>
      </c>
      <c r="CW13" s="209">
        <f t="shared" si="2"/>
        <v>32.81030788365414</v>
      </c>
      <c r="CX13" s="209">
        <f t="shared" si="2"/>
        <v>32.81030788365414</v>
      </c>
      <c r="CY13" s="209">
        <f t="shared" si="2"/>
        <v>32.81030788365414</v>
      </c>
      <c r="CZ13" s="209">
        <f t="shared" si="2"/>
        <v>32.81030788365414</v>
      </c>
      <c r="DA13" s="209">
        <f t="shared" si="2"/>
        <v>32.81030788365414</v>
      </c>
      <c r="DB13" s="209">
        <f t="shared" ref="DB13:DY13" si="3">DB8*_Seasonalityeffect</f>
        <v>32.81030788365414</v>
      </c>
      <c r="DC13" s="209">
        <f t="shared" si="3"/>
        <v>32.81030788365414</v>
      </c>
      <c r="DD13" s="209">
        <f t="shared" si="3"/>
        <v>32.81030788365414</v>
      </c>
      <c r="DE13" s="209">
        <f t="shared" si="3"/>
        <v>32.81030788365414</v>
      </c>
      <c r="DF13" s="209">
        <f t="shared" si="3"/>
        <v>32.81030788365414</v>
      </c>
      <c r="DG13" s="209">
        <f t="shared" si="3"/>
        <v>32.81030788365414</v>
      </c>
      <c r="DH13" s="209">
        <f t="shared" si="3"/>
        <v>32.81030788365414</v>
      </c>
      <c r="DI13" s="209">
        <f t="shared" si="3"/>
        <v>32.81030788365414</v>
      </c>
      <c r="DJ13" s="209">
        <f t="shared" si="3"/>
        <v>32.81030788365414</v>
      </c>
      <c r="DK13" s="209">
        <f t="shared" si="3"/>
        <v>32.81030788365414</v>
      </c>
      <c r="DL13" s="209">
        <f t="shared" si="3"/>
        <v>32.81030788365414</v>
      </c>
      <c r="DM13" s="209">
        <f t="shared" si="3"/>
        <v>32.81030788365414</v>
      </c>
      <c r="DN13" s="209">
        <f t="shared" si="3"/>
        <v>32.81030788365414</v>
      </c>
      <c r="DO13" s="209">
        <f t="shared" si="3"/>
        <v>32.81030788365414</v>
      </c>
      <c r="DP13" s="209">
        <f t="shared" si="3"/>
        <v>32.81030788365414</v>
      </c>
      <c r="DQ13" s="209">
        <f t="shared" si="3"/>
        <v>32.81030788365414</v>
      </c>
      <c r="DR13" s="209">
        <f t="shared" si="3"/>
        <v>32.81030788365414</v>
      </c>
      <c r="DS13" s="209">
        <f t="shared" si="3"/>
        <v>32.81030788365414</v>
      </c>
      <c r="DT13" s="209">
        <f t="shared" si="3"/>
        <v>32.81030788365414</v>
      </c>
      <c r="DU13" s="209">
        <f t="shared" si="3"/>
        <v>32.81030788365414</v>
      </c>
      <c r="DV13" s="209">
        <f t="shared" si="3"/>
        <v>32.81030788365414</v>
      </c>
      <c r="DW13" s="209">
        <f t="shared" si="3"/>
        <v>32.81030788365414</v>
      </c>
      <c r="DX13" s="209">
        <f t="shared" si="3"/>
        <v>32.81030788365414</v>
      </c>
      <c r="DY13" s="209">
        <f t="shared" si="3"/>
        <v>32.81030788365414</v>
      </c>
    </row>
    <row r="14" spans="1:129" s="19" customFormat="1" ht="15.6" outlineLevel="1">
      <c r="A14" s="20"/>
      <c r="B14" s="21"/>
      <c r="C14" s="9" t="str">
        <f>'Model Assumptions'!$H$24</f>
        <v>Product 2</v>
      </c>
      <c r="D14" s="9"/>
      <c r="E14" s="32"/>
      <c r="F14" s="32"/>
      <c r="G14" s="20"/>
      <c r="H14" s="20"/>
      <c r="I14" s="585">
        <f>startP2</f>
        <v>100</v>
      </c>
      <c r="J14" s="209">
        <f t="shared" ref="J14:AO14" si="4">J9*_Seasonalityeffect</f>
        <v>102</v>
      </c>
      <c r="K14" s="209">
        <f t="shared" si="4"/>
        <v>104.04</v>
      </c>
      <c r="L14" s="209">
        <f t="shared" si="4"/>
        <v>106.1208</v>
      </c>
      <c r="M14" s="209">
        <f t="shared" si="4"/>
        <v>108.243216</v>
      </c>
      <c r="N14" s="209">
        <f t="shared" si="4"/>
        <v>110.40808032000001</v>
      </c>
      <c r="O14" s="209">
        <f t="shared" si="4"/>
        <v>112.61624192640001</v>
      </c>
      <c r="P14" s="209">
        <f t="shared" si="4"/>
        <v>114.868566764928</v>
      </c>
      <c r="Q14" s="209">
        <f t="shared" si="4"/>
        <v>117.16593810022657</v>
      </c>
      <c r="R14" s="209">
        <f t="shared" si="4"/>
        <v>119.5092568622311</v>
      </c>
      <c r="S14" s="209">
        <f t="shared" si="4"/>
        <v>121.89944199947573</v>
      </c>
      <c r="T14" s="209">
        <f t="shared" si="4"/>
        <v>124.33743083946524</v>
      </c>
      <c r="U14" s="209">
        <f t="shared" si="4"/>
        <v>126.82417945625456</v>
      </c>
      <c r="V14" s="209">
        <f t="shared" si="4"/>
        <v>129.36066304537965</v>
      </c>
      <c r="W14" s="209">
        <f t="shared" si="4"/>
        <v>131.94787630628724</v>
      </c>
      <c r="X14" s="209">
        <f t="shared" si="4"/>
        <v>134.58683383241299</v>
      </c>
      <c r="Y14" s="209">
        <f t="shared" si="4"/>
        <v>137.27857050906127</v>
      </c>
      <c r="Z14" s="209">
        <f t="shared" si="4"/>
        <v>140.02414191924251</v>
      </c>
      <c r="AA14" s="209">
        <f t="shared" si="4"/>
        <v>142.82462475762736</v>
      </c>
      <c r="AB14" s="209">
        <f t="shared" si="4"/>
        <v>145.6811172527799</v>
      </c>
      <c r="AC14" s="209">
        <f t="shared" si="4"/>
        <v>148.59473959783551</v>
      </c>
      <c r="AD14" s="209">
        <f t="shared" si="4"/>
        <v>151.56663438979223</v>
      </c>
      <c r="AE14" s="209">
        <f t="shared" si="4"/>
        <v>154.59796707758807</v>
      </c>
      <c r="AF14" s="209">
        <f t="shared" si="4"/>
        <v>157.68992641913982</v>
      </c>
      <c r="AG14" s="209">
        <f t="shared" si="4"/>
        <v>160.84372494752262</v>
      </c>
      <c r="AH14" s="209">
        <f t="shared" si="4"/>
        <v>164.06059944647308</v>
      </c>
      <c r="AI14" s="209">
        <f t="shared" si="4"/>
        <v>167.34181143540255</v>
      </c>
      <c r="AJ14" s="209">
        <f t="shared" si="4"/>
        <v>170.68864766411059</v>
      </c>
      <c r="AK14" s="209">
        <f t="shared" si="4"/>
        <v>174.1024206173928</v>
      </c>
      <c r="AL14" s="209">
        <f t="shared" si="4"/>
        <v>177.58446902974066</v>
      </c>
      <c r="AM14" s="209">
        <f t="shared" si="4"/>
        <v>181.13615841033547</v>
      </c>
      <c r="AN14" s="209">
        <f t="shared" si="4"/>
        <v>184.75888157854217</v>
      </c>
      <c r="AO14" s="209">
        <f t="shared" si="4"/>
        <v>188.45405921011303</v>
      </c>
      <c r="AP14" s="209">
        <f t="shared" ref="AP14:BU14" si="5">AP9*_Seasonalityeffect</f>
        <v>192.22314039431529</v>
      </c>
      <c r="AQ14" s="209">
        <f t="shared" si="5"/>
        <v>196.06760320220161</v>
      </c>
      <c r="AR14" s="209">
        <f t="shared" si="5"/>
        <v>199.98895526624565</v>
      </c>
      <c r="AS14" s="209">
        <f t="shared" si="5"/>
        <v>203.98873437157056</v>
      </c>
      <c r="AT14" s="209">
        <f t="shared" si="5"/>
        <v>208.06850905900197</v>
      </c>
      <c r="AU14" s="209">
        <f t="shared" si="5"/>
        <v>212.22987924018202</v>
      </c>
      <c r="AV14" s="209">
        <f t="shared" si="5"/>
        <v>216.47447682498566</v>
      </c>
      <c r="AW14" s="209">
        <f t="shared" si="5"/>
        <v>220.80396636148538</v>
      </c>
      <c r="AX14" s="209">
        <f t="shared" si="5"/>
        <v>225.22004568871509</v>
      </c>
      <c r="AY14" s="209">
        <f t="shared" si="5"/>
        <v>229.72444660248939</v>
      </c>
      <c r="AZ14" s="209">
        <f t="shared" si="5"/>
        <v>234.31893553453918</v>
      </c>
      <c r="BA14" s="209">
        <f t="shared" si="5"/>
        <v>239.00531424522995</v>
      </c>
      <c r="BB14" s="209">
        <f t="shared" si="5"/>
        <v>243.78542053013456</v>
      </c>
      <c r="BC14" s="209">
        <f t="shared" si="5"/>
        <v>248.66112894073726</v>
      </c>
      <c r="BD14" s="209">
        <f t="shared" si="5"/>
        <v>253.63435151955201</v>
      </c>
      <c r="BE14" s="209">
        <f t="shared" si="5"/>
        <v>258.70703854994304</v>
      </c>
      <c r="BF14" s="209">
        <f t="shared" si="5"/>
        <v>263.8811793209419</v>
      </c>
      <c r="BG14" s="209">
        <f t="shared" si="5"/>
        <v>269.15880290736072</v>
      </c>
      <c r="BH14" s="209">
        <f t="shared" si="5"/>
        <v>274.54197896550795</v>
      </c>
      <c r="BI14" s="209">
        <f t="shared" si="5"/>
        <v>280.0328185448181</v>
      </c>
      <c r="BJ14" s="209">
        <f t="shared" si="5"/>
        <v>285.63347491571449</v>
      </c>
      <c r="BK14" s="209">
        <f t="shared" si="5"/>
        <v>291.3461444140288</v>
      </c>
      <c r="BL14" s="209">
        <f t="shared" si="5"/>
        <v>297.17306730230939</v>
      </c>
      <c r="BM14" s="209">
        <f t="shared" si="5"/>
        <v>303.1165286483556</v>
      </c>
      <c r="BN14" s="209">
        <f t="shared" si="5"/>
        <v>309.17885922132274</v>
      </c>
      <c r="BO14" s="209">
        <f t="shared" si="5"/>
        <v>315.36243640574918</v>
      </c>
      <c r="BP14" s="209">
        <f t="shared" si="5"/>
        <v>321.66968513386416</v>
      </c>
      <c r="BQ14" s="209">
        <f t="shared" si="5"/>
        <v>328.10307883654144</v>
      </c>
      <c r="BR14" s="209">
        <f t="shared" si="5"/>
        <v>328.10307883654144</v>
      </c>
      <c r="BS14" s="209">
        <f t="shared" si="5"/>
        <v>328.10307883654144</v>
      </c>
      <c r="BT14" s="209">
        <f t="shared" si="5"/>
        <v>328.10307883654144</v>
      </c>
      <c r="BU14" s="209">
        <f t="shared" si="5"/>
        <v>328.10307883654144</v>
      </c>
      <c r="BV14" s="209">
        <f t="shared" ref="BV14:DA14" si="6">BV9*_Seasonalityeffect</f>
        <v>328.10307883654144</v>
      </c>
      <c r="BW14" s="209">
        <f t="shared" si="6"/>
        <v>328.10307883654144</v>
      </c>
      <c r="BX14" s="209">
        <f t="shared" si="6"/>
        <v>328.10307883654144</v>
      </c>
      <c r="BY14" s="209">
        <f t="shared" si="6"/>
        <v>328.10307883654144</v>
      </c>
      <c r="BZ14" s="209">
        <f t="shared" si="6"/>
        <v>328.10307883654144</v>
      </c>
      <c r="CA14" s="209">
        <f t="shared" si="6"/>
        <v>328.10307883654144</v>
      </c>
      <c r="CB14" s="209">
        <f t="shared" si="6"/>
        <v>328.10307883654144</v>
      </c>
      <c r="CC14" s="209">
        <f t="shared" si="6"/>
        <v>328.10307883654144</v>
      </c>
      <c r="CD14" s="209">
        <f t="shared" si="6"/>
        <v>328.10307883654144</v>
      </c>
      <c r="CE14" s="209">
        <f t="shared" si="6"/>
        <v>328.10307883654144</v>
      </c>
      <c r="CF14" s="209">
        <f t="shared" si="6"/>
        <v>328.10307883654144</v>
      </c>
      <c r="CG14" s="209">
        <f t="shared" si="6"/>
        <v>328.10307883654144</v>
      </c>
      <c r="CH14" s="209">
        <f t="shared" si="6"/>
        <v>328.10307883654144</v>
      </c>
      <c r="CI14" s="209">
        <f t="shared" si="6"/>
        <v>328.10307883654144</v>
      </c>
      <c r="CJ14" s="209">
        <f t="shared" si="6"/>
        <v>328.10307883654144</v>
      </c>
      <c r="CK14" s="209">
        <f t="shared" si="6"/>
        <v>328.10307883654144</v>
      </c>
      <c r="CL14" s="209">
        <f t="shared" si="6"/>
        <v>328.10307883654144</v>
      </c>
      <c r="CM14" s="209">
        <f t="shared" si="6"/>
        <v>328.10307883654144</v>
      </c>
      <c r="CN14" s="209">
        <f t="shared" si="6"/>
        <v>328.10307883654144</v>
      </c>
      <c r="CO14" s="209">
        <f t="shared" si="6"/>
        <v>328.10307883654144</v>
      </c>
      <c r="CP14" s="209">
        <f t="shared" si="6"/>
        <v>328.10307883654144</v>
      </c>
      <c r="CQ14" s="209">
        <f t="shared" si="6"/>
        <v>328.10307883654144</v>
      </c>
      <c r="CR14" s="209">
        <f t="shared" si="6"/>
        <v>328.10307883654144</v>
      </c>
      <c r="CS14" s="209">
        <f t="shared" si="6"/>
        <v>328.10307883654144</v>
      </c>
      <c r="CT14" s="209">
        <f t="shared" si="6"/>
        <v>328.10307883654144</v>
      </c>
      <c r="CU14" s="209">
        <f t="shared" si="6"/>
        <v>328.10307883654144</v>
      </c>
      <c r="CV14" s="209">
        <f t="shared" si="6"/>
        <v>328.10307883654144</v>
      </c>
      <c r="CW14" s="209">
        <f t="shared" si="6"/>
        <v>328.10307883654144</v>
      </c>
      <c r="CX14" s="209">
        <f t="shared" si="6"/>
        <v>328.10307883654144</v>
      </c>
      <c r="CY14" s="209">
        <f t="shared" si="6"/>
        <v>328.10307883654144</v>
      </c>
      <c r="CZ14" s="209">
        <f t="shared" si="6"/>
        <v>328.10307883654144</v>
      </c>
      <c r="DA14" s="209">
        <f t="shared" si="6"/>
        <v>328.10307883654144</v>
      </c>
      <c r="DB14" s="209">
        <f t="shared" ref="DB14:DY14" si="7">DB9*_Seasonalityeffect</f>
        <v>328.10307883654144</v>
      </c>
      <c r="DC14" s="209">
        <f t="shared" si="7"/>
        <v>328.10307883654144</v>
      </c>
      <c r="DD14" s="209">
        <f t="shared" si="7"/>
        <v>328.10307883654144</v>
      </c>
      <c r="DE14" s="209">
        <f t="shared" si="7"/>
        <v>328.10307883654144</v>
      </c>
      <c r="DF14" s="209">
        <f t="shared" si="7"/>
        <v>328.10307883654144</v>
      </c>
      <c r="DG14" s="209">
        <f t="shared" si="7"/>
        <v>328.10307883654144</v>
      </c>
      <c r="DH14" s="209">
        <f t="shared" si="7"/>
        <v>328.10307883654144</v>
      </c>
      <c r="DI14" s="209">
        <f t="shared" si="7"/>
        <v>328.10307883654144</v>
      </c>
      <c r="DJ14" s="209">
        <f t="shared" si="7"/>
        <v>328.10307883654144</v>
      </c>
      <c r="DK14" s="209">
        <f t="shared" si="7"/>
        <v>328.10307883654144</v>
      </c>
      <c r="DL14" s="209">
        <f t="shared" si="7"/>
        <v>328.10307883654144</v>
      </c>
      <c r="DM14" s="209">
        <f t="shared" si="7"/>
        <v>328.10307883654144</v>
      </c>
      <c r="DN14" s="209">
        <f t="shared" si="7"/>
        <v>328.10307883654144</v>
      </c>
      <c r="DO14" s="209">
        <f t="shared" si="7"/>
        <v>328.10307883654144</v>
      </c>
      <c r="DP14" s="209">
        <f t="shared" si="7"/>
        <v>328.10307883654144</v>
      </c>
      <c r="DQ14" s="209">
        <f t="shared" si="7"/>
        <v>328.10307883654144</v>
      </c>
      <c r="DR14" s="209">
        <f t="shared" si="7"/>
        <v>328.10307883654144</v>
      </c>
      <c r="DS14" s="209">
        <f t="shared" si="7"/>
        <v>328.10307883654144</v>
      </c>
      <c r="DT14" s="209">
        <f t="shared" si="7"/>
        <v>328.10307883654144</v>
      </c>
      <c r="DU14" s="209">
        <f t="shared" si="7"/>
        <v>328.10307883654144</v>
      </c>
      <c r="DV14" s="209">
        <f t="shared" si="7"/>
        <v>328.10307883654144</v>
      </c>
      <c r="DW14" s="209">
        <f t="shared" si="7"/>
        <v>328.10307883654144</v>
      </c>
      <c r="DX14" s="209">
        <f t="shared" si="7"/>
        <v>328.10307883654144</v>
      </c>
      <c r="DY14" s="209">
        <f t="shared" si="7"/>
        <v>328.10307883654144</v>
      </c>
    </row>
    <row r="15" spans="1:129" s="19" customFormat="1" ht="15.6" outlineLevel="1">
      <c r="A15" s="20"/>
      <c r="B15" s="21"/>
      <c r="C15" s="9" t="str">
        <f>'Model Assumptions'!$I$24</f>
        <v>Product 3</v>
      </c>
      <c r="D15" s="9"/>
      <c r="E15" s="32"/>
      <c r="F15" s="32"/>
      <c r="G15" s="20"/>
      <c r="H15" s="20"/>
      <c r="I15" s="585">
        <f>startP3</f>
        <v>50</v>
      </c>
      <c r="J15" s="209">
        <f t="shared" ref="J15:AO15" si="8">J10*_Seasonalityeffect</f>
        <v>51</v>
      </c>
      <c r="K15" s="209">
        <f t="shared" si="8"/>
        <v>52.02</v>
      </c>
      <c r="L15" s="209">
        <f t="shared" si="8"/>
        <v>53.060400000000001</v>
      </c>
      <c r="M15" s="209">
        <f t="shared" si="8"/>
        <v>54.121608000000002</v>
      </c>
      <c r="N15" s="209">
        <f t="shared" si="8"/>
        <v>55.204040160000005</v>
      </c>
      <c r="O15" s="209">
        <f t="shared" si="8"/>
        <v>56.308120963200004</v>
      </c>
      <c r="P15" s="209">
        <f t="shared" si="8"/>
        <v>57.434283382464002</v>
      </c>
      <c r="Q15" s="209">
        <f t="shared" si="8"/>
        <v>58.582969050113284</v>
      </c>
      <c r="R15" s="209">
        <f t="shared" si="8"/>
        <v>59.754628431115549</v>
      </c>
      <c r="S15" s="209">
        <f t="shared" si="8"/>
        <v>60.949720999737863</v>
      </c>
      <c r="T15" s="209">
        <f t="shared" si="8"/>
        <v>62.168715419732621</v>
      </c>
      <c r="U15" s="209">
        <f t="shared" si="8"/>
        <v>63.412089728127278</v>
      </c>
      <c r="V15" s="209">
        <f t="shared" si="8"/>
        <v>64.680331522689826</v>
      </c>
      <c r="W15" s="209">
        <f t="shared" si="8"/>
        <v>65.973938153143621</v>
      </c>
      <c r="X15" s="209">
        <f t="shared" si="8"/>
        <v>67.293416916206496</v>
      </c>
      <c r="Y15" s="209">
        <f t="shared" si="8"/>
        <v>68.639285254530634</v>
      </c>
      <c r="Z15" s="209">
        <f t="shared" si="8"/>
        <v>70.012070959621255</v>
      </c>
      <c r="AA15" s="209">
        <f t="shared" si="8"/>
        <v>71.412312378813681</v>
      </c>
      <c r="AB15" s="209">
        <f t="shared" si="8"/>
        <v>72.840558626389949</v>
      </c>
      <c r="AC15" s="209">
        <f t="shared" si="8"/>
        <v>74.297369798917757</v>
      </c>
      <c r="AD15" s="209">
        <f t="shared" si="8"/>
        <v>75.783317194896114</v>
      </c>
      <c r="AE15" s="209">
        <f t="shared" si="8"/>
        <v>77.298983538794033</v>
      </c>
      <c r="AF15" s="209">
        <f t="shared" si="8"/>
        <v>78.844963209569912</v>
      </c>
      <c r="AG15" s="209">
        <f t="shared" si="8"/>
        <v>80.421862473761308</v>
      </c>
      <c r="AH15" s="209">
        <f t="shared" si="8"/>
        <v>82.030299723236539</v>
      </c>
      <c r="AI15" s="209">
        <f t="shared" si="8"/>
        <v>83.670905717701274</v>
      </c>
      <c r="AJ15" s="209">
        <f t="shared" si="8"/>
        <v>85.344323832055295</v>
      </c>
      <c r="AK15" s="209">
        <f t="shared" si="8"/>
        <v>87.051210308696398</v>
      </c>
      <c r="AL15" s="209">
        <f t="shared" si="8"/>
        <v>88.79223451487033</v>
      </c>
      <c r="AM15" s="209">
        <f t="shared" si="8"/>
        <v>90.568079205167734</v>
      </c>
      <c r="AN15" s="209">
        <f t="shared" si="8"/>
        <v>92.379440789271086</v>
      </c>
      <c r="AO15" s="209">
        <f t="shared" si="8"/>
        <v>94.227029605056515</v>
      </c>
      <c r="AP15" s="209">
        <f t="shared" ref="AP15:BU15" si="9">AP10*_Seasonalityeffect</f>
        <v>96.111570197157647</v>
      </c>
      <c r="AQ15" s="209">
        <f t="shared" si="9"/>
        <v>98.033801601100805</v>
      </c>
      <c r="AR15" s="209">
        <f t="shared" si="9"/>
        <v>99.994477633122827</v>
      </c>
      <c r="AS15" s="209">
        <f t="shared" si="9"/>
        <v>101.99436718578528</v>
      </c>
      <c r="AT15" s="209">
        <f t="shared" si="9"/>
        <v>104.03425452950098</v>
      </c>
      <c r="AU15" s="209">
        <f t="shared" si="9"/>
        <v>106.11493962009101</v>
      </c>
      <c r="AV15" s="209">
        <f t="shared" si="9"/>
        <v>108.23723841249283</v>
      </c>
      <c r="AW15" s="209">
        <f t="shared" si="9"/>
        <v>110.40198318074269</v>
      </c>
      <c r="AX15" s="209">
        <f t="shared" si="9"/>
        <v>112.61002284435754</v>
      </c>
      <c r="AY15" s="209">
        <f t="shared" si="9"/>
        <v>114.8622233012447</v>
      </c>
      <c r="AZ15" s="209">
        <f t="shared" si="9"/>
        <v>117.15946776726959</v>
      </c>
      <c r="BA15" s="209">
        <f t="shared" si="9"/>
        <v>119.50265712261498</v>
      </c>
      <c r="BB15" s="209">
        <f t="shared" si="9"/>
        <v>121.89271026506728</v>
      </c>
      <c r="BC15" s="209">
        <f t="shared" si="9"/>
        <v>124.33056447036863</v>
      </c>
      <c r="BD15" s="209">
        <f t="shared" si="9"/>
        <v>126.81717575977601</v>
      </c>
      <c r="BE15" s="209">
        <f t="shared" si="9"/>
        <v>129.35351927497152</v>
      </c>
      <c r="BF15" s="209">
        <f t="shared" si="9"/>
        <v>131.94058966047095</v>
      </c>
      <c r="BG15" s="209">
        <f t="shared" si="9"/>
        <v>134.57940145368036</v>
      </c>
      <c r="BH15" s="209">
        <f t="shared" si="9"/>
        <v>137.27098948275398</v>
      </c>
      <c r="BI15" s="209">
        <f t="shared" si="9"/>
        <v>140.01640927240905</v>
      </c>
      <c r="BJ15" s="209">
        <f t="shared" si="9"/>
        <v>142.81673745785724</v>
      </c>
      <c r="BK15" s="209">
        <f t="shared" si="9"/>
        <v>145.6730722070144</v>
      </c>
      <c r="BL15" s="209">
        <f t="shared" si="9"/>
        <v>148.5865336511547</v>
      </c>
      <c r="BM15" s="209">
        <f t="shared" si="9"/>
        <v>151.5582643241778</v>
      </c>
      <c r="BN15" s="209">
        <f t="shared" si="9"/>
        <v>154.58942961066137</v>
      </c>
      <c r="BO15" s="209">
        <f t="shared" si="9"/>
        <v>157.68121820287459</v>
      </c>
      <c r="BP15" s="209">
        <f t="shared" si="9"/>
        <v>160.83484256693208</v>
      </c>
      <c r="BQ15" s="209">
        <f t="shared" si="9"/>
        <v>164.05153941827072</v>
      </c>
      <c r="BR15" s="209">
        <f t="shared" si="9"/>
        <v>164.05153941827072</v>
      </c>
      <c r="BS15" s="209">
        <f t="shared" si="9"/>
        <v>164.05153941827072</v>
      </c>
      <c r="BT15" s="209">
        <f t="shared" si="9"/>
        <v>164.05153941827072</v>
      </c>
      <c r="BU15" s="209">
        <f t="shared" si="9"/>
        <v>164.05153941827072</v>
      </c>
      <c r="BV15" s="209">
        <f t="shared" ref="BV15:DA15" si="10">BV10*_Seasonalityeffect</f>
        <v>164.05153941827072</v>
      </c>
      <c r="BW15" s="209">
        <f t="shared" si="10"/>
        <v>164.05153941827072</v>
      </c>
      <c r="BX15" s="209">
        <f t="shared" si="10"/>
        <v>164.05153941827072</v>
      </c>
      <c r="BY15" s="209">
        <f t="shared" si="10"/>
        <v>164.05153941827072</v>
      </c>
      <c r="BZ15" s="209">
        <f t="shared" si="10"/>
        <v>164.05153941827072</v>
      </c>
      <c r="CA15" s="209">
        <f t="shared" si="10"/>
        <v>164.05153941827072</v>
      </c>
      <c r="CB15" s="209">
        <f t="shared" si="10"/>
        <v>164.05153941827072</v>
      </c>
      <c r="CC15" s="209">
        <f t="shared" si="10"/>
        <v>164.05153941827072</v>
      </c>
      <c r="CD15" s="209">
        <f t="shared" si="10"/>
        <v>164.05153941827072</v>
      </c>
      <c r="CE15" s="209">
        <f t="shared" si="10"/>
        <v>164.05153941827072</v>
      </c>
      <c r="CF15" s="209">
        <f t="shared" si="10"/>
        <v>164.05153941827072</v>
      </c>
      <c r="CG15" s="209">
        <f t="shared" si="10"/>
        <v>164.05153941827072</v>
      </c>
      <c r="CH15" s="209">
        <f t="shared" si="10"/>
        <v>164.05153941827072</v>
      </c>
      <c r="CI15" s="209">
        <f t="shared" si="10"/>
        <v>164.05153941827072</v>
      </c>
      <c r="CJ15" s="209">
        <f t="shared" si="10"/>
        <v>164.05153941827072</v>
      </c>
      <c r="CK15" s="209">
        <f t="shared" si="10"/>
        <v>164.05153941827072</v>
      </c>
      <c r="CL15" s="209">
        <f t="shared" si="10"/>
        <v>164.05153941827072</v>
      </c>
      <c r="CM15" s="209">
        <f t="shared" si="10"/>
        <v>164.05153941827072</v>
      </c>
      <c r="CN15" s="209">
        <f t="shared" si="10"/>
        <v>164.05153941827072</v>
      </c>
      <c r="CO15" s="209">
        <f t="shared" si="10"/>
        <v>164.05153941827072</v>
      </c>
      <c r="CP15" s="209">
        <f t="shared" si="10"/>
        <v>164.05153941827072</v>
      </c>
      <c r="CQ15" s="209">
        <f t="shared" si="10"/>
        <v>164.05153941827072</v>
      </c>
      <c r="CR15" s="209">
        <f t="shared" si="10"/>
        <v>164.05153941827072</v>
      </c>
      <c r="CS15" s="209">
        <f t="shared" si="10"/>
        <v>164.05153941827072</v>
      </c>
      <c r="CT15" s="209">
        <f t="shared" si="10"/>
        <v>164.05153941827072</v>
      </c>
      <c r="CU15" s="209">
        <f t="shared" si="10"/>
        <v>164.05153941827072</v>
      </c>
      <c r="CV15" s="209">
        <f t="shared" si="10"/>
        <v>164.05153941827072</v>
      </c>
      <c r="CW15" s="209">
        <f t="shared" si="10"/>
        <v>164.05153941827072</v>
      </c>
      <c r="CX15" s="209">
        <f t="shared" si="10"/>
        <v>164.05153941827072</v>
      </c>
      <c r="CY15" s="209">
        <f t="shared" si="10"/>
        <v>164.05153941827072</v>
      </c>
      <c r="CZ15" s="209">
        <f t="shared" si="10"/>
        <v>164.05153941827072</v>
      </c>
      <c r="DA15" s="209">
        <f t="shared" si="10"/>
        <v>164.05153941827072</v>
      </c>
      <c r="DB15" s="209">
        <f t="shared" ref="DB15:DY15" si="11">DB10*_Seasonalityeffect</f>
        <v>164.05153941827072</v>
      </c>
      <c r="DC15" s="209">
        <f t="shared" si="11"/>
        <v>164.05153941827072</v>
      </c>
      <c r="DD15" s="209">
        <f t="shared" si="11"/>
        <v>164.05153941827072</v>
      </c>
      <c r="DE15" s="209">
        <f t="shared" si="11"/>
        <v>164.05153941827072</v>
      </c>
      <c r="DF15" s="209">
        <f t="shared" si="11"/>
        <v>164.05153941827072</v>
      </c>
      <c r="DG15" s="209">
        <f t="shared" si="11"/>
        <v>164.05153941827072</v>
      </c>
      <c r="DH15" s="209">
        <f t="shared" si="11"/>
        <v>164.05153941827072</v>
      </c>
      <c r="DI15" s="209">
        <f t="shared" si="11"/>
        <v>164.05153941827072</v>
      </c>
      <c r="DJ15" s="209">
        <f t="shared" si="11"/>
        <v>164.05153941827072</v>
      </c>
      <c r="DK15" s="209">
        <f t="shared" si="11"/>
        <v>164.05153941827072</v>
      </c>
      <c r="DL15" s="209">
        <f t="shared" si="11"/>
        <v>164.05153941827072</v>
      </c>
      <c r="DM15" s="209">
        <f t="shared" si="11"/>
        <v>164.05153941827072</v>
      </c>
      <c r="DN15" s="209">
        <f t="shared" si="11"/>
        <v>164.05153941827072</v>
      </c>
      <c r="DO15" s="209">
        <f t="shared" si="11"/>
        <v>164.05153941827072</v>
      </c>
      <c r="DP15" s="209">
        <f t="shared" si="11"/>
        <v>164.05153941827072</v>
      </c>
      <c r="DQ15" s="209">
        <f t="shared" si="11"/>
        <v>164.05153941827072</v>
      </c>
      <c r="DR15" s="209">
        <f t="shared" si="11"/>
        <v>164.05153941827072</v>
      </c>
      <c r="DS15" s="209">
        <f t="shared" si="11"/>
        <v>164.05153941827072</v>
      </c>
      <c r="DT15" s="209">
        <f t="shared" si="11"/>
        <v>164.05153941827072</v>
      </c>
      <c r="DU15" s="209">
        <f t="shared" si="11"/>
        <v>164.05153941827072</v>
      </c>
      <c r="DV15" s="209">
        <f t="shared" si="11"/>
        <v>164.05153941827072</v>
      </c>
      <c r="DW15" s="209">
        <f t="shared" si="11"/>
        <v>164.05153941827072</v>
      </c>
      <c r="DX15" s="209">
        <f t="shared" si="11"/>
        <v>164.05153941827072</v>
      </c>
      <c r="DY15" s="209">
        <f t="shared" si="11"/>
        <v>164.05153941827072</v>
      </c>
    </row>
    <row r="16" spans="1:129" s="19" customFormat="1" ht="15.6" outlineLevel="1">
      <c r="A16" s="20"/>
      <c r="B16" s="21"/>
      <c r="C16" s="9" t="str">
        <f>'Model Assumptions'!$J$24</f>
        <v>Product 4</v>
      </c>
      <c r="D16" s="9"/>
      <c r="E16" s="32"/>
      <c r="F16" s="32"/>
      <c r="G16" s="20"/>
      <c r="H16" s="20"/>
      <c r="I16" s="585">
        <f>startP4</f>
        <v>200</v>
      </c>
      <c r="J16" s="209">
        <f t="shared" ref="J16:AO16" si="12">J11*_Seasonalityeffect</f>
        <v>204</v>
      </c>
      <c r="K16" s="209">
        <f t="shared" si="12"/>
        <v>208.08</v>
      </c>
      <c r="L16" s="209">
        <f t="shared" si="12"/>
        <v>212.24160000000001</v>
      </c>
      <c r="M16" s="209">
        <f t="shared" si="12"/>
        <v>216.48643200000001</v>
      </c>
      <c r="N16" s="209">
        <f t="shared" si="12"/>
        <v>220.81616064000002</v>
      </c>
      <c r="O16" s="209">
        <f t="shared" si="12"/>
        <v>225.23248385280002</v>
      </c>
      <c r="P16" s="209">
        <f t="shared" si="12"/>
        <v>229.73713352985601</v>
      </c>
      <c r="Q16" s="209">
        <f t="shared" si="12"/>
        <v>234.33187620045314</v>
      </c>
      <c r="R16" s="209">
        <f t="shared" si="12"/>
        <v>239.0185137244622</v>
      </c>
      <c r="S16" s="209">
        <f t="shared" si="12"/>
        <v>243.79888399895145</v>
      </c>
      <c r="T16" s="209">
        <f t="shared" si="12"/>
        <v>248.67486167893048</v>
      </c>
      <c r="U16" s="209">
        <f t="shared" si="12"/>
        <v>253.64835891250911</v>
      </c>
      <c r="V16" s="209">
        <f t="shared" si="12"/>
        <v>258.72132609075931</v>
      </c>
      <c r="W16" s="209">
        <f t="shared" si="12"/>
        <v>263.89575261257448</v>
      </c>
      <c r="X16" s="209">
        <f t="shared" si="12"/>
        <v>269.17366766482598</v>
      </c>
      <c r="Y16" s="209">
        <f t="shared" si="12"/>
        <v>274.55714101812254</v>
      </c>
      <c r="Z16" s="209">
        <f t="shared" si="12"/>
        <v>280.04828383848502</v>
      </c>
      <c r="AA16" s="209">
        <f t="shared" si="12"/>
        <v>285.64924951525472</v>
      </c>
      <c r="AB16" s="209">
        <f t="shared" si="12"/>
        <v>291.3622345055598</v>
      </c>
      <c r="AC16" s="209">
        <f t="shared" si="12"/>
        <v>297.18947919567103</v>
      </c>
      <c r="AD16" s="209">
        <f t="shared" si="12"/>
        <v>303.13326877958445</v>
      </c>
      <c r="AE16" s="209">
        <f t="shared" si="12"/>
        <v>309.19593415517613</v>
      </c>
      <c r="AF16" s="209">
        <f t="shared" si="12"/>
        <v>315.37985283827965</v>
      </c>
      <c r="AG16" s="209">
        <f t="shared" si="12"/>
        <v>321.68744989504523</v>
      </c>
      <c r="AH16" s="209">
        <f t="shared" si="12"/>
        <v>328.12119889294615</v>
      </c>
      <c r="AI16" s="209">
        <f t="shared" si="12"/>
        <v>334.6836228708051</v>
      </c>
      <c r="AJ16" s="209">
        <f t="shared" si="12"/>
        <v>341.37729532822118</v>
      </c>
      <c r="AK16" s="209">
        <f t="shared" si="12"/>
        <v>348.20484123478559</v>
      </c>
      <c r="AL16" s="209">
        <f t="shared" si="12"/>
        <v>355.16893805948132</v>
      </c>
      <c r="AM16" s="209">
        <f t="shared" si="12"/>
        <v>362.27231682067094</v>
      </c>
      <c r="AN16" s="209">
        <f t="shared" si="12"/>
        <v>369.51776315708435</v>
      </c>
      <c r="AO16" s="209">
        <f t="shared" si="12"/>
        <v>376.90811842022606</v>
      </c>
      <c r="AP16" s="209">
        <f t="shared" ref="AP16:BU16" si="13">AP11*_Seasonalityeffect</f>
        <v>384.44628078863059</v>
      </c>
      <c r="AQ16" s="209">
        <f t="shared" si="13"/>
        <v>392.13520640440322</v>
      </c>
      <c r="AR16" s="209">
        <f t="shared" si="13"/>
        <v>399.97791053249131</v>
      </c>
      <c r="AS16" s="209">
        <f t="shared" si="13"/>
        <v>407.97746874314112</v>
      </c>
      <c r="AT16" s="209">
        <f t="shared" si="13"/>
        <v>416.13701811800394</v>
      </c>
      <c r="AU16" s="209">
        <f t="shared" si="13"/>
        <v>424.45975848036403</v>
      </c>
      <c r="AV16" s="209">
        <f t="shared" si="13"/>
        <v>432.94895364997132</v>
      </c>
      <c r="AW16" s="209">
        <f t="shared" si="13"/>
        <v>441.60793272297076</v>
      </c>
      <c r="AX16" s="209">
        <f t="shared" si="13"/>
        <v>450.44009137743018</v>
      </c>
      <c r="AY16" s="209">
        <f t="shared" si="13"/>
        <v>459.44889320497879</v>
      </c>
      <c r="AZ16" s="209">
        <f t="shared" si="13"/>
        <v>468.63787106907836</v>
      </c>
      <c r="BA16" s="209">
        <f t="shared" si="13"/>
        <v>478.01062849045991</v>
      </c>
      <c r="BB16" s="209">
        <f t="shared" si="13"/>
        <v>487.57084106026912</v>
      </c>
      <c r="BC16" s="209">
        <f t="shared" si="13"/>
        <v>497.32225788147451</v>
      </c>
      <c r="BD16" s="209">
        <f t="shared" si="13"/>
        <v>507.26870303910403</v>
      </c>
      <c r="BE16" s="209">
        <f t="shared" si="13"/>
        <v>517.41407709988607</v>
      </c>
      <c r="BF16" s="209">
        <f t="shared" si="13"/>
        <v>527.76235864188379</v>
      </c>
      <c r="BG16" s="209">
        <f t="shared" si="13"/>
        <v>538.31760581472145</v>
      </c>
      <c r="BH16" s="209">
        <f t="shared" si="13"/>
        <v>549.0839579310159</v>
      </c>
      <c r="BI16" s="209">
        <f t="shared" si="13"/>
        <v>560.0656370896362</v>
      </c>
      <c r="BJ16" s="209">
        <f t="shared" si="13"/>
        <v>571.26694983142897</v>
      </c>
      <c r="BK16" s="209">
        <f t="shared" si="13"/>
        <v>582.6922888280576</v>
      </c>
      <c r="BL16" s="209">
        <f t="shared" si="13"/>
        <v>594.34613460461878</v>
      </c>
      <c r="BM16" s="209">
        <f t="shared" si="13"/>
        <v>606.23305729671119</v>
      </c>
      <c r="BN16" s="209">
        <f t="shared" si="13"/>
        <v>618.35771844264548</v>
      </c>
      <c r="BO16" s="209">
        <f t="shared" si="13"/>
        <v>630.72487281149836</v>
      </c>
      <c r="BP16" s="209">
        <f t="shared" si="13"/>
        <v>643.33937026772833</v>
      </c>
      <c r="BQ16" s="209">
        <f t="shared" si="13"/>
        <v>656.20615767308288</v>
      </c>
      <c r="BR16" s="209">
        <f t="shared" si="13"/>
        <v>656.20615767308288</v>
      </c>
      <c r="BS16" s="209">
        <f t="shared" si="13"/>
        <v>656.20615767308288</v>
      </c>
      <c r="BT16" s="209">
        <f t="shared" si="13"/>
        <v>656.20615767308288</v>
      </c>
      <c r="BU16" s="209">
        <f t="shared" si="13"/>
        <v>656.20615767308288</v>
      </c>
      <c r="BV16" s="209">
        <f t="shared" ref="BV16:DA16" si="14">BV11*_Seasonalityeffect</f>
        <v>656.20615767308288</v>
      </c>
      <c r="BW16" s="209">
        <f t="shared" si="14"/>
        <v>656.20615767308288</v>
      </c>
      <c r="BX16" s="209">
        <f t="shared" si="14"/>
        <v>656.20615767308288</v>
      </c>
      <c r="BY16" s="209">
        <f t="shared" si="14"/>
        <v>656.20615767308288</v>
      </c>
      <c r="BZ16" s="209">
        <f t="shared" si="14"/>
        <v>656.20615767308288</v>
      </c>
      <c r="CA16" s="209">
        <f t="shared" si="14"/>
        <v>656.20615767308288</v>
      </c>
      <c r="CB16" s="209">
        <f t="shared" si="14"/>
        <v>656.20615767308288</v>
      </c>
      <c r="CC16" s="209">
        <f t="shared" si="14"/>
        <v>656.20615767308288</v>
      </c>
      <c r="CD16" s="209">
        <f t="shared" si="14"/>
        <v>656.20615767308288</v>
      </c>
      <c r="CE16" s="209">
        <f t="shared" si="14"/>
        <v>656.20615767308288</v>
      </c>
      <c r="CF16" s="209">
        <f t="shared" si="14"/>
        <v>656.20615767308288</v>
      </c>
      <c r="CG16" s="209">
        <f t="shared" si="14"/>
        <v>656.20615767308288</v>
      </c>
      <c r="CH16" s="209">
        <f t="shared" si="14"/>
        <v>656.20615767308288</v>
      </c>
      <c r="CI16" s="209">
        <f t="shared" si="14"/>
        <v>656.20615767308288</v>
      </c>
      <c r="CJ16" s="209">
        <f t="shared" si="14"/>
        <v>656.20615767308288</v>
      </c>
      <c r="CK16" s="209">
        <f t="shared" si="14"/>
        <v>656.20615767308288</v>
      </c>
      <c r="CL16" s="209">
        <f t="shared" si="14"/>
        <v>656.20615767308288</v>
      </c>
      <c r="CM16" s="209">
        <f t="shared" si="14"/>
        <v>656.20615767308288</v>
      </c>
      <c r="CN16" s="209">
        <f t="shared" si="14"/>
        <v>656.20615767308288</v>
      </c>
      <c r="CO16" s="209">
        <f t="shared" si="14"/>
        <v>656.20615767308288</v>
      </c>
      <c r="CP16" s="209">
        <f t="shared" si="14"/>
        <v>656.20615767308288</v>
      </c>
      <c r="CQ16" s="209">
        <f t="shared" si="14"/>
        <v>656.20615767308288</v>
      </c>
      <c r="CR16" s="209">
        <f t="shared" si="14"/>
        <v>656.20615767308288</v>
      </c>
      <c r="CS16" s="209">
        <f t="shared" si="14"/>
        <v>656.20615767308288</v>
      </c>
      <c r="CT16" s="209">
        <f t="shared" si="14"/>
        <v>656.20615767308288</v>
      </c>
      <c r="CU16" s="209">
        <f t="shared" si="14"/>
        <v>656.20615767308288</v>
      </c>
      <c r="CV16" s="209">
        <f t="shared" si="14"/>
        <v>656.20615767308288</v>
      </c>
      <c r="CW16" s="209">
        <f t="shared" si="14"/>
        <v>656.20615767308288</v>
      </c>
      <c r="CX16" s="209">
        <f t="shared" si="14"/>
        <v>656.20615767308288</v>
      </c>
      <c r="CY16" s="209">
        <f t="shared" si="14"/>
        <v>656.20615767308288</v>
      </c>
      <c r="CZ16" s="209">
        <f t="shared" si="14"/>
        <v>656.20615767308288</v>
      </c>
      <c r="DA16" s="209">
        <f t="shared" si="14"/>
        <v>656.20615767308288</v>
      </c>
      <c r="DB16" s="209">
        <f t="shared" ref="DB16:DY16" si="15">DB11*_Seasonalityeffect</f>
        <v>656.20615767308288</v>
      </c>
      <c r="DC16" s="209">
        <f t="shared" si="15"/>
        <v>656.20615767308288</v>
      </c>
      <c r="DD16" s="209">
        <f t="shared" si="15"/>
        <v>656.20615767308288</v>
      </c>
      <c r="DE16" s="209">
        <f t="shared" si="15"/>
        <v>656.20615767308288</v>
      </c>
      <c r="DF16" s="209">
        <f t="shared" si="15"/>
        <v>656.20615767308288</v>
      </c>
      <c r="DG16" s="209">
        <f t="shared" si="15"/>
        <v>656.20615767308288</v>
      </c>
      <c r="DH16" s="209">
        <f t="shared" si="15"/>
        <v>656.20615767308288</v>
      </c>
      <c r="DI16" s="209">
        <f t="shared" si="15"/>
        <v>656.20615767308288</v>
      </c>
      <c r="DJ16" s="209">
        <f t="shared" si="15"/>
        <v>656.20615767308288</v>
      </c>
      <c r="DK16" s="209">
        <f t="shared" si="15"/>
        <v>656.20615767308288</v>
      </c>
      <c r="DL16" s="209">
        <f t="shared" si="15"/>
        <v>656.20615767308288</v>
      </c>
      <c r="DM16" s="209">
        <f t="shared" si="15"/>
        <v>656.20615767308288</v>
      </c>
      <c r="DN16" s="209">
        <f t="shared" si="15"/>
        <v>656.20615767308288</v>
      </c>
      <c r="DO16" s="209">
        <f t="shared" si="15"/>
        <v>656.20615767308288</v>
      </c>
      <c r="DP16" s="209">
        <f t="shared" si="15"/>
        <v>656.20615767308288</v>
      </c>
      <c r="DQ16" s="209">
        <f t="shared" si="15"/>
        <v>656.20615767308288</v>
      </c>
      <c r="DR16" s="209">
        <f t="shared" si="15"/>
        <v>656.20615767308288</v>
      </c>
      <c r="DS16" s="209">
        <f t="shared" si="15"/>
        <v>656.20615767308288</v>
      </c>
      <c r="DT16" s="209">
        <f t="shared" si="15"/>
        <v>656.20615767308288</v>
      </c>
      <c r="DU16" s="209">
        <f t="shared" si="15"/>
        <v>656.20615767308288</v>
      </c>
      <c r="DV16" s="209">
        <f t="shared" si="15"/>
        <v>656.20615767308288</v>
      </c>
      <c r="DW16" s="209">
        <f t="shared" si="15"/>
        <v>656.20615767308288</v>
      </c>
      <c r="DX16" s="209">
        <f t="shared" si="15"/>
        <v>656.20615767308288</v>
      </c>
      <c r="DY16" s="209">
        <f t="shared" si="15"/>
        <v>656.20615767308288</v>
      </c>
    </row>
    <row r="17" spans="1:129" s="19" customFormat="1" ht="15.6" outlineLevel="1">
      <c r="A17" s="20"/>
      <c r="B17" s="21"/>
      <c r="C17" s="9" t="str">
        <f>'Model Assumptions'!$K$24</f>
        <v>Product 5</v>
      </c>
      <c r="D17" s="9"/>
      <c r="E17" s="32"/>
      <c r="F17" s="32"/>
      <c r="G17" s="20"/>
      <c r="H17" s="20"/>
      <c r="I17" s="585">
        <f>startP5</f>
        <v>100</v>
      </c>
      <c r="J17" s="209">
        <f t="shared" ref="J17:AO17" si="16">J12*_Seasonalityeffect</f>
        <v>102</v>
      </c>
      <c r="K17" s="209">
        <f t="shared" si="16"/>
        <v>104.04</v>
      </c>
      <c r="L17" s="209">
        <f t="shared" si="16"/>
        <v>106.1208</v>
      </c>
      <c r="M17" s="209">
        <f t="shared" si="16"/>
        <v>108.243216</v>
      </c>
      <c r="N17" s="209">
        <f t="shared" si="16"/>
        <v>110.40808032000001</v>
      </c>
      <c r="O17" s="209">
        <f t="shared" si="16"/>
        <v>112.61624192640001</v>
      </c>
      <c r="P17" s="209">
        <f t="shared" si="16"/>
        <v>114.868566764928</v>
      </c>
      <c r="Q17" s="209">
        <f t="shared" si="16"/>
        <v>117.16593810022657</v>
      </c>
      <c r="R17" s="209">
        <f t="shared" si="16"/>
        <v>119.5092568622311</v>
      </c>
      <c r="S17" s="209">
        <f t="shared" si="16"/>
        <v>121.89944199947573</v>
      </c>
      <c r="T17" s="209">
        <f t="shared" si="16"/>
        <v>124.33743083946524</v>
      </c>
      <c r="U17" s="209">
        <f t="shared" si="16"/>
        <v>126.82417945625456</v>
      </c>
      <c r="V17" s="209">
        <f t="shared" si="16"/>
        <v>129.36066304537965</v>
      </c>
      <c r="W17" s="209">
        <f t="shared" si="16"/>
        <v>131.94787630628724</v>
      </c>
      <c r="X17" s="209">
        <f t="shared" si="16"/>
        <v>134.58683383241299</v>
      </c>
      <c r="Y17" s="209">
        <f t="shared" si="16"/>
        <v>137.27857050906127</v>
      </c>
      <c r="Z17" s="209">
        <f t="shared" si="16"/>
        <v>140.02414191924251</v>
      </c>
      <c r="AA17" s="209">
        <f t="shared" si="16"/>
        <v>142.82462475762736</v>
      </c>
      <c r="AB17" s="209">
        <f t="shared" si="16"/>
        <v>145.6811172527799</v>
      </c>
      <c r="AC17" s="209">
        <f t="shared" si="16"/>
        <v>148.59473959783551</v>
      </c>
      <c r="AD17" s="209">
        <f t="shared" si="16"/>
        <v>151.56663438979223</v>
      </c>
      <c r="AE17" s="209">
        <f t="shared" si="16"/>
        <v>154.59796707758807</v>
      </c>
      <c r="AF17" s="209">
        <f t="shared" si="16"/>
        <v>157.68992641913982</v>
      </c>
      <c r="AG17" s="209">
        <f t="shared" si="16"/>
        <v>160.84372494752262</v>
      </c>
      <c r="AH17" s="209">
        <f t="shared" si="16"/>
        <v>164.06059944647308</v>
      </c>
      <c r="AI17" s="209">
        <f t="shared" si="16"/>
        <v>167.34181143540255</v>
      </c>
      <c r="AJ17" s="209">
        <f t="shared" si="16"/>
        <v>170.68864766411059</v>
      </c>
      <c r="AK17" s="209">
        <f t="shared" si="16"/>
        <v>174.1024206173928</v>
      </c>
      <c r="AL17" s="209">
        <f t="shared" si="16"/>
        <v>177.58446902974066</v>
      </c>
      <c r="AM17" s="209">
        <f t="shared" si="16"/>
        <v>181.13615841033547</v>
      </c>
      <c r="AN17" s="209">
        <f t="shared" si="16"/>
        <v>184.75888157854217</v>
      </c>
      <c r="AO17" s="209">
        <f t="shared" si="16"/>
        <v>188.45405921011303</v>
      </c>
      <c r="AP17" s="209">
        <f t="shared" ref="AP17:BU17" si="17">AP12*_Seasonalityeffect</f>
        <v>192.22314039431529</v>
      </c>
      <c r="AQ17" s="209">
        <f t="shared" si="17"/>
        <v>196.06760320220161</v>
      </c>
      <c r="AR17" s="209">
        <f t="shared" si="17"/>
        <v>199.98895526624565</v>
      </c>
      <c r="AS17" s="209">
        <f t="shared" si="17"/>
        <v>203.98873437157056</v>
      </c>
      <c r="AT17" s="209">
        <f t="shared" si="17"/>
        <v>208.06850905900197</v>
      </c>
      <c r="AU17" s="209">
        <f t="shared" si="17"/>
        <v>212.22987924018202</v>
      </c>
      <c r="AV17" s="209">
        <f t="shared" si="17"/>
        <v>216.47447682498566</v>
      </c>
      <c r="AW17" s="209">
        <f t="shared" si="17"/>
        <v>220.80396636148538</v>
      </c>
      <c r="AX17" s="209">
        <f t="shared" si="17"/>
        <v>225.22004568871509</v>
      </c>
      <c r="AY17" s="209">
        <f t="shared" si="17"/>
        <v>229.72444660248939</v>
      </c>
      <c r="AZ17" s="209">
        <f t="shared" si="17"/>
        <v>234.31893553453918</v>
      </c>
      <c r="BA17" s="209">
        <f t="shared" si="17"/>
        <v>239.00531424522995</v>
      </c>
      <c r="BB17" s="209">
        <f t="shared" si="17"/>
        <v>243.78542053013456</v>
      </c>
      <c r="BC17" s="209">
        <f t="shared" si="17"/>
        <v>248.66112894073726</v>
      </c>
      <c r="BD17" s="209">
        <f t="shared" si="17"/>
        <v>253.63435151955201</v>
      </c>
      <c r="BE17" s="209">
        <f t="shared" si="17"/>
        <v>258.70703854994304</v>
      </c>
      <c r="BF17" s="209">
        <f t="shared" si="17"/>
        <v>263.8811793209419</v>
      </c>
      <c r="BG17" s="209">
        <f t="shared" si="17"/>
        <v>269.15880290736072</v>
      </c>
      <c r="BH17" s="209">
        <f t="shared" si="17"/>
        <v>274.54197896550795</v>
      </c>
      <c r="BI17" s="209">
        <f t="shared" si="17"/>
        <v>280.0328185448181</v>
      </c>
      <c r="BJ17" s="209">
        <f t="shared" si="17"/>
        <v>285.63347491571449</v>
      </c>
      <c r="BK17" s="209">
        <f t="shared" si="17"/>
        <v>291.3461444140288</v>
      </c>
      <c r="BL17" s="209">
        <f t="shared" si="17"/>
        <v>297.17306730230939</v>
      </c>
      <c r="BM17" s="209">
        <f t="shared" si="17"/>
        <v>303.1165286483556</v>
      </c>
      <c r="BN17" s="209">
        <f t="shared" si="17"/>
        <v>309.17885922132274</v>
      </c>
      <c r="BO17" s="209">
        <f t="shared" si="17"/>
        <v>315.36243640574918</v>
      </c>
      <c r="BP17" s="209">
        <f t="shared" si="17"/>
        <v>321.66968513386416</v>
      </c>
      <c r="BQ17" s="209">
        <f t="shared" si="17"/>
        <v>328.10307883654144</v>
      </c>
      <c r="BR17" s="209">
        <f t="shared" si="17"/>
        <v>328.10307883654144</v>
      </c>
      <c r="BS17" s="209">
        <f t="shared" si="17"/>
        <v>328.10307883654144</v>
      </c>
      <c r="BT17" s="209">
        <f t="shared" si="17"/>
        <v>328.10307883654144</v>
      </c>
      <c r="BU17" s="209">
        <f t="shared" si="17"/>
        <v>328.10307883654144</v>
      </c>
      <c r="BV17" s="209">
        <f t="shared" ref="BV17:DA17" si="18">BV12*_Seasonalityeffect</f>
        <v>328.10307883654144</v>
      </c>
      <c r="BW17" s="209">
        <f t="shared" si="18"/>
        <v>328.10307883654144</v>
      </c>
      <c r="BX17" s="209">
        <f t="shared" si="18"/>
        <v>328.10307883654144</v>
      </c>
      <c r="BY17" s="209">
        <f t="shared" si="18"/>
        <v>328.10307883654144</v>
      </c>
      <c r="BZ17" s="209">
        <f t="shared" si="18"/>
        <v>328.10307883654144</v>
      </c>
      <c r="CA17" s="209">
        <f t="shared" si="18"/>
        <v>328.10307883654144</v>
      </c>
      <c r="CB17" s="209">
        <f t="shared" si="18"/>
        <v>328.10307883654144</v>
      </c>
      <c r="CC17" s="209">
        <f t="shared" si="18"/>
        <v>328.10307883654144</v>
      </c>
      <c r="CD17" s="209">
        <f t="shared" si="18"/>
        <v>328.10307883654144</v>
      </c>
      <c r="CE17" s="209">
        <f t="shared" si="18"/>
        <v>328.10307883654144</v>
      </c>
      <c r="CF17" s="209">
        <f t="shared" si="18"/>
        <v>328.10307883654144</v>
      </c>
      <c r="CG17" s="209">
        <f t="shared" si="18"/>
        <v>328.10307883654144</v>
      </c>
      <c r="CH17" s="209">
        <f t="shared" si="18"/>
        <v>328.10307883654144</v>
      </c>
      <c r="CI17" s="209">
        <f t="shared" si="18"/>
        <v>328.10307883654144</v>
      </c>
      <c r="CJ17" s="209">
        <f t="shared" si="18"/>
        <v>328.10307883654144</v>
      </c>
      <c r="CK17" s="209">
        <f t="shared" si="18"/>
        <v>328.10307883654144</v>
      </c>
      <c r="CL17" s="209">
        <f t="shared" si="18"/>
        <v>328.10307883654144</v>
      </c>
      <c r="CM17" s="209">
        <f t="shared" si="18"/>
        <v>328.10307883654144</v>
      </c>
      <c r="CN17" s="209">
        <f t="shared" si="18"/>
        <v>328.10307883654144</v>
      </c>
      <c r="CO17" s="209">
        <f t="shared" si="18"/>
        <v>328.10307883654144</v>
      </c>
      <c r="CP17" s="209">
        <f t="shared" si="18"/>
        <v>328.10307883654144</v>
      </c>
      <c r="CQ17" s="209">
        <f t="shared" si="18"/>
        <v>328.10307883654144</v>
      </c>
      <c r="CR17" s="209">
        <f t="shared" si="18"/>
        <v>328.10307883654144</v>
      </c>
      <c r="CS17" s="209">
        <f t="shared" si="18"/>
        <v>328.10307883654144</v>
      </c>
      <c r="CT17" s="209">
        <f t="shared" si="18"/>
        <v>328.10307883654144</v>
      </c>
      <c r="CU17" s="209">
        <f t="shared" si="18"/>
        <v>328.10307883654144</v>
      </c>
      <c r="CV17" s="209">
        <f t="shared" si="18"/>
        <v>328.10307883654144</v>
      </c>
      <c r="CW17" s="209">
        <f t="shared" si="18"/>
        <v>328.10307883654144</v>
      </c>
      <c r="CX17" s="209">
        <f t="shared" si="18"/>
        <v>328.10307883654144</v>
      </c>
      <c r="CY17" s="209">
        <f t="shared" si="18"/>
        <v>328.10307883654144</v>
      </c>
      <c r="CZ17" s="209">
        <f t="shared" si="18"/>
        <v>328.10307883654144</v>
      </c>
      <c r="DA17" s="209">
        <f t="shared" si="18"/>
        <v>328.10307883654144</v>
      </c>
      <c r="DB17" s="209">
        <f t="shared" ref="DB17:DY17" si="19">DB12*_Seasonalityeffect</f>
        <v>328.10307883654144</v>
      </c>
      <c r="DC17" s="209">
        <f t="shared" si="19"/>
        <v>328.10307883654144</v>
      </c>
      <c r="DD17" s="209">
        <f t="shared" si="19"/>
        <v>328.10307883654144</v>
      </c>
      <c r="DE17" s="209">
        <f t="shared" si="19"/>
        <v>328.10307883654144</v>
      </c>
      <c r="DF17" s="209">
        <f t="shared" si="19"/>
        <v>328.10307883654144</v>
      </c>
      <c r="DG17" s="209">
        <f t="shared" si="19"/>
        <v>328.10307883654144</v>
      </c>
      <c r="DH17" s="209">
        <f t="shared" si="19"/>
        <v>328.10307883654144</v>
      </c>
      <c r="DI17" s="209">
        <f t="shared" si="19"/>
        <v>328.10307883654144</v>
      </c>
      <c r="DJ17" s="209">
        <f t="shared" si="19"/>
        <v>328.10307883654144</v>
      </c>
      <c r="DK17" s="209">
        <f t="shared" si="19"/>
        <v>328.10307883654144</v>
      </c>
      <c r="DL17" s="209">
        <f t="shared" si="19"/>
        <v>328.10307883654144</v>
      </c>
      <c r="DM17" s="209">
        <f t="shared" si="19"/>
        <v>328.10307883654144</v>
      </c>
      <c r="DN17" s="209">
        <f t="shared" si="19"/>
        <v>328.10307883654144</v>
      </c>
      <c r="DO17" s="209">
        <f t="shared" si="19"/>
        <v>328.10307883654144</v>
      </c>
      <c r="DP17" s="209">
        <f t="shared" si="19"/>
        <v>328.10307883654144</v>
      </c>
      <c r="DQ17" s="209">
        <f t="shared" si="19"/>
        <v>328.10307883654144</v>
      </c>
      <c r="DR17" s="209">
        <f t="shared" si="19"/>
        <v>328.10307883654144</v>
      </c>
      <c r="DS17" s="209">
        <f t="shared" si="19"/>
        <v>328.10307883654144</v>
      </c>
      <c r="DT17" s="209">
        <f t="shared" si="19"/>
        <v>328.10307883654144</v>
      </c>
      <c r="DU17" s="209">
        <f t="shared" si="19"/>
        <v>328.10307883654144</v>
      </c>
      <c r="DV17" s="209">
        <f t="shared" si="19"/>
        <v>328.10307883654144</v>
      </c>
      <c r="DW17" s="209">
        <f t="shared" si="19"/>
        <v>328.10307883654144</v>
      </c>
      <c r="DX17" s="209">
        <f t="shared" si="19"/>
        <v>328.10307883654144</v>
      </c>
      <c r="DY17" s="209">
        <f t="shared" si="19"/>
        <v>328.10307883654144</v>
      </c>
    </row>
    <row r="18" spans="1:129" s="19" customFormat="1" ht="15.6" outlineLevel="1">
      <c r="A18" s="20"/>
      <c r="B18" s="21"/>
      <c r="C18" s="20"/>
      <c r="D18" s="23"/>
      <c r="E18" s="32"/>
      <c r="F18" s="32"/>
      <c r="G18" s="20"/>
      <c r="H18" s="20"/>
      <c r="I18" s="20"/>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row>
    <row r="19" spans="1:129" s="19" customFormat="1" ht="15.6" outlineLevel="1">
      <c r="A19" s="20"/>
      <c r="B19" s="21"/>
      <c r="C19" s="24" t="s">
        <v>74</v>
      </c>
      <c r="D19" s="23"/>
      <c r="E19" s="32"/>
      <c r="F19" s="32"/>
      <c r="G19" s="20"/>
      <c r="H19" s="20"/>
      <c r="I19" s="20"/>
      <c r="J19" s="134">
        <f t="shared" ref="J19:BU19" si="20">+SUM(J13:J17)</f>
        <v>469.2</v>
      </c>
      <c r="K19" s="134">
        <f t="shared" si="20"/>
        <v>478.584</v>
      </c>
      <c r="L19" s="134">
        <f t="shared" si="20"/>
        <v>488.15568000000007</v>
      </c>
      <c r="M19" s="134">
        <f t="shared" si="20"/>
        <v>497.91879360000001</v>
      </c>
      <c r="N19" s="134">
        <f t="shared" si="20"/>
        <v>507.87716947200005</v>
      </c>
      <c r="O19" s="134">
        <f t="shared" si="20"/>
        <v>518.03471286144008</v>
      </c>
      <c r="P19" s="134">
        <f t="shared" si="20"/>
        <v>528.3954071186688</v>
      </c>
      <c r="Q19" s="134">
        <f t="shared" si="20"/>
        <v>538.96331526104223</v>
      </c>
      <c r="R19" s="134">
        <f t="shared" si="20"/>
        <v>549.74258156626297</v>
      </c>
      <c r="S19" s="134">
        <f t="shared" si="20"/>
        <v>560.7374331975883</v>
      </c>
      <c r="T19" s="134">
        <f t="shared" si="20"/>
        <v>571.95218186154011</v>
      </c>
      <c r="U19" s="134">
        <f t="shared" si="20"/>
        <v>583.39122549877095</v>
      </c>
      <c r="V19" s="134">
        <f t="shared" si="20"/>
        <v>595.05905000874645</v>
      </c>
      <c r="W19" s="134">
        <f t="shared" si="20"/>
        <v>606.96023100892126</v>
      </c>
      <c r="X19" s="134">
        <f t="shared" si="20"/>
        <v>619.09943562909984</v>
      </c>
      <c r="Y19" s="134">
        <f t="shared" si="20"/>
        <v>631.48142434168187</v>
      </c>
      <c r="Z19" s="134">
        <f t="shared" si="20"/>
        <v>644.11105282851554</v>
      </c>
      <c r="AA19" s="134">
        <f t="shared" si="20"/>
        <v>656.99327388508584</v>
      </c>
      <c r="AB19" s="134">
        <f t="shared" si="20"/>
        <v>670.13313936278757</v>
      </c>
      <c r="AC19" s="134">
        <f t="shared" si="20"/>
        <v>683.53580215004331</v>
      </c>
      <c r="AD19" s="134">
        <f t="shared" si="20"/>
        <v>697.2065181930443</v>
      </c>
      <c r="AE19" s="134">
        <f t="shared" si="20"/>
        <v>711.15064855690503</v>
      </c>
      <c r="AF19" s="134">
        <f t="shared" si="20"/>
        <v>725.37366152804327</v>
      </c>
      <c r="AG19" s="134">
        <f t="shared" si="20"/>
        <v>739.88113475860405</v>
      </c>
      <c r="AH19" s="134">
        <f t="shared" si="20"/>
        <v>754.67875745377614</v>
      </c>
      <c r="AI19" s="134">
        <f t="shared" si="20"/>
        <v>769.77233260285163</v>
      </c>
      <c r="AJ19" s="134">
        <f t="shared" si="20"/>
        <v>785.16777925490874</v>
      </c>
      <c r="AK19" s="134">
        <f t="shared" si="20"/>
        <v>800.8711348400069</v>
      </c>
      <c r="AL19" s="134">
        <f t="shared" si="20"/>
        <v>816.88855753680696</v>
      </c>
      <c r="AM19" s="134">
        <f t="shared" si="20"/>
        <v>833.22632868754317</v>
      </c>
      <c r="AN19" s="134">
        <f t="shared" si="20"/>
        <v>849.89085526129395</v>
      </c>
      <c r="AO19" s="134">
        <f t="shared" si="20"/>
        <v>866.88867236651981</v>
      </c>
      <c r="AP19" s="134">
        <f t="shared" si="20"/>
        <v>884.22644581385043</v>
      </c>
      <c r="AQ19" s="134">
        <f t="shared" si="20"/>
        <v>901.91097473012746</v>
      </c>
      <c r="AR19" s="134">
        <f t="shared" si="20"/>
        <v>919.94919422472992</v>
      </c>
      <c r="AS19" s="134">
        <f t="shared" si="20"/>
        <v>938.34817810922459</v>
      </c>
      <c r="AT19" s="134">
        <f t="shared" si="20"/>
        <v>957.11514167140911</v>
      </c>
      <c r="AU19" s="134">
        <f t="shared" si="20"/>
        <v>976.25744450483717</v>
      </c>
      <c r="AV19" s="134">
        <f t="shared" si="20"/>
        <v>995.78259339493411</v>
      </c>
      <c r="AW19" s="134">
        <f t="shared" si="20"/>
        <v>1015.6982452628326</v>
      </c>
      <c r="AX19" s="134">
        <f t="shared" si="20"/>
        <v>1036.0122101680895</v>
      </c>
      <c r="AY19" s="134">
        <f t="shared" si="20"/>
        <v>1056.7324543714512</v>
      </c>
      <c r="AZ19" s="134">
        <f t="shared" si="20"/>
        <v>1077.8671034588801</v>
      </c>
      <c r="BA19" s="134">
        <f t="shared" si="20"/>
        <v>1099.4244455280577</v>
      </c>
      <c r="BB19" s="134">
        <f t="shared" si="20"/>
        <v>1121.412934438619</v>
      </c>
      <c r="BC19" s="134">
        <f t="shared" si="20"/>
        <v>1143.8411931273913</v>
      </c>
      <c r="BD19" s="134">
        <f t="shared" si="20"/>
        <v>1166.7180169899393</v>
      </c>
      <c r="BE19" s="134">
        <f t="shared" si="20"/>
        <v>1190.052377329738</v>
      </c>
      <c r="BF19" s="134">
        <f t="shared" si="20"/>
        <v>1213.8534248763326</v>
      </c>
      <c r="BG19" s="134">
        <f t="shared" si="20"/>
        <v>1238.1304933738593</v>
      </c>
      <c r="BH19" s="134">
        <f t="shared" si="20"/>
        <v>1262.8931032413366</v>
      </c>
      <c r="BI19" s="134">
        <f t="shared" si="20"/>
        <v>1288.1509653061632</v>
      </c>
      <c r="BJ19" s="134">
        <f t="shared" si="20"/>
        <v>1313.9139846122866</v>
      </c>
      <c r="BK19" s="134">
        <f t="shared" si="20"/>
        <v>1340.1922643045323</v>
      </c>
      <c r="BL19" s="134">
        <f t="shared" si="20"/>
        <v>1366.9961095906233</v>
      </c>
      <c r="BM19" s="134">
        <f t="shared" si="20"/>
        <v>1394.3360317824358</v>
      </c>
      <c r="BN19" s="134">
        <f t="shared" si="20"/>
        <v>1422.2227524180846</v>
      </c>
      <c r="BO19" s="134">
        <f t="shared" si="20"/>
        <v>1450.6672074664461</v>
      </c>
      <c r="BP19" s="134">
        <f t="shared" si="20"/>
        <v>1479.6805516157751</v>
      </c>
      <c r="BQ19" s="134">
        <f t="shared" si="20"/>
        <v>1509.2741626480906</v>
      </c>
      <c r="BR19" s="134">
        <f t="shared" si="20"/>
        <v>1509.2741626480906</v>
      </c>
      <c r="BS19" s="134">
        <f t="shared" si="20"/>
        <v>1509.2741626480906</v>
      </c>
      <c r="BT19" s="134">
        <f t="shared" si="20"/>
        <v>1509.2741626480906</v>
      </c>
      <c r="BU19" s="134">
        <f t="shared" si="20"/>
        <v>1509.2741626480906</v>
      </c>
      <c r="BV19" s="134">
        <f t="shared" ref="BV19:CC19" si="21">+SUM(BV13:BV17)</f>
        <v>1509.2741626480906</v>
      </c>
      <c r="BW19" s="134">
        <f t="shared" si="21"/>
        <v>1509.2741626480906</v>
      </c>
      <c r="BX19" s="134">
        <f t="shared" si="21"/>
        <v>1509.2741626480906</v>
      </c>
      <c r="BY19" s="134">
        <f t="shared" si="21"/>
        <v>1509.2741626480906</v>
      </c>
      <c r="BZ19" s="134">
        <f t="shared" si="21"/>
        <v>1509.2741626480906</v>
      </c>
      <c r="CA19" s="134">
        <f t="shared" si="21"/>
        <v>1509.2741626480906</v>
      </c>
      <c r="CB19" s="134">
        <f t="shared" si="21"/>
        <v>1509.2741626480906</v>
      </c>
      <c r="CC19" s="134">
        <f t="shared" si="21"/>
        <v>1509.2741626480906</v>
      </c>
      <c r="CD19" s="134">
        <f>+SUM(CD13:CD17)</f>
        <v>1509.2741626480906</v>
      </c>
      <c r="CE19" s="134">
        <f t="shared" ref="CE19:DY19" si="22">+SUM(CE13:CE17)</f>
        <v>1509.2741626480906</v>
      </c>
      <c r="CF19" s="134">
        <f t="shared" si="22"/>
        <v>1509.2741626480906</v>
      </c>
      <c r="CG19" s="134">
        <f t="shared" si="22"/>
        <v>1509.2741626480906</v>
      </c>
      <c r="CH19" s="134">
        <f t="shared" si="22"/>
        <v>1509.2741626480906</v>
      </c>
      <c r="CI19" s="134">
        <f t="shared" si="22"/>
        <v>1509.2741626480906</v>
      </c>
      <c r="CJ19" s="134">
        <f t="shared" si="22"/>
        <v>1509.2741626480906</v>
      </c>
      <c r="CK19" s="134">
        <f t="shared" si="22"/>
        <v>1509.2741626480906</v>
      </c>
      <c r="CL19" s="134">
        <f t="shared" si="22"/>
        <v>1509.2741626480906</v>
      </c>
      <c r="CM19" s="134">
        <f t="shared" si="22"/>
        <v>1509.2741626480906</v>
      </c>
      <c r="CN19" s="134">
        <f t="shared" si="22"/>
        <v>1509.2741626480906</v>
      </c>
      <c r="CO19" s="134">
        <f t="shared" si="22"/>
        <v>1509.2741626480906</v>
      </c>
      <c r="CP19" s="134">
        <f t="shared" si="22"/>
        <v>1509.2741626480906</v>
      </c>
      <c r="CQ19" s="134">
        <f t="shared" si="22"/>
        <v>1509.2741626480906</v>
      </c>
      <c r="CR19" s="134">
        <f t="shared" si="22"/>
        <v>1509.2741626480906</v>
      </c>
      <c r="CS19" s="134">
        <f t="shared" si="22"/>
        <v>1509.2741626480906</v>
      </c>
      <c r="CT19" s="134">
        <f t="shared" si="22"/>
        <v>1509.2741626480906</v>
      </c>
      <c r="CU19" s="134">
        <f t="shared" si="22"/>
        <v>1509.2741626480906</v>
      </c>
      <c r="CV19" s="134">
        <f t="shared" si="22"/>
        <v>1509.2741626480906</v>
      </c>
      <c r="CW19" s="134">
        <f t="shared" si="22"/>
        <v>1509.2741626480906</v>
      </c>
      <c r="CX19" s="134">
        <f t="shared" si="22"/>
        <v>1509.2741626480906</v>
      </c>
      <c r="CY19" s="134">
        <f t="shared" si="22"/>
        <v>1509.2741626480906</v>
      </c>
      <c r="CZ19" s="134">
        <f t="shared" si="22"/>
        <v>1509.2741626480906</v>
      </c>
      <c r="DA19" s="134">
        <f t="shared" si="22"/>
        <v>1509.2741626480906</v>
      </c>
      <c r="DB19" s="134">
        <f t="shared" si="22"/>
        <v>1509.2741626480906</v>
      </c>
      <c r="DC19" s="134">
        <f t="shared" si="22"/>
        <v>1509.2741626480906</v>
      </c>
      <c r="DD19" s="134">
        <f t="shared" si="22"/>
        <v>1509.2741626480906</v>
      </c>
      <c r="DE19" s="134">
        <f t="shared" si="22"/>
        <v>1509.2741626480906</v>
      </c>
      <c r="DF19" s="134">
        <f t="shared" si="22"/>
        <v>1509.2741626480906</v>
      </c>
      <c r="DG19" s="134">
        <f t="shared" si="22"/>
        <v>1509.2741626480906</v>
      </c>
      <c r="DH19" s="134">
        <f t="shared" si="22"/>
        <v>1509.2741626480906</v>
      </c>
      <c r="DI19" s="134">
        <f t="shared" si="22"/>
        <v>1509.2741626480906</v>
      </c>
      <c r="DJ19" s="134">
        <f t="shared" si="22"/>
        <v>1509.2741626480906</v>
      </c>
      <c r="DK19" s="134">
        <f t="shared" si="22"/>
        <v>1509.2741626480906</v>
      </c>
      <c r="DL19" s="134">
        <f t="shared" si="22"/>
        <v>1509.2741626480906</v>
      </c>
      <c r="DM19" s="134">
        <f t="shared" si="22"/>
        <v>1509.2741626480906</v>
      </c>
      <c r="DN19" s="134">
        <f t="shared" si="22"/>
        <v>1509.2741626480906</v>
      </c>
      <c r="DO19" s="134">
        <f t="shared" si="22"/>
        <v>1509.2741626480906</v>
      </c>
      <c r="DP19" s="134">
        <f t="shared" si="22"/>
        <v>1509.2741626480906</v>
      </c>
      <c r="DQ19" s="134">
        <f t="shared" si="22"/>
        <v>1509.2741626480906</v>
      </c>
      <c r="DR19" s="134">
        <f t="shared" si="22"/>
        <v>1509.2741626480906</v>
      </c>
      <c r="DS19" s="134">
        <f t="shared" si="22"/>
        <v>1509.2741626480906</v>
      </c>
      <c r="DT19" s="134">
        <f t="shared" si="22"/>
        <v>1509.2741626480906</v>
      </c>
      <c r="DU19" s="134">
        <f t="shared" si="22"/>
        <v>1509.2741626480906</v>
      </c>
      <c r="DV19" s="134">
        <f t="shared" si="22"/>
        <v>1509.2741626480906</v>
      </c>
      <c r="DW19" s="134">
        <f t="shared" si="22"/>
        <v>1509.2741626480906</v>
      </c>
      <c r="DX19" s="134">
        <f t="shared" si="22"/>
        <v>1509.2741626480906</v>
      </c>
      <c r="DY19" s="134">
        <f t="shared" si="22"/>
        <v>1509.2741626480906</v>
      </c>
    </row>
    <row r="20" spans="1:129" outlineLevel="1">
      <c r="C20" s="518"/>
      <c r="G20" s="232" t="s">
        <v>548</v>
      </c>
      <c r="H20" s="528">
        <f>SUM(J20:DY20)</f>
        <v>0</v>
      </c>
      <c r="I20" s="529"/>
      <c r="J20" s="530">
        <f t="shared" ref="J20:BU20" si="23">IF(ABS(J26-J19)&lt;tolerance,0,1)</f>
        <v>0</v>
      </c>
      <c r="K20" s="530">
        <f t="shared" si="23"/>
        <v>0</v>
      </c>
      <c r="L20" s="530">
        <f t="shared" si="23"/>
        <v>0</v>
      </c>
      <c r="M20" s="530">
        <f t="shared" si="23"/>
        <v>0</v>
      </c>
      <c r="N20" s="530">
        <f t="shared" si="23"/>
        <v>0</v>
      </c>
      <c r="O20" s="530">
        <f t="shared" si="23"/>
        <v>0</v>
      </c>
      <c r="P20" s="530">
        <f t="shared" si="23"/>
        <v>0</v>
      </c>
      <c r="Q20" s="530">
        <f t="shared" si="23"/>
        <v>0</v>
      </c>
      <c r="R20" s="530">
        <f t="shared" si="23"/>
        <v>0</v>
      </c>
      <c r="S20" s="530">
        <f t="shared" si="23"/>
        <v>0</v>
      </c>
      <c r="T20" s="530">
        <f t="shared" si="23"/>
        <v>0</v>
      </c>
      <c r="U20" s="530">
        <f t="shared" si="23"/>
        <v>0</v>
      </c>
      <c r="V20" s="530">
        <f t="shared" si="23"/>
        <v>0</v>
      </c>
      <c r="W20" s="530">
        <f t="shared" si="23"/>
        <v>0</v>
      </c>
      <c r="X20" s="530">
        <f t="shared" si="23"/>
        <v>0</v>
      </c>
      <c r="Y20" s="530">
        <f t="shared" si="23"/>
        <v>0</v>
      </c>
      <c r="Z20" s="530">
        <f t="shared" si="23"/>
        <v>0</v>
      </c>
      <c r="AA20" s="530">
        <f t="shared" si="23"/>
        <v>0</v>
      </c>
      <c r="AB20" s="530">
        <f t="shared" si="23"/>
        <v>0</v>
      </c>
      <c r="AC20" s="530">
        <f t="shared" si="23"/>
        <v>0</v>
      </c>
      <c r="AD20" s="530">
        <f t="shared" si="23"/>
        <v>0</v>
      </c>
      <c r="AE20" s="530">
        <f t="shared" si="23"/>
        <v>0</v>
      </c>
      <c r="AF20" s="530">
        <f t="shared" si="23"/>
        <v>0</v>
      </c>
      <c r="AG20" s="530">
        <f t="shared" si="23"/>
        <v>0</v>
      </c>
      <c r="AH20" s="530">
        <f t="shared" si="23"/>
        <v>0</v>
      </c>
      <c r="AI20" s="530">
        <f t="shared" si="23"/>
        <v>0</v>
      </c>
      <c r="AJ20" s="530">
        <f t="shared" si="23"/>
        <v>0</v>
      </c>
      <c r="AK20" s="530">
        <f t="shared" si="23"/>
        <v>0</v>
      </c>
      <c r="AL20" s="530">
        <f t="shared" si="23"/>
        <v>0</v>
      </c>
      <c r="AM20" s="530">
        <f t="shared" si="23"/>
        <v>0</v>
      </c>
      <c r="AN20" s="530">
        <f t="shared" si="23"/>
        <v>0</v>
      </c>
      <c r="AO20" s="530">
        <f t="shared" si="23"/>
        <v>0</v>
      </c>
      <c r="AP20" s="530">
        <f t="shared" si="23"/>
        <v>0</v>
      </c>
      <c r="AQ20" s="530">
        <f t="shared" si="23"/>
        <v>0</v>
      </c>
      <c r="AR20" s="530">
        <f t="shared" si="23"/>
        <v>0</v>
      </c>
      <c r="AS20" s="530">
        <f t="shared" si="23"/>
        <v>0</v>
      </c>
      <c r="AT20" s="530">
        <f t="shared" si="23"/>
        <v>0</v>
      </c>
      <c r="AU20" s="530">
        <f t="shared" si="23"/>
        <v>0</v>
      </c>
      <c r="AV20" s="530">
        <f t="shared" si="23"/>
        <v>0</v>
      </c>
      <c r="AW20" s="530">
        <f t="shared" si="23"/>
        <v>0</v>
      </c>
      <c r="AX20" s="530">
        <f t="shared" si="23"/>
        <v>0</v>
      </c>
      <c r="AY20" s="530">
        <f t="shared" si="23"/>
        <v>0</v>
      </c>
      <c r="AZ20" s="530">
        <f t="shared" si="23"/>
        <v>0</v>
      </c>
      <c r="BA20" s="530">
        <f t="shared" si="23"/>
        <v>0</v>
      </c>
      <c r="BB20" s="530">
        <f t="shared" si="23"/>
        <v>0</v>
      </c>
      <c r="BC20" s="530">
        <f t="shared" si="23"/>
        <v>0</v>
      </c>
      <c r="BD20" s="530">
        <f t="shared" si="23"/>
        <v>0</v>
      </c>
      <c r="BE20" s="530">
        <f t="shared" si="23"/>
        <v>0</v>
      </c>
      <c r="BF20" s="530">
        <f t="shared" si="23"/>
        <v>0</v>
      </c>
      <c r="BG20" s="530">
        <f t="shared" si="23"/>
        <v>0</v>
      </c>
      <c r="BH20" s="530">
        <f t="shared" si="23"/>
        <v>0</v>
      </c>
      <c r="BI20" s="530">
        <f t="shared" si="23"/>
        <v>0</v>
      </c>
      <c r="BJ20" s="530">
        <f t="shared" si="23"/>
        <v>0</v>
      </c>
      <c r="BK20" s="530">
        <f t="shared" si="23"/>
        <v>0</v>
      </c>
      <c r="BL20" s="530">
        <f t="shared" si="23"/>
        <v>0</v>
      </c>
      <c r="BM20" s="530">
        <f t="shared" si="23"/>
        <v>0</v>
      </c>
      <c r="BN20" s="530">
        <f t="shared" si="23"/>
        <v>0</v>
      </c>
      <c r="BO20" s="530">
        <f t="shared" si="23"/>
        <v>0</v>
      </c>
      <c r="BP20" s="530">
        <f t="shared" si="23"/>
        <v>0</v>
      </c>
      <c r="BQ20" s="530">
        <f t="shared" si="23"/>
        <v>0</v>
      </c>
      <c r="BR20" s="530">
        <f t="shared" si="23"/>
        <v>0</v>
      </c>
      <c r="BS20" s="530">
        <f t="shared" si="23"/>
        <v>0</v>
      </c>
      <c r="BT20" s="530">
        <f t="shared" si="23"/>
        <v>0</v>
      </c>
      <c r="BU20" s="530">
        <f t="shared" si="23"/>
        <v>0</v>
      </c>
      <c r="BV20" s="530">
        <f t="shared" ref="BV20:CC20" si="24">IF(ABS(BV26-BV19)&lt;tolerance,0,1)</f>
        <v>0</v>
      </c>
      <c r="BW20" s="530">
        <f t="shared" si="24"/>
        <v>0</v>
      </c>
      <c r="BX20" s="530">
        <f t="shared" si="24"/>
        <v>0</v>
      </c>
      <c r="BY20" s="530">
        <f t="shared" si="24"/>
        <v>0</v>
      </c>
      <c r="BZ20" s="530">
        <f t="shared" si="24"/>
        <v>0</v>
      </c>
      <c r="CA20" s="530">
        <f t="shared" si="24"/>
        <v>0</v>
      </c>
      <c r="CB20" s="530">
        <f t="shared" si="24"/>
        <v>0</v>
      </c>
      <c r="CC20" s="530">
        <f t="shared" si="24"/>
        <v>0</v>
      </c>
      <c r="CD20" s="530">
        <f>IF(ABS(CD26-CD19)&lt;tolerance,0,1)</f>
        <v>0</v>
      </c>
      <c r="CE20" s="530">
        <f t="shared" ref="CE20:DY20" si="25">IF(ABS(CE26-CE19)&lt;tolerance,0,1)</f>
        <v>0</v>
      </c>
      <c r="CF20" s="530">
        <f t="shared" si="25"/>
        <v>0</v>
      </c>
      <c r="CG20" s="530">
        <f t="shared" si="25"/>
        <v>0</v>
      </c>
      <c r="CH20" s="530">
        <f t="shared" si="25"/>
        <v>0</v>
      </c>
      <c r="CI20" s="530">
        <f t="shared" si="25"/>
        <v>0</v>
      </c>
      <c r="CJ20" s="530">
        <f t="shared" si="25"/>
        <v>0</v>
      </c>
      <c r="CK20" s="530">
        <f t="shared" si="25"/>
        <v>0</v>
      </c>
      <c r="CL20" s="530">
        <f t="shared" si="25"/>
        <v>0</v>
      </c>
      <c r="CM20" s="530">
        <f t="shared" si="25"/>
        <v>0</v>
      </c>
      <c r="CN20" s="530">
        <f t="shared" si="25"/>
        <v>0</v>
      </c>
      <c r="CO20" s="530">
        <f t="shared" si="25"/>
        <v>0</v>
      </c>
      <c r="CP20" s="530">
        <f t="shared" si="25"/>
        <v>0</v>
      </c>
      <c r="CQ20" s="530">
        <f t="shared" si="25"/>
        <v>0</v>
      </c>
      <c r="CR20" s="530">
        <f t="shared" si="25"/>
        <v>0</v>
      </c>
      <c r="CS20" s="530">
        <f t="shared" si="25"/>
        <v>0</v>
      </c>
      <c r="CT20" s="530">
        <f t="shared" si="25"/>
        <v>0</v>
      </c>
      <c r="CU20" s="530">
        <f t="shared" si="25"/>
        <v>0</v>
      </c>
      <c r="CV20" s="530">
        <f t="shared" si="25"/>
        <v>0</v>
      </c>
      <c r="CW20" s="530">
        <f t="shared" si="25"/>
        <v>0</v>
      </c>
      <c r="CX20" s="530">
        <f t="shared" si="25"/>
        <v>0</v>
      </c>
      <c r="CY20" s="530">
        <f t="shared" si="25"/>
        <v>0</v>
      </c>
      <c r="CZ20" s="530">
        <f t="shared" si="25"/>
        <v>0</v>
      </c>
      <c r="DA20" s="530">
        <f t="shared" si="25"/>
        <v>0</v>
      </c>
      <c r="DB20" s="530">
        <f t="shared" si="25"/>
        <v>0</v>
      </c>
      <c r="DC20" s="530">
        <f t="shared" si="25"/>
        <v>0</v>
      </c>
      <c r="DD20" s="530">
        <f t="shared" si="25"/>
        <v>0</v>
      </c>
      <c r="DE20" s="530">
        <f t="shared" si="25"/>
        <v>0</v>
      </c>
      <c r="DF20" s="530">
        <f t="shared" si="25"/>
        <v>0</v>
      </c>
      <c r="DG20" s="530">
        <f t="shared" si="25"/>
        <v>0</v>
      </c>
      <c r="DH20" s="530">
        <f t="shared" si="25"/>
        <v>0</v>
      </c>
      <c r="DI20" s="530">
        <f t="shared" si="25"/>
        <v>0</v>
      </c>
      <c r="DJ20" s="530">
        <f t="shared" si="25"/>
        <v>0</v>
      </c>
      <c r="DK20" s="530">
        <f t="shared" si="25"/>
        <v>0</v>
      </c>
      <c r="DL20" s="530">
        <f t="shared" si="25"/>
        <v>0</v>
      </c>
      <c r="DM20" s="530">
        <f t="shared" si="25"/>
        <v>0</v>
      </c>
      <c r="DN20" s="530">
        <f t="shared" si="25"/>
        <v>0</v>
      </c>
      <c r="DO20" s="530">
        <f t="shared" si="25"/>
        <v>0</v>
      </c>
      <c r="DP20" s="530">
        <f t="shared" si="25"/>
        <v>0</v>
      </c>
      <c r="DQ20" s="530">
        <f t="shared" si="25"/>
        <v>0</v>
      </c>
      <c r="DR20" s="530">
        <f t="shared" si="25"/>
        <v>0</v>
      </c>
      <c r="DS20" s="530">
        <f t="shared" si="25"/>
        <v>0</v>
      </c>
      <c r="DT20" s="530">
        <f t="shared" si="25"/>
        <v>0</v>
      </c>
      <c r="DU20" s="530">
        <f t="shared" si="25"/>
        <v>0</v>
      </c>
      <c r="DV20" s="530">
        <f t="shared" si="25"/>
        <v>0</v>
      </c>
      <c r="DW20" s="530">
        <f t="shared" si="25"/>
        <v>0</v>
      </c>
      <c r="DX20" s="530">
        <f t="shared" si="25"/>
        <v>0</v>
      </c>
      <c r="DY20" s="530">
        <f t="shared" si="25"/>
        <v>0</v>
      </c>
    </row>
    <row r="21" spans="1:129">
      <c r="J21" s="11"/>
      <c r="K21" s="5"/>
      <c r="L21" s="11"/>
      <c r="M21" s="5"/>
      <c r="N21" s="11"/>
      <c r="O21" s="5"/>
      <c r="P21" s="11"/>
      <c r="Q21" s="11"/>
      <c r="R21" s="5"/>
      <c r="S21" s="5"/>
      <c r="T21" s="5"/>
      <c r="U21" s="5"/>
      <c r="V21" s="5"/>
      <c r="W21" s="5"/>
      <c r="X21" s="97"/>
      <c r="Y21" s="5"/>
      <c r="Z21" s="5"/>
      <c r="AA21" s="5"/>
      <c r="AB21" s="5"/>
      <c r="AC21" s="140"/>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row>
    <row r="22" spans="1:129" s="19" customFormat="1" ht="15.6">
      <c r="A22" s="20"/>
      <c r="B22" s="391" t="s">
        <v>24</v>
      </c>
      <c r="C22" s="325"/>
      <c r="D22" s="326"/>
      <c r="E22" s="326"/>
      <c r="F22" s="326"/>
      <c r="G22" s="326"/>
      <c r="H22" s="326"/>
      <c r="I22" s="326"/>
      <c r="J22" s="329"/>
      <c r="K22" s="328"/>
      <c r="L22" s="329"/>
      <c r="M22" s="328"/>
      <c r="N22" s="329"/>
      <c r="O22" s="328"/>
      <c r="P22" s="329"/>
      <c r="Q22" s="329"/>
      <c r="R22" s="328"/>
      <c r="S22" s="328"/>
      <c r="T22" s="328"/>
      <c r="U22" s="328"/>
      <c r="V22" s="328"/>
      <c r="W22" s="328"/>
      <c r="X22" s="330"/>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row>
    <row r="23" spans="1:129" s="19" customFormat="1" outlineLevel="1">
      <c r="A23" s="20"/>
      <c r="B23" s="14"/>
      <c r="C23" s="14"/>
      <c r="D23" s="30"/>
      <c r="E23" s="30"/>
      <c r="F23" s="30"/>
      <c r="G23" s="14"/>
      <c r="H23" s="545"/>
      <c r="I23" s="14"/>
      <c r="J23" s="104"/>
      <c r="K23" s="14"/>
      <c r="L23" s="177"/>
      <c r="M23" s="14"/>
      <c r="N23" s="104"/>
      <c r="O23" s="14"/>
      <c r="P23" s="104"/>
      <c r="Q23" s="104"/>
      <c r="R23" s="14"/>
      <c r="S23" s="14"/>
      <c r="T23" s="14"/>
      <c r="U23" s="14"/>
      <c r="V23" s="14"/>
      <c r="W23" s="14"/>
      <c r="X23" s="98"/>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row>
    <row r="24" spans="1:129" outlineLevel="1">
      <c r="B24" s="6" t="s">
        <v>74</v>
      </c>
      <c r="J24" s="11"/>
      <c r="K24" s="5"/>
      <c r="L24" s="11"/>
      <c r="M24" s="5"/>
      <c r="N24" s="11"/>
      <c r="O24" s="5"/>
      <c r="P24" s="11"/>
      <c r="Q24" s="11"/>
      <c r="R24" s="5"/>
      <c r="S24" s="5"/>
      <c r="T24" s="5"/>
      <c r="U24" s="5"/>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row>
    <row r="25" spans="1:129" outlineLevel="1">
      <c r="C25" s="5" t="s">
        <v>126</v>
      </c>
      <c r="F25" s="5" t="s">
        <v>176</v>
      </c>
      <c r="J25" s="35">
        <f>+_activeinstallationsBoPP1+_activeinstallationsBoPP2+_activeinstallationsBoPP3+_activeinstallationsBoPP4+_activeinstallationsBoPP5</f>
        <v>4900</v>
      </c>
      <c r="K25" s="35">
        <f ca="1">+_activeinstallationsBoPP1+_activeinstallationsBoPP2+_activeinstallationsBoPP3+_activeinstallationsBoPP4+_activeinstallationsBoPP5</f>
        <v>5134.4332417911328</v>
      </c>
      <c r="L25" s="35">
        <f t="shared" ref="L25:AO25" ca="1" si="26">+_activeinstallationsBoPP1+_activeinstallationsBoPP2+_activeinstallationsBoPP3+_activeinstallationsBoPP4+_activeinstallationsBoPP5</f>
        <v>5375.7021511643534</v>
      </c>
      <c r="M25" s="35">
        <f t="shared" ca="1" si="26"/>
        <v>5623.9219714438414</v>
      </c>
      <c r="N25" s="35">
        <f t="shared" ca="1" si="26"/>
        <v>5879.2104655205358</v>
      </c>
      <c r="O25" s="35">
        <f t="shared" ca="1" si="26"/>
        <v>6141.6879640964626</v>
      </c>
      <c r="P25" s="35">
        <f t="shared" ca="1" si="26"/>
        <v>6411.47741491543</v>
      </c>
      <c r="Q25" s="35">
        <f t="shared" ca="1" si="26"/>
        <v>6688.7044329995842</v>
      </c>
      <c r="R25" s="35">
        <f t="shared" ca="1" si="26"/>
        <v>6973.4973519117402</v>
      </c>
      <c r="S25" s="35">
        <f t="shared" ca="1" si="26"/>
        <v>7265.9872760637954</v>
      </c>
      <c r="T25" s="35">
        <f t="shared" ca="1" si="26"/>
        <v>7566.3081340919298</v>
      </c>
      <c r="U25" s="35">
        <f t="shared" ca="1" si="26"/>
        <v>7874.596733319735</v>
      </c>
      <c r="V25" s="35">
        <f t="shared" ca="1" si="26"/>
        <v>8190.9928153308156</v>
      </c>
      <c r="W25" s="35">
        <f t="shared" ca="1" si="26"/>
        <v>8494.855260771963</v>
      </c>
      <c r="X25" s="35">
        <f t="shared" ca="1" si="26"/>
        <v>8805.6941388083105</v>
      </c>
      <c r="Y25" s="35">
        <f t="shared" ca="1" si="26"/>
        <v>9123.6399862549024</v>
      </c>
      <c r="Z25" s="35">
        <f t="shared" ca="1" si="26"/>
        <v>9448.8260405814472</v>
      </c>
      <c r="AA25" s="35">
        <f t="shared" ca="1" si="26"/>
        <v>9781.3882930262298</v>
      </c>
      <c r="AB25" s="35">
        <f ca="1">+_activeinstallationsBoPP1+_activeinstallationsBoPP2+_activeinstallationsBoPP3+_activeinstallationsBoPP4+_activeinstallationsBoPP5</f>
        <v>10121.465542781303</v>
      </c>
      <c r="AC25" s="35">
        <f t="shared" ca="1" si="26"/>
        <v>10469.199452270257</v>
      </c>
      <c r="AD25" s="35">
        <f t="shared" ca="1" si="26"/>
        <v>10824.734603540379</v>
      </c>
      <c r="AE25" s="35">
        <f t="shared" ca="1" si="26"/>
        <v>11188.218555791384</v>
      </c>
      <c r="AF25" s="35">
        <f t="shared" ca="1" si="26"/>
        <v>11559.801904063328</v>
      </c>
      <c r="AG25" s="35">
        <f t="shared" ca="1" si="26"/>
        <v>11939.638339106874</v>
      </c>
      <c r="AH25" s="35">
        <f t="shared" ca="1" si="26"/>
        <v>12327.884708459394</v>
      </c>
      <c r="AI25" s="35">
        <f t="shared" ca="1" si="26"/>
        <v>12590.642155562968</v>
      </c>
      <c r="AJ25" s="35">
        <f t="shared" ca="1" si="26"/>
        <v>12859.001776414536</v>
      </c>
      <c r="AK25" s="35">
        <f t="shared" ca="1" si="26"/>
        <v>13133.072144240996</v>
      </c>
      <c r="AL25" s="35">
        <f t="shared" ca="1" si="26"/>
        <v>13412.964038436272</v>
      </c>
      <c r="AM25" s="35">
        <f t="shared" ca="1" si="26"/>
        <v>13698.790488337616</v>
      </c>
      <c r="AN25" s="35">
        <f t="shared" ca="1" si="26"/>
        <v>13990.666817880927</v>
      </c>
      <c r="AO25" s="35">
        <f t="shared" ca="1" si="26"/>
        <v>14271.198077033663</v>
      </c>
      <c r="AP25" s="35">
        <f t="shared" ref="AP25:BU25" ca="1" si="27">+_activeinstallationsBoPP1+_activeinstallationsBoPP2+_activeinstallationsBoPP3+_activeinstallationsBoPP4+_activeinstallationsBoPP5</f>
        <v>14557.513011816376</v>
      </c>
      <c r="AQ25" s="35">
        <f t="shared" ca="1" si="27"/>
        <v>14849.725565237197</v>
      </c>
      <c r="AR25" s="35">
        <f t="shared" ca="1" si="27"/>
        <v>15147.951976469465</v>
      </c>
      <c r="AS25" s="35">
        <f t="shared" ca="1" si="27"/>
        <v>15452.310826601979</v>
      </c>
      <c r="AT25" s="35">
        <f t="shared" ca="1" si="27"/>
        <v>15762.923085305985</v>
      </c>
      <c r="AU25" s="35">
        <f t="shared" ca="1" si="27"/>
        <v>16079.748864256024</v>
      </c>
      <c r="AV25" s="35">
        <f t="shared" ca="1" si="27"/>
        <v>16403.066195024439</v>
      </c>
      <c r="AW25" s="35">
        <f t="shared" ca="1" si="27"/>
        <v>16733.003358285205</v>
      </c>
      <c r="AX25" s="35">
        <f t="shared" ca="1" si="27"/>
        <v>17069.691215829396</v>
      </c>
      <c r="AY25" s="35">
        <f t="shared" ca="1" si="27"/>
        <v>17413.263262032506</v>
      </c>
      <c r="AZ25" s="35">
        <f t="shared" ca="1" si="27"/>
        <v>17763.855676352625</v>
      </c>
      <c r="BA25" s="35">
        <f t="shared" ca="1" si="27"/>
        <v>18121.607376880169</v>
      </c>
      <c r="BB25" s="35">
        <f t="shared" ca="1" si="27"/>
        <v>18486.660074960073</v>
      </c>
      <c r="BC25" s="35">
        <f t="shared" ca="1" si="27"/>
        <v>18859.158330907965</v>
      </c>
      <c r="BD25" s="35">
        <f t="shared" ca="1" si="27"/>
        <v>19239.249610842147</v>
      </c>
      <c r="BE25" s="35">
        <f t="shared" ca="1" si="27"/>
        <v>19627.084344653667</v>
      </c>
      <c r="BF25" s="35">
        <f t="shared" ca="1" si="27"/>
        <v>20022.815985137284</v>
      </c>
      <c r="BG25" s="35">
        <f t="shared" ca="1" si="27"/>
        <v>20416.19861909626</v>
      </c>
      <c r="BH25" s="35">
        <f t="shared" ca="1" si="27"/>
        <v>20817.557264233543</v>
      </c>
      <c r="BI25" s="35">
        <f t="shared" ca="1" si="27"/>
        <v>21227.050357187702</v>
      </c>
      <c r="BJ25" s="35">
        <f t="shared" ca="1" si="27"/>
        <v>21644.839514165942</v>
      </c>
      <c r="BK25" s="35">
        <f t="shared" ca="1" si="27"/>
        <v>22071.089594427096</v>
      </c>
      <c r="BL25" s="35">
        <f t="shared" ca="1" si="27"/>
        <v>22505.968765035381</v>
      </c>
      <c r="BM25" s="35">
        <f t="shared" ca="1" si="27"/>
        <v>22949.648566910328</v>
      </c>
      <c r="BN25" s="35">
        <f t="shared" ca="1" si="27"/>
        <v>23402.303982198719</v>
      </c>
      <c r="BO25" s="35">
        <f t="shared" ca="1" si="27"/>
        <v>23864.113502995064</v>
      </c>
      <c r="BP25" s="35">
        <f t="shared" ca="1" si="27"/>
        <v>24335.259201437508</v>
      </c>
      <c r="BQ25" s="35">
        <f t="shared" ca="1" si="27"/>
        <v>24815.92680120666</v>
      </c>
      <c r="BR25" s="35">
        <f t="shared" ca="1" si="27"/>
        <v>25306.305750455482</v>
      </c>
      <c r="BS25" s="35">
        <f t="shared" ca="1" si="27"/>
        <v>25775.763327416469</v>
      </c>
      <c r="BT25" s="35">
        <f t="shared" ca="1" si="27"/>
        <v>26225.460690239572</v>
      </c>
      <c r="BU25" s="35">
        <f t="shared" ca="1" si="27"/>
        <v>26655.294128298796</v>
      </c>
      <c r="BV25" s="35">
        <f t="shared" ref="BV25:DY25" ca="1" si="28">+_activeinstallationsBoPP1+_activeinstallationsBoPP2+_activeinstallationsBoPP3+_activeinstallationsBoPP4+_activeinstallationsBoPP5</f>
        <v>27065.154941819073</v>
      </c>
      <c r="BW25" s="35">
        <f t="shared" ca="1" si="28"/>
        <v>27454.929371242615</v>
      </c>
      <c r="BX25" s="35">
        <f t="shared" ca="1" si="28"/>
        <v>27824.498524891169</v>
      </c>
      <c r="BY25" s="35">
        <f t="shared" ca="1" si="28"/>
        <v>28173.738304892868</v>
      </c>
      <c r="BZ25" s="35">
        <f t="shared" ca="1" si="28"/>
        <v>28502.519331341973</v>
      </c>
      <c r="CA25" s="35">
        <f t="shared" ca="1" si="28"/>
        <v>28810.706864658954</v>
      </c>
      <c r="CB25" s="35">
        <f t="shared" ca="1" si="28"/>
        <v>29098.160726117785</v>
      </c>
      <c r="CC25" s="35">
        <f t="shared" ca="1" si="28"/>
        <v>29364.735216506539</v>
      </c>
      <c r="CD25" s="35">
        <f t="shared" ca="1" si="28"/>
        <v>29610.279032886818</v>
      </c>
      <c r="CE25" s="35">
        <f t="shared" ca="1" si="28"/>
        <v>29839.053770101113</v>
      </c>
      <c r="CF25" s="35">
        <f t="shared" ca="1" si="28"/>
        <v>30051.746723589677</v>
      </c>
      <c r="CG25" s="35">
        <f t="shared" ca="1" si="28"/>
        <v>30248.242830462717</v>
      </c>
      <c r="CH25" s="35">
        <f t="shared" ca="1" si="28"/>
        <v>30428.422660844757</v>
      </c>
      <c r="CI25" s="35">
        <f t="shared" ca="1" si="28"/>
        <v>30592.162351192273</v>
      </c>
      <c r="CJ25" s="35">
        <f t="shared" ca="1" si="28"/>
        <v>30739.33353607099</v>
      </c>
      <c r="CK25" s="35">
        <f t="shared" ca="1" si="28"/>
        <v>30869.803278364285</v>
      </c>
      <c r="CL25" s="35">
        <f t="shared" ca="1" si="28"/>
        <v>30983.433997883294</v>
      </c>
      <c r="CM25" s="35">
        <f t="shared" ca="1" si="28"/>
        <v>31080.083398348721</v>
      </c>
      <c r="CN25" s="35">
        <f t="shared" ca="1" si="28"/>
        <v>31159.60439271394</v>
      </c>
      <c r="CO25" s="35">
        <f t="shared" ca="1" si="28"/>
        <v>31221.845026798037</v>
      </c>
      <c r="CP25" s="35">
        <f t="shared" ca="1" si="28"/>
        <v>31266.648401197082</v>
      </c>
      <c r="CQ25" s="35">
        <f t="shared" ca="1" si="28"/>
        <v>31308.23689602816</v>
      </c>
      <c r="CR25" s="35">
        <f t="shared" ca="1" si="28"/>
        <v>31346.587332662784</v>
      </c>
      <c r="CS25" s="35">
        <f t="shared" ca="1" si="28"/>
        <v>31381.675648217963</v>
      </c>
      <c r="CT25" s="35">
        <f t="shared" ca="1" si="28"/>
        <v>31413.476891570223</v>
      </c>
      <c r="CU25" s="35">
        <f t="shared" ca="1" si="28"/>
        <v>31441.965209660648</v>
      </c>
      <c r="CV25" s="35">
        <f t="shared" ca="1" si="28"/>
        <v>31467.113833485288</v>
      </c>
      <c r="CW25" s="35">
        <f t="shared" ca="1" si="28"/>
        <v>31490.983524063031</v>
      </c>
      <c r="CX25" s="35">
        <f t="shared" ca="1" si="28"/>
        <v>31513.660544206687</v>
      </c>
      <c r="CY25" s="35">
        <f t="shared" ca="1" si="28"/>
        <v>31535.13774115004</v>
      </c>
      <c r="CZ25" s="35">
        <f t="shared" ca="1" si="28"/>
        <v>31555.407652065114</v>
      </c>
      <c r="DA25" s="35">
        <f t="shared" ca="1" si="28"/>
        <v>31574.462499531011</v>
      </c>
      <c r="DB25" s="35">
        <f t="shared" ca="1" si="28"/>
        <v>31592.294186895429</v>
      </c>
      <c r="DC25" s="35">
        <f t="shared" ca="1" si="28"/>
        <v>31608.871297845246</v>
      </c>
      <c r="DD25" s="35">
        <f t="shared" ca="1" si="28"/>
        <v>31624.248161412466</v>
      </c>
      <c r="DE25" s="35">
        <f t="shared" ca="1" si="28"/>
        <v>31638.416090545448</v>
      </c>
      <c r="DF25" s="35">
        <f t="shared" ca="1" si="28"/>
        <v>31651.366071272569</v>
      </c>
      <c r="DG25" s="35">
        <f t="shared" ca="1" si="28"/>
        <v>31663.088757695587</v>
      </c>
      <c r="DH25" s="35">
        <f t="shared" ca="1" si="28"/>
        <v>31673.57446686762</v>
      </c>
      <c r="DI25" s="35">
        <f t="shared" ca="1" si="28"/>
        <v>31682.813173553433</v>
      </c>
      <c r="DJ25" s="35">
        <f t="shared" ca="1" si="28"/>
        <v>31690.794504869998</v>
      </c>
      <c r="DK25" s="35">
        <f t="shared" ca="1" si="28"/>
        <v>31697.507734804967</v>
      </c>
      <c r="DL25" s="35">
        <f t="shared" ca="1" si="28"/>
        <v>31702.941778610781</v>
      </c>
      <c r="DM25" s="35">
        <f t="shared" ca="1" si="28"/>
        <v>31707.085187072138</v>
      </c>
      <c r="DN25" s="35">
        <f t="shared" ca="1" si="28"/>
        <v>31709.926140644347</v>
      </c>
      <c r="DO25" s="35">
        <f t="shared" ca="1" si="28"/>
        <v>31712.549776904554</v>
      </c>
      <c r="DP25" s="35">
        <f t="shared" ca="1" si="28"/>
        <v>31714.954490944921</v>
      </c>
      <c r="DQ25" s="35">
        <f t="shared" ca="1" si="28"/>
        <v>31717.138618270514</v>
      </c>
      <c r="DR25" s="35">
        <f t="shared" ca="1" si="28"/>
        <v>31719.100433956977</v>
      </c>
      <c r="DS25" s="35">
        <f t="shared" ca="1" si="28"/>
        <v>31720.838151713404</v>
      </c>
      <c r="DT25" s="35">
        <f t="shared" ca="1" si="28"/>
        <v>31722.349922923615</v>
      </c>
      <c r="DU25" s="35">
        <f t="shared" ca="1" si="28"/>
        <v>31723.6338356657</v>
      </c>
      <c r="DV25" s="35">
        <f t="shared" ca="1" si="28"/>
        <v>31724.687913709233</v>
      </c>
      <c r="DW25" s="35">
        <f t="shared" ca="1" si="28"/>
        <v>31725.510115489764</v>
      </c>
      <c r="DX25" s="35">
        <f t="shared" ca="1" si="28"/>
        <v>31726.098333060279</v>
      </c>
      <c r="DY25" s="35">
        <f t="shared" ca="1" si="28"/>
        <v>31726.450391019036</v>
      </c>
    </row>
    <row r="26" spans="1:129" outlineLevel="1">
      <c r="C26" s="79" t="s">
        <v>5</v>
      </c>
      <c r="D26" s="55" t="s">
        <v>128</v>
      </c>
      <c r="E26" s="55"/>
      <c r="F26" s="55" t="s">
        <v>134</v>
      </c>
      <c r="G26" s="55"/>
      <c r="H26" s="55"/>
      <c r="I26" s="55"/>
      <c r="J26" s="57">
        <f>+(_NewSalesP1+_NewSalesP2+_NewSalesP4+_NewSalesP3+_NewSalesP5)</f>
        <v>469.2</v>
      </c>
      <c r="K26" s="57">
        <f>+(_NewSalesP1+_NewSalesP2+_NewSalesP4+_NewSalesP3+_NewSalesP5)</f>
        <v>478.584</v>
      </c>
      <c r="L26" s="57">
        <f t="shared" ref="L26:AO26" si="29">+(_NewSalesP1+_NewSalesP2+_NewSalesP4+_NewSalesP3+_NewSalesP5)</f>
        <v>488.15568000000007</v>
      </c>
      <c r="M26" s="57">
        <f t="shared" si="29"/>
        <v>497.91879360000001</v>
      </c>
      <c r="N26" s="57">
        <f t="shared" si="29"/>
        <v>507.87716947200005</v>
      </c>
      <c r="O26" s="57">
        <f t="shared" si="29"/>
        <v>518.03471286144008</v>
      </c>
      <c r="P26" s="57">
        <f t="shared" si="29"/>
        <v>528.3954071186688</v>
      </c>
      <c r="Q26" s="57">
        <f t="shared" si="29"/>
        <v>538.96331526104223</v>
      </c>
      <c r="R26" s="57">
        <f t="shared" si="29"/>
        <v>549.74258156626297</v>
      </c>
      <c r="S26" s="57">
        <f t="shared" si="29"/>
        <v>560.7374331975883</v>
      </c>
      <c r="T26" s="57">
        <f t="shared" si="29"/>
        <v>571.95218186154011</v>
      </c>
      <c r="U26" s="57">
        <f t="shared" si="29"/>
        <v>583.39122549877095</v>
      </c>
      <c r="V26" s="57">
        <f t="shared" si="29"/>
        <v>595.05905000874634</v>
      </c>
      <c r="W26" s="57">
        <f t="shared" si="29"/>
        <v>606.96023100892126</v>
      </c>
      <c r="X26" s="57">
        <f t="shared" si="29"/>
        <v>619.09943562909984</v>
      </c>
      <c r="Y26" s="57">
        <f t="shared" si="29"/>
        <v>631.48142434168187</v>
      </c>
      <c r="Z26" s="57">
        <f t="shared" si="29"/>
        <v>644.11105282851554</v>
      </c>
      <c r="AA26" s="57">
        <f t="shared" si="29"/>
        <v>656.99327388508584</v>
      </c>
      <c r="AB26" s="57">
        <f>+(_NewSalesP1+_NewSalesP2+_NewSalesP4+_NewSalesP3+_NewSalesP5)</f>
        <v>670.13313936278757</v>
      </c>
      <c r="AC26" s="57">
        <f t="shared" si="29"/>
        <v>683.53580215004342</v>
      </c>
      <c r="AD26" s="57">
        <f t="shared" si="29"/>
        <v>697.2065181930443</v>
      </c>
      <c r="AE26" s="57">
        <f t="shared" si="29"/>
        <v>711.15064855690503</v>
      </c>
      <c r="AF26" s="57">
        <f t="shared" si="29"/>
        <v>725.37366152804316</v>
      </c>
      <c r="AG26" s="57">
        <f t="shared" si="29"/>
        <v>739.88113475860405</v>
      </c>
      <c r="AH26" s="57">
        <f t="shared" si="29"/>
        <v>754.67875745377614</v>
      </c>
      <c r="AI26" s="57">
        <f t="shared" si="29"/>
        <v>769.77233260285175</v>
      </c>
      <c r="AJ26" s="57">
        <f t="shared" si="29"/>
        <v>785.16777925490862</v>
      </c>
      <c r="AK26" s="57">
        <f t="shared" si="29"/>
        <v>800.8711348400069</v>
      </c>
      <c r="AL26" s="57">
        <f t="shared" si="29"/>
        <v>816.88855753680696</v>
      </c>
      <c r="AM26" s="57">
        <f t="shared" si="29"/>
        <v>833.22632868754317</v>
      </c>
      <c r="AN26" s="57">
        <f t="shared" si="29"/>
        <v>849.89085526129395</v>
      </c>
      <c r="AO26" s="57">
        <f t="shared" si="29"/>
        <v>866.88867236651981</v>
      </c>
      <c r="AP26" s="57">
        <f t="shared" ref="AP26:BU26" si="30">+(_NewSalesP1+_NewSalesP2+_NewSalesP4+_NewSalesP3+_NewSalesP5)</f>
        <v>884.22644581385043</v>
      </c>
      <c r="AQ26" s="57">
        <f t="shared" si="30"/>
        <v>901.91097473012746</v>
      </c>
      <c r="AR26" s="57">
        <f t="shared" si="30"/>
        <v>919.94919422473004</v>
      </c>
      <c r="AS26" s="57">
        <f t="shared" si="30"/>
        <v>938.34817810922448</v>
      </c>
      <c r="AT26" s="57">
        <f t="shared" si="30"/>
        <v>957.11514167140911</v>
      </c>
      <c r="AU26" s="57">
        <f t="shared" si="30"/>
        <v>976.25744450483739</v>
      </c>
      <c r="AV26" s="57">
        <f t="shared" si="30"/>
        <v>995.78259339493411</v>
      </c>
      <c r="AW26" s="57">
        <f t="shared" si="30"/>
        <v>1015.6982452628329</v>
      </c>
      <c r="AX26" s="57">
        <f t="shared" si="30"/>
        <v>1036.0122101680893</v>
      </c>
      <c r="AY26" s="57">
        <f t="shared" si="30"/>
        <v>1056.7324543714512</v>
      </c>
      <c r="AZ26" s="57">
        <f t="shared" si="30"/>
        <v>1077.8671034588804</v>
      </c>
      <c r="BA26" s="57">
        <f t="shared" si="30"/>
        <v>1099.4244455280577</v>
      </c>
      <c r="BB26" s="57">
        <f t="shared" si="30"/>
        <v>1121.412934438619</v>
      </c>
      <c r="BC26" s="57">
        <f t="shared" si="30"/>
        <v>1143.8411931273913</v>
      </c>
      <c r="BD26" s="57">
        <f t="shared" si="30"/>
        <v>1166.7180169899393</v>
      </c>
      <c r="BE26" s="57">
        <f t="shared" si="30"/>
        <v>1190.052377329738</v>
      </c>
      <c r="BF26" s="57">
        <f t="shared" si="30"/>
        <v>1213.8534248763326</v>
      </c>
      <c r="BG26" s="57">
        <f t="shared" si="30"/>
        <v>1238.1304933738593</v>
      </c>
      <c r="BH26" s="57">
        <f t="shared" si="30"/>
        <v>1262.8931032413366</v>
      </c>
      <c r="BI26" s="57">
        <f t="shared" si="30"/>
        <v>1288.1509653061632</v>
      </c>
      <c r="BJ26" s="57">
        <f t="shared" si="30"/>
        <v>1313.9139846122866</v>
      </c>
      <c r="BK26" s="57">
        <f t="shared" si="30"/>
        <v>1340.1922643045323</v>
      </c>
      <c r="BL26" s="57">
        <f t="shared" si="30"/>
        <v>1366.9961095906233</v>
      </c>
      <c r="BM26" s="57">
        <f t="shared" si="30"/>
        <v>1394.3360317824358</v>
      </c>
      <c r="BN26" s="57">
        <f t="shared" si="30"/>
        <v>1422.2227524180846</v>
      </c>
      <c r="BO26" s="57">
        <f t="shared" si="30"/>
        <v>1450.6672074664461</v>
      </c>
      <c r="BP26" s="57">
        <f t="shared" si="30"/>
        <v>1479.6805516157751</v>
      </c>
      <c r="BQ26" s="57">
        <f t="shared" si="30"/>
        <v>1509.2741626480906</v>
      </c>
      <c r="BR26" s="57">
        <f t="shared" si="30"/>
        <v>1509.2741626480906</v>
      </c>
      <c r="BS26" s="57">
        <f t="shared" si="30"/>
        <v>1509.2741626480906</v>
      </c>
      <c r="BT26" s="57">
        <f t="shared" si="30"/>
        <v>1509.2741626480906</v>
      </c>
      <c r="BU26" s="57">
        <f t="shared" si="30"/>
        <v>1509.2741626480906</v>
      </c>
      <c r="BV26" s="57">
        <f t="shared" ref="BV26:DY26" si="31">+(_NewSalesP1+_NewSalesP2+_NewSalesP4+_NewSalesP3+_NewSalesP5)</f>
        <v>1509.2741626480906</v>
      </c>
      <c r="BW26" s="57">
        <f t="shared" si="31"/>
        <v>1509.2741626480906</v>
      </c>
      <c r="BX26" s="57">
        <f t="shared" si="31"/>
        <v>1509.2741626480906</v>
      </c>
      <c r="BY26" s="57">
        <f t="shared" si="31"/>
        <v>1509.2741626480906</v>
      </c>
      <c r="BZ26" s="57">
        <f t="shared" si="31"/>
        <v>1509.2741626480906</v>
      </c>
      <c r="CA26" s="57">
        <f t="shared" si="31"/>
        <v>1509.2741626480906</v>
      </c>
      <c r="CB26" s="57">
        <f t="shared" si="31"/>
        <v>1509.2741626480906</v>
      </c>
      <c r="CC26" s="57">
        <f t="shared" si="31"/>
        <v>1509.2741626480906</v>
      </c>
      <c r="CD26" s="57">
        <f t="shared" si="31"/>
        <v>1509.2741626480906</v>
      </c>
      <c r="CE26" s="57">
        <f t="shared" si="31"/>
        <v>1509.2741626480906</v>
      </c>
      <c r="CF26" s="57">
        <f t="shared" si="31"/>
        <v>1509.2741626480906</v>
      </c>
      <c r="CG26" s="57">
        <f t="shared" si="31"/>
        <v>1509.2741626480906</v>
      </c>
      <c r="CH26" s="57">
        <f t="shared" si="31"/>
        <v>1509.2741626480906</v>
      </c>
      <c r="CI26" s="57">
        <f t="shared" si="31"/>
        <v>1509.2741626480906</v>
      </c>
      <c r="CJ26" s="57">
        <f t="shared" si="31"/>
        <v>1509.2741626480906</v>
      </c>
      <c r="CK26" s="57">
        <f t="shared" si="31"/>
        <v>1509.2741626480906</v>
      </c>
      <c r="CL26" s="57">
        <f t="shared" si="31"/>
        <v>1509.2741626480906</v>
      </c>
      <c r="CM26" s="57">
        <f t="shared" si="31"/>
        <v>1509.2741626480906</v>
      </c>
      <c r="CN26" s="57">
        <f t="shared" si="31"/>
        <v>1509.2741626480906</v>
      </c>
      <c r="CO26" s="57">
        <f t="shared" si="31"/>
        <v>1509.2741626480906</v>
      </c>
      <c r="CP26" s="57">
        <f t="shared" si="31"/>
        <v>1509.2741626480906</v>
      </c>
      <c r="CQ26" s="57">
        <f t="shared" si="31"/>
        <v>1509.2741626480906</v>
      </c>
      <c r="CR26" s="57">
        <f t="shared" si="31"/>
        <v>1509.2741626480906</v>
      </c>
      <c r="CS26" s="57">
        <f t="shared" si="31"/>
        <v>1509.2741626480906</v>
      </c>
      <c r="CT26" s="57">
        <f t="shared" si="31"/>
        <v>1509.2741626480906</v>
      </c>
      <c r="CU26" s="57">
        <f t="shared" si="31"/>
        <v>1509.2741626480906</v>
      </c>
      <c r="CV26" s="57">
        <f t="shared" si="31"/>
        <v>1509.2741626480906</v>
      </c>
      <c r="CW26" s="57">
        <f t="shared" si="31"/>
        <v>1509.2741626480906</v>
      </c>
      <c r="CX26" s="57">
        <f t="shared" si="31"/>
        <v>1509.2741626480906</v>
      </c>
      <c r="CY26" s="57">
        <f t="shared" si="31"/>
        <v>1509.2741626480906</v>
      </c>
      <c r="CZ26" s="57">
        <f t="shared" si="31"/>
        <v>1509.2741626480906</v>
      </c>
      <c r="DA26" s="57">
        <f t="shared" si="31"/>
        <v>1509.2741626480906</v>
      </c>
      <c r="DB26" s="57">
        <f t="shared" si="31"/>
        <v>1509.2741626480906</v>
      </c>
      <c r="DC26" s="57">
        <f t="shared" si="31"/>
        <v>1509.2741626480906</v>
      </c>
      <c r="DD26" s="57">
        <f t="shared" si="31"/>
        <v>1509.2741626480906</v>
      </c>
      <c r="DE26" s="57">
        <f t="shared" si="31"/>
        <v>1509.2741626480906</v>
      </c>
      <c r="DF26" s="57">
        <f t="shared" si="31"/>
        <v>1509.2741626480906</v>
      </c>
      <c r="DG26" s="57">
        <f t="shared" si="31"/>
        <v>1509.2741626480906</v>
      </c>
      <c r="DH26" s="57">
        <f t="shared" si="31"/>
        <v>1509.2741626480906</v>
      </c>
      <c r="DI26" s="57">
        <f t="shared" si="31"/>
        <v>1509.2741626480906</v>
      </c>
      <c r="DJ26" s="57">
        <f t="shared" si="31"/>
        <v>1509.2741626480906</v>
      </c>
      <c r="DK26" s="57">
        <f t="shared" si="31"/>
        <v>1509.2741626480906</v>
      </c>
      <c r="DL26" s="57">
        <f t="shared" si="31"/>
        <v>1509.2741626480906</v>
      </c>
      <c r="DM26" s="57">
        <f t="shared" si="31"/>
        <v>1509.2741626480906</v>
      </c>
      <c r="DN26" s="57">
        <f t="shared" si="31"/>
        <v>1509.2741626480906</v>
      </c>
      <c r="DO26" s="57">
        <f t="shared" si="31"/>
        <v>1509.2741626480906</v>
      </c>
      <c r="DP26" s="57">
        <f t="shared" si="31"/>
        <v>1509.2741626480906</v>
      </c>
      <c r="DQ26" s="57">
        <f t="shared" si="31"/>
        <v>1509.2741626480906</v>
      </c>
      <c r="DR26" s="57">
        <f t="shared" si="31"/>
        <v>1509.2741626480906</v>
      </c>
      <c r="DS26" s="57">
        <f t="shared" si="31"/>
        <v>1509.2741626480906</v>
      </c>
      <c r="DT26" s="57">
        <f t="shared" si="31"/>
        <v>1509.2741626480906</v>
      </c>
      <c r="DU26" s="57">
        <f t="shared" si="31"/>
        <v>1509.2741626480906</v>
      </c>
      <c r="DV26" s="57">
        <f t="shared" si="31"/>
        <v>1509.2741626480906</v>
      </c>
      <c r="DW26" s="57">
        <f t="shared" si="31"/>
        <v>1509.2741626480906</v>
      </c>
      <c r="DX26" s="57">
        <f t="shared" si="31"/>
        <v>1509.2741626480906</v>
      </c>
      <c r="DY26" s="57">
        <f t="shared" si="31"/>
        <v>1509.2741626480906</v>
      </c>
    </row>
    <row r="27" spans="1:129" outlineLevel="1">
      <c r="C27" s="8" t="s">
        <v>5</v>
      </c>
      <c r="D27" s="5" t="s">
        <v>129</v>
      </c>
      <c r="F27" s="5" t="s">
        <v>133</v>
      </c>
      <c r="J27" s="35">
        <f ca="1">+(_RetainedSalesP1+_RetainedSalesP2+_RetainedSalesP4+_RetainedSalesP3+_RetainedSalesP5)</f>
        <v>19.507417578763061</v>
      </c>
      <c r="K27" s="35">
        <f ca="1">+(_RetainedSalesP1+_RetainedSalesP2+_RetainedSalesP4+_RetainedSalesP3+_RetainedSalesP5)</f>
        <v>19.507417578763061</v>
      </c>
      <c r="L27" s="35">
        <f t="shared" ref="L27:AO27" ca="1" si="32">+(_RetainedSalesP1+_RetainedSalesP2+_RetainedSalesP4+_RetainedSalesP3+_RetainedSalesP5)</f>
        <v>19.507417578763061</v>
      </c>
      <c r="M27" s="35">
        <f t="shared" ca="1" si="32"/>
        <v>19.507417578763061</v>
      </c>
      <c r="N27" s="35">
        <f t="shared" ca="1" si="32"/>
        <v>19.507417578763061</v>
      </c>
      <c r="O27" s="35">
        <f t="shared" ca="1" si="32"/>
        <v>19.507417578763061</v>
      </c>
      <c r="P27" s="35">
        <f t="shared" ca="1" si="32"/>
        <v>19.507417578763061</v>
      </c>
      <c r="Q27" s="35">
        <f t="shared" ca="1" si="32"/>
        <v>19.507417578763061</v>
      </c>
      <c r="R27" s="35">
        <f t="shared" ca="1" si="32"/>
        <v>19.507417578763061</v>
      </c>
      <c r="S27" s="35">
        <f t="shared" ca="1" si="32"/>
        <v>19.507417578763061</v>
      </c>
      <c r="T27" s="35">
        <f t="shared" ca="1" si="32"/>
        <v>19.507417578763061</v>
      </c>
      <c r="U27" s="35">
        <f t="shared" ca="1" si="32"/>
        <v>19.507417578763061</v>
      </c>
      <c r="V27" s="35">
        <f t="shared" ca="1" si="32"/>
        <v>21.816734456639189</v>
      </c>
      <c r="W27" s="35">
        <f t="shared" ca="1" si="32"/>
        <v>21.997556970469276</v>
      </c>
      <c r="X27" s="35">
        <f t="shared" ca="1" si="32"/>
        <v>22.181995934575973</v>
      </c>
      <c r="Y27" s="35">
        <f t="shared" ca="1" si="32"/>
        <v>22.370123677964799</v>
      </c>
      <c r="Z27" s="35">
        <f t="shared" ca="1" si="32"/>
        <v>22.562013976221401</v>
      </c>
      <c r="AA27" s="35">
        <f t="shared" ca="1" si="32"/>
        <v>22.75774208044313</v>
      </c>
      <c r="AB27" s="35">
        <f ca="1">+(_RetainedSalesP1+_RetainedSalesP2+_RetainedSalesP4+_RetainedSalesP3+_RetainedSalesP5)</f>
        <v>22.957384746749305</v>
      </c>
      <c r="AC27" s="35">
        <f t="shared" ca="1" si="32"/>
        <v>23.161020266381598</v>
      </c>
      <c r="AD27" s="35">
        <f t="shared" ca="1" si="32"/>
        <v>23.368728496406533</v>
      </c>
      <c r="AE27" s="35">
        <f t="shared" ca="1" si="32"/>
        <v>23.580590891031974</v>
      </c>
      <c r="AF27" s="35">
        <f t="shared" ca="1" si="32"/>
        <v>23.796690533549921</v>
      </c>
      <c r="AG27" s="35">
        <f t="shared" ca="1" si="32"/>
        <v>24.017112168918224</v>
      </c>
      <c r="AH27" s="35">
        <f t="shared" ca="1" si="32"/>
        <v>39.137378146773479</v>
      </c>
      <c r="AI27" s="35">
        <f t="shared" ca="1" si="32"/>
        <v>39.863567672457151</v>
      </c>
      <c r="AJ27" s="35">
        <f t="shared" ca="1" si="32"/>
        <v>40.604280988654494</v>
      </c>
      <c r="AK27" s="35">
        <f t="shared" ca="1" si="32"/>
        <v>41.359808571175783</v>
      </c>
      <c r="AL27" s="35">
        <f t="shared" ca="1" si="32"/>
        <v>42.130446705347495</v>
      </c>
      <c r="AM27" s="35">
        <f t="shared" ca="1" si="32"/>
        <v>42.916497602202654</v>
      </c>
      <c r="AN27" s="35">
        <f t="shared" ca="1" si="32"/>
        <v>45.66411553021058</v>
      </c>
      <c r="AO27" s="35">
        <f t="shared" ca="1" si="32"/>
        <v>46.557372321384292</v>
      </c>
      <c r="AP27" s="35">
        <f t="shared" ref="AP27:BU27" ca="1" si="33">+(_RetainedSalesP1+_RetainedSalesP2+_RetainedSalesP4+_RetainedSalesP3+_RetainedSalesP5)</f>
        <v>47.468494248381475</v>
      </c>
      <c r="AQ27" s="35">
        <f t="shared" ca="1" si="33"/>
        <v>48.397838613918587</v>
      </c>
      <c r="AR27" s="35">
        <f t="shared" ca="1" si="33"/>
        <v>49.345769866766453</v>
      </c>
      <c r="AS27" s="35">
        <f t="shared" ca="1" si="33"/>
        <v>50.312659744671279</v>
      </c>
      <c r="AT27" s="35">
        <f t="shared" ca="1" si="33"/>
        <v>51.317031218045635</v>
      </c>
      <c r="AU27" s="35">
        <f t="shared" ca="1" si="33"/>
        <v>52.324404129982639</v>
      </c>
      <c r="AV27" s="35">
        <f t="shared" ca="1" si="33"/>
        <v>53.351924500158361</v>
      </c>
      <c r="AW27" s="35">
        <f t="shared" ca="1" si="33"/>
        <v>54.399995277737624</v>
      </c>
      <c r="AX27" s="35">
        <f t="shared" ca="1" si="33"/>
        <v>55.469027470868468</v>
      </c>
      <c r="AY27" s="35">
        <f t="shared" ca="1" si="33"/>
        <v>56.559440307861919</v>
      </c>
      <c r="AZ27" s="35">
        <f t="shared" ca="1" si="33"/>
        <v>57.67166140159523</v>
      </c>
      <c r="BA27" s="35">
        <f t="shared" ca="1" si="33"/>
        <v>58.80612691720323</v>
      </c>
      <c r="BB27" s="35">
        <f t="shared" ca="1" si="33"/>
        <v>59.963281743123382</v>
      </c>
      <c r="BC27" s="35">
        <f t="shared" ca="1" si="33"/>
        <v>61.14357966556193</v>
      </c>
      <c r="BD27" s="35">
        <f t="shared" ca="1" si="33"/>
        <v>62.347483546449254</v>
      </c>
      <c r="BE27" s="35">
        <f t="shared" ca="1" si="33"/>
        <v>63.575465504954316</v>
      </c>
      <c r="BF27" s="35">
        <f t="shared" ca="1" si="33"/>
        <v>65.983834792654605</v>
      </c>
      <c r="BG27" s="35">
        <f t="shared" ca="1" si="33"/>
        <v>67.299331306097713</v>
      </c>
      <c r="BH27" s="35">
        <f t="shared" ca="1" si="33"/>
        <v>68.641137749809658</v>
      </c>
      <c r="BI27" s="35">
        <f t="shared" ca="1" si="33"/>
        <v>70.009780322395841</v>
      </c>
      <c r="BJ27" s="35">
        <f t="shared" ca="1" si="33"/>
        <v>71.405795746433768</v>
      </c>
      <c r="BK27" s="35">
        <f t="shared" ca="1" si="33"/>
        <v>72.829731478952453</v>
      </c>
      <c r="BL27" s="35">
        <f t="shared" ca="1" si="33"/>
        <v>74.282145926121487</v>
      </c>
      <c r="BM27" s="35">
        <f t="shared" ca="1" si="33"/>
        <v>75.763608662233921</v>
      </c>
      <c r="BN27" s="35">
        <f t="shared" ca="1" si="33"/>
        <v>77.274700653068606</v>
      </c>
      <c r="BO27" s="35">
        <f t="shared" ca="1" si="33"/>
        <v>78.816014483719982</v>
      </c>
      <c r="BP27" s="35">
        <f t="shared" ca="1" si="33"/>
        <v>80.388154590984385</v>
      </c>
      <c r="BQ27" s="35">
        <f t="shared" ca="1" si="33"/>
        <v>81.991737500394066</v>
      </c>
      <c r="BR27" s="35">
        <f t="shared" ca="1" si="33"/>
        <v>83.771468922099231</v>
      </c>
      <c r="BS27" s="35">
        <f t="shared" ca="1" si="33"/>
        <v>85.445428740796956</v>
      </c>
      <c r="BT27" s="35">
        <f t="shared" ca="1" si="33"/>
        <v>87.152867755868655</v>
      </c>
      <c r="BU27" s="35">
        <f t="shared" ca="1" si="33"/>
        <v>88.894455551241762</v>
      </c>
      <c r="BV27" s="35">
        <f t="shared" ref="BV27:DY27" ca="1" si="34">+(_RetainedSalesP1+_RetainedSalesP2+_RetainedSalesP4+_RetainedSalesP3+_RetainedSalesP5)</f>
        <v>90.670875102522359</v>
      </c>
      <c r="BW27" s="35">
        <f t="shared" ca="1" si="34"/>
        <v>92.48282304482855</v>
      </c>
      <c r="BX27" s="35">
        <f t="shared" ca="1" si="34"/>
        <v>94.331009945980867</v>
      </c>
      <c r="BY27" s="35">
        <f t="shared" ca="1" si="34"/>
        <v>96.216160585156231</v>
      </c>
      <c r="BZ27" s="35">
        <f t="shared" ca="1" si="34"/>
        <v>98.139014237115106</v>
      </c>
      <c r="CA27" s="35">
        <f t="shared" ca="1" si="34"/>
        <v>100.10032496211316</v>
      </c>
      <c r="CB27" s="35">
        <f t="shared" ca="1" si="34"/>
        <v>102.10086190161115</v>
      </c>
      <c r="CC27" s="35">
        <f t="shared" ca="1" si="34"/>
        <v>104.14140957989913</v>
      </c>
      <c r="CD27" s="35">
        <f t="shared" ca="1" si="34"/>
        <v>105.73181413569749</v>
      </c>
      <c r="CE27" s="35">
        <f t="shared" ca="1" si="34"/>
        <v>107.26448484165061</v>
      </c>
      <c r="CF27" s="35">
        <f t="shared" ca="1" si="34"/>
        <v>108.82780896172281</v>
      </c>
      <c r="CG27" s="35">
        <f t="shared" ca="1" si="34"/>
        <v>110.42239956419641</v>
      </c>
      <c r="CH27" s="35">
        <f t="shared" ca="1" si="34"/>
        <v>112.04888197871952</v>
      </c>
      <c r="CI27" s="35">
        <f t="shared" ca="1" si="34"/>
        <v>113.70789404153308</v>
      </c>
      <c r="CJ27" s="35">
        <f t="shared" ca="1" si="34"/>
        <v>115.40008634560293</v>
      </c>
      <c r="CK27" s="35">
        <f t="shared" ca="1" si="34"/>
        <v>117.12612249575416</v>
      </c>
      <c r="CL27" s="35">
        <f t="shared" ca="1" si="34"/>
        <v>118.88667936890843</v>
      </c>
      <c r="CM27" s="35">
        <f t="shared" ca="1" si="34"/>
        <v>120.68244737952575</v>
      </c>
      <c r="CN27" s="35">
        <f t="shared" ca="1" si="34"/>
        <v>122.51413075035545</v>
      </c>
      <c r="CO27" s="35">
        <f t="shared" ca="1" si="34"/>
        <v>124.38244778860172</v>
      </c>
      <c r="CP27" s="35">
        <f t="shared" ca="1" si="34"/>
        <v>124.68987510237646</v>
      </c>
      <c r="CQ27" s="35">
        <f t="shared" ca="1" si="34"/>
        <v>125.00344990772535</v>
      </c>
      <c r="CR27" s="35">
        <f t="shared" ca="1" si="34"/>
        <v>125.32329620918124</v>
      </c>
      <c r="CS27" s="35">
        <f t="shared" ca="1" si="34"/>
        <v>125.64953943666623</v>
      </c>
      <c r="CT27" s="35">
        <f t="shared" ca="1" si="34"/>
        <v>125.98230752870091</v>
      </c>
      <c r="CU27" s="35">
        <f t="shared" ca="1" si="34"/>
        <v>126.3217309825763</v>
      </c>
      <c r="CV27" s="35">
        <f t="shared" ca="1" si="34"/>
        <v>126.43589176131596</v>
      </c>
      <c r="CW27" s="35">
        <f t="shared" ca="1" si="34"/>
        <v>126.54188882001628</v>
      </c>
      <c r="CX27" s="35">
        <f t="shared" ca="1" si="34"/>
        <v>126.65000581989062</v>
      </c>
      <c r="CY27" s="35">
        <f t="shared" ca="1" si="34"/>
        <v>126.76028515976246</v>
      </c>
      <c r="CZ27" s="35">
        <f t="shared" ca="1" si="34"/>
        <v>126.87277008643173</v>
      </c>
      <c r="DA27" s="35">
        <f t="shared" ca="1" si="34"/>
        <v>126.98750471163439</v>
      </c>
      <c r="DB27" s="35">
        <f t="shared" ca="1" si="34"/>
        <v>127.10708910507365</v>
      </c>
      <c r="DC27" s="35">
        <f t="shared" ca="1" si="34"/>
        <v>127.22203091319605</v>
      </c>
      <c r="DD27" s="35">
        <f t="shared" ca="1" si="34"/>
        <v>127.3392715574809</v>
      </c>
      <c r="DE27" s="35">
        <f t="shared" ca="1" si="34"/>
        <v>127.45885701465143</v>
      </c>
      <c r="DF27" s="35">
        <f t="shared" ca="1" si="34"/>
        <v>127.58083418096538</v>
      </c>
      <c r="DG27" s="35">
        <f t="shared" ca="1" si="34"/>
        <v>127.70525089060563</v>
      </c>
      <c r="DH27" s="35">
        <f t="shared" ca="1" si="34"/>
        <v>127.83215593443865</v>
      </c>
      <c r="DI27" s="35">
        <f t="shared" ca="1" si="34"/>
        <v>127.96159907914836</v>
      </c>
      <c r="DJ27" s="35">
        <f t="shared" ca="1" si="34"/>
        <v>128.09363108675225</v>
      </c>
      <c r="DK27" s="35">
        <f t="shared" ca="1" si="34"/>
        <v>128.22830373450819</v>
      </c>
      <c r="DL27" s="35">
        <f t="shared" ca="1" si="34"/>
        <v>128.36566983521931</v>
      </c>
      <c r="DM27" s="35">
        <f t="shared" ca="1" si="34"/>
        <v>128.50578325794461</v>
      </c>
      <c r="DN27" s="35">
        <f t="shared" ca="1" si="34"/>
        <v>128.5267730108653</v>
      </c>
      <c r="DO27" s="35">
        <f t="shared" ca="1" si="34"/>
        <v>128.54818255055784</v>
      </c>
      <c r="DP27" s="35">
        <f t="shared" ca="1" si="34"/>
        <v>128.57002028104421</v>
      </c>
      <c r="DQ27" s="35">
        <f t="shared" ca="1" si="34"/>
        <v>128.5922947661403</v>
      </c>
      <c r="DR27" s="35">
        <f t="shared" ca="1" si="34"/>
        <v>128.61501474093834</v>
      </c>
      <c r="DS27" s="35">
        <f t="shared" ca="1" si="34"/>
        <v>128.63818911523234</v>
      </c>
      <c r="DT27" s="35">
        <f t="shared" ca="1" si="34"/>
        <v>128.66182697701223</v>
      </c>
      <c r="DU27" s="35">
        <f t="shared" ca="1" si="34"/>
        <v>128.68593759602769</v>
      </c>
      <c r="DV27" s="35">
        <f t="shared" ca="1" si="34"/>
        <v>128.71053042742346</v>
      </c>
      <c r="DW27" s="35">
        <f t="shared" ca="1" si="34"/>
        <v>128.73561511544719</v>
      </c>
      <c r="DX27" s="35">
        <f t="shared" ca="1" si="34"/>
        <v>128.76120149723135</v>
      </c>
      <c r="DY27" s="35">
        <f t="shared" ca="1" si="34"/>
        <v>128.7872996066512</v>
      </c>
    </row>
    <row r="28" spans="1:129" outlineLevel="1">
      <c r="C28" s="8" t="s">
        <v>6</v>
      </c>
      <c r="D28" s="5" t="s">
        <v>130</v>
      </c>
      <c r="F28" s="5" t="s">
        <v>177</v>
      </c>
      <c r="J28" s="35">
        <f ca="1">(_EndingContractP1+_EndingContractP2+_EndingContractP4+_EndingContractP3+_EndingContractP5)</f>
        <v>205.27417578763064</v>
      </c>
      <c r="K28" s="35">
        <f ca="1">(_EndingContractP1+_EndingContractP2+_EndingContractP4+_EndingContractP3+_EndingContractP5)</f>
        <v>205.47817578763062</v>
      </c>
      <c r="L28" s="35">
        <f t="shared" ref="L28:AO28" ca="1" si="35">(_EndingContractP1+_EndingContractP2+_EndingContractP4+_EndingContractP3+_EndingContractP5)</f>
        <v>205.68625578763064</v>
      </c>
      <c r="M28" s="35">
        <f t="shared" ca="1" si="35"/>
        <v>205.89849738763064</v>
      </c>
      <c r="N28" s="35">
        <f t="shared" ca="1" si="35"/>
        <v>206.11498381963065</v>
      </c>
      <c r="O28" s="35">
        <f t="shared" ca="1" si="35"/>
        <v>206.33579998027062</v>
      </c>
      <c r="P28" s="35">
        <f t="shared" ca="1" si="35"/>
        <v>206.56103246412346</v>
      </c>
      <c r="Q28" s="35">
        <f t="shared" ca="1" si="35"/>
        <v>206.79076959765331</v>
      </c>
      <c r="R28" s="35">
        <f t="shared" ca="1" si="35"/>
        <v>207.02510147385374</v>
      </c>
      <c r="S28" s="35">
        <f t="shared" ca="1" si="35"/>
        <v>207.26411998757823</v>
      </c>
      <c r="T28" s="35">
        <f t="shared" ca="1" si="35"/>
        <v>207.50791887157715</v>
      </c>
      <c r="U28" s="35">
        <f t="shared" ca="1" si="35"/>
        <v>207.7565937332561</v>
      </c>
      <c r="V28" s="35">
        <f t="shared" ca="1" si="35"/>
        <v>231.10341087092982</v>
      </c>
      <c r="W28" s="35">
        <f t="shared" ca="1" si="35"/>
        <v>233.17035733532151</v>
      </c>
      <c r="X28" s="35">
        <f t="shared" ca="1" si="35"/>
        <v>235.27864272900098</v>
      </c>
      <c r="Y28" s="35">
        <f t="shared" ca="1" si="35"/>
        <v>237.42909383055408</v>
      </c>
      <c r="Z28" s="35">
        <f t="shared" ca="1" si="35"/>
        <v>239.62255395413823</v>
      </c>
      <c r="AA28" s="35">
        <f t="shared" ca="1" si="35"/>
        <v>241.85988328019405</v>
      </c>
      <c r="AB28" s="35">
        <f ca="1">(_EndingContractP1+_EndingContractP2+_EndingContractP4+_EndingContractP3+_EndingContractP5)</f>
        <v>244.14195919277103</v>
      </c>
      <c r="AC28" s="35">
        <f t="shared" ca="1" si="35"/>
        <v>246.4696766235995</v>
      </c>
      <c r="AD28" s="35">
        <f t="shared" ca="1" si="35"/>
        <v>248.84394840304455</v>
      </c>
      <c r="AE28" s="35">
        <f t="shared" ca="1" si="35"/>
        <v>251.26570561807853</v>
      </c>
      <c r="AF28" s="35">
        <f t="shared" ca="1" si="35"/>
        <v>253.73589797741317</v>
      </c>
      <c r="AG28" s="35">
        <f t="shared" ca="1" si="35"/>
        <v>256.2554941839345</v>
      </c>
      <c r="AH28" s="35">
        <f t="shared" ca="1" si="35"/>
        <v>407.7798414123821</v>
      </c>
      <c r="AI28" s="35">
        <f t="shared" ca="1" si="35"/>
        <v>415.36985786811175</v>
      </c>
      <c r="AJ28" s="35">
        <f t="shared" ca="1" si="35"/>
        <v>423.11167465295591</v>
      </c>
      <c r="AK28" s="35">
        <f t="shared" ca="1" si="35"/>
        <v>431.00832777349711</v>
      </c>
      <c r="AL28" s="35">
        <f t="shared" ca="1" si="35"/>
        <v>439.06291395644911</v>
      </c>
      <c r="AM28" s="35">
        <f t="shared" ca="1" si="35"/>
        <v>447.27859186306011</v>
      </c>
      <c r="AN28" s="35">
        <f t="shared" ca="1" si="35"/>
        <v>475.11704345996009</v>
      </c>
      <c r="AO28" s="35">
        <f t="shared" ca="1" si="35"/>
        <v>484.41912913485424</v>
      </c>
      <c r="AP28" s="35">
        <f t="shared" ref="AP28:BU28" ca="1" si="36">(_EndingContractP1+_EndingContractP2+_EndingContractP4+_EndingContractP3+_EndingContractP5)</f>
        <v>493.90725652324619</v>
      </c>
      <c r="AQ28" s="35">
        <f t="shared" ca="1" si="36"/>
        <v>503.58514645940602</v>
      </c>
      <c r="AR28" s="35">
        <f t="shared" ca="1" si="36"/>
        <v>513.4565941942891</v>
      </c>
      <c r="AS28" s="35">
        <f t="shared" ca="1" si="36"/>
        <v>523.52547088386973</v>
      </c>
      <c r="AT28" s="35">
        <f t="shared" ca="1" si="36"/>
        <v>533.97716308635654</v>
      </c>
      <c r="AU28" s="35">
        <f t="shared" ca="1" si="36"/>
        <v>544.46702922384452</v>
      </c>
      <c r="AV28" s="35">
        <f t="shared" ca="1" si="36"/>
        <v>555.16669268408225</v>
      </c>
      <c r="AW28" s="35">
        <f t="shared" ca="1" si="36"/>
        <v>566.08034941352469</v>
      </c>
      <c r="AX28" s="35">
        <f t="shared" ca="1" si="36"/>
        <v>577.21227927755604</v>
      </c>
      <c r="AY28" s="35">
        <f t="shared" ca="1" si="36"/>
        <v>588.56684773886809</v>
      </c>
      <c r="AZ28" s="35">
        <f t="shared" ca="1" si="36"/>
        <v>600.14850756940621</v>
      </c>
      <c r="BA28" s="35">
        <f t="shared" ca="1" si="36"/>
        <v>611.96180059655524</v>
      </c>
      <c r="BB28" s="35">
        <f t="shared" ca="1" si="36"/>
        <v>624.01135948424724</v>
      </c>
      <c r="BC28" s="35">
        <f t="shared" ca="1" si="36"/>
        <v>636.30190954969294</v>
      </c>
      <c r="BD28" s="35">
        <f t="shared" ca="1" si="36"/>
        <v>648.83827061644774</v>
      </c>
      <c r="BE28" s="35">
        <f t="shared" ca="1" si="36"/>
        <v>661.62535890453739</v>
      </c>
      <c r="BF28" s="35">
        <f t="shared" ca="1" si="36"/>
        <v>686.22646585864027</v>
      </c>
      <c r="BG28" s="35">
        <f t="shared" ca="1" si="36"/>
        <v>699.90919335171293</v>
      </c>
      <c r="BH28" s="35">
        <f t="shared" ca="1" si="36"/>
        <v>713.86557539464729</v>
      </c>
      <c r="BI28" s="35">
        <f t="shared" ca="1" si="36"/>
        <v>728.10108507844018</v>
      </c>
      <c r="BJ28" s="35">
        <f t="shared" ca="1" si="36"/>
        <v>742.62130495590895</v>
      </c>
      <c r="BK28" s="35">
        <f t="shared" ca="1" si="36"/>
        <v>757.43192923092727</v>
      </c>
      <c r="BL28" s="35">
        <f t="shared" ca="1" si="36"/>
        <v>772.53876599144587</v>
      </c>
      <c r="BM28" s="35">
        <f t="shared" ca="1" si="36"/>
        <v>787.94773948717466</v>
      </c>
      <c r="BN28" s="35">
        <f t="shared" ca="1" si="36"/>
        <v>803.66489245281821</v>
      </c>
      <c r="BO28" s="35">
        <f t="shared" ca="1" si="36"/>
        <v>819.69638847777469</v>
      </c>
      <c r="BP28" s="35">
        <f t="shared" ca="1" si="36"/>
        <v>836.04851442323024</v>
      </c>
      <c r="BQ28" s="35">
        <f t="shared" ca="1" si="36"/>
        <v>852.72768288759494</v>
      </c>
      <c r="BR28" s="35">
        <f t="shared" ca="1" si="36"/>
        <v>870.52499710464645</v>
      </c>
      <c r="BS28" s="35">
        <f t="shared" ca="1" si="36"/>
        <v>887.26459529162378</v>
      </c>
      <c r="BT28" s="35">
        <f t="shared" ca="1" si="36"/>
        <v>904.33898544234057</v>
      </c>
      <c r="BU28" s="35">
        <f t="shared" ca="1" si="36"/>
        <v>921.75486339607176</v>
      </c>
      <c r="BV28" s="35">
        <f t="shared" ref="BV28:DY28" ca="1" si="37">(_EndingContractP1+_EndingContractP2+_EndingContractP4+_EndingContractP3+_EndingContractP5)</f>
        <v>939.5190589088777</v>
      </c>
      <c r="BW28" s="35">
        <f t="shared" ca="1" si="37"/>
        <v>957.63853833193957</v>
      </c>
      <c r="BX28" s="35">
        <f t="shared" ca="1" si="37"/>
        <v>976.12040734346283</v>
      </c>
      <c r="BY28" s="35">
        <f t="shared" ca="1" si="37"/>
        <v>994.97191373521639</v>
      </c>
      <c r="BZ28" s="35">
        <f t="shared" ca="1" si="37"/>
        <v>1014.2004502548051</v>
      </c>
      <c r="CA28" s="35">
        <f t="shared" ca="1" si="37"/>
        <v>1033.8135575047856</v>
      </c>
      <c r="CB28" s="35">
        <f t="shared" ca="1" si="37"/>
        <v>1053.8189268997658</v>
      </c>
      <c r="CC28" s="35">
        <f t="shared" ca="1" si="37"/>
        <v>1074.2244036826455</v>
      </c>
      <c r="CD28" s="35">
        <f t="shared" ca="1" si="37"/>
        <v>1090.1284492406292</v>
      </c>
      <c r="CE28" s="35">
        <f t="shared" ca="1" si="37"/>
        <v>1105.4551563001601</v>
      </c>
      <c r="CF28" s="35">
        <f t="shared" ca="1" si="37"/>
        <v>1121.0883975008821</v>
      </c>
      <c r="CG28" s="35">
        <f t="shared" ca="1" si="37"/>
        <v>1137.0343035256183</v>
      </c>
      <c r="CH28" s="35">
        <f t="shared" ca="1" si="37"/>
        <v>1153.2991276708494</v>
      </c>
      <c r="CI28" s="35">
        <f t="shared" ca="1" si="37"/>
        <v>1169.889248298985</v>
      </c>
      <c r="CJ28" s="35">
        <f t="shared" ca="1" si="37"/>
        <v>1186.8111713396834</v>
      </c>
      <c r="CK28" s="35">
        <f t="shared" ca="1" si="37"/>
        <v>1204.0715328411957</v>
      </c>
      <c r="CL28" s="35">
        <f t="shared" ca="1" si="37"/>
        <v>1221.6771015727381</v>
      </c>
      <c r="CM28" s="35">
        <f t="shared" ca="1" si="37"/>
        <v>1239.6347816789116</v>
      </c>
      <c r="CN28" s="35">
        <f t="shared" ca="1" si="37"/>
        <v>1257.9516153872087</v>
      </c>
      <c r="CO28" s="35">
        <f t="shared" ca="1" si="37"/>
        <v>1276.6347857696712</v>
      </c>
      <c r="CP28" s="35">
        <f t="shared" ca="1" si="37"/>
        <v>1279.7090589074187</v>
      </c>
      <c r="CQ28" s="35">
        <f t="shared" ca="1" si="37"/>
        <v>1282.8448069609078</v>
      </c>
      <c r="CR28" s="35">
        <f t="shared" ca="1" si="37"/>
        <v>1286.0432699754665</v>
      </c>
      <c r="CS28" s="35">
        <f t="shared" ca="1" si="37"/>
        <v>1289.3057022503162</v>
      </c>
      <c r="CT28" s="35">
        <f t="shared" ca="1" si="37"/>
        <v>1292.6333831706634</v>
      </c>
      <c r="CU28" s="35">
        <f t="shared" ca="1" si="37"/>
        <v>1296.027617709417</v>
      </c>
      <c r="CV28" s="35">
        <f t="shared" ca="1" si="37"/>
        <v>1297.1692254968139</v>
      </c>
      <c r="CW28" s="35">
        <f t="shared" ca="1" si="37"/>
        <v>1298.229196083817</v>
      </c>
      <c r="CX28" s="35">
        <f t="shared" ca="1" si="37"/>
        <v>1299.3103660825604</v>
      </c>
      <c r="CY28" s="35">
        <f t="shared" ca="1" si="37"/>
        <v>1300.4131594812789</v>
      </c>
      <c r="CZ28" s="35">
        <f t="shared" ca="1" si="37"/>
        <v>1301.5380087479712</v>
      </c>
      <c r="DA28" s="35">
        <f t="shared" ca="1" si="37"/>
        <v>1302.6853549999978</v>
      </c>
      <c r="DB28" s="35">
        <f t="shared" ca="1" si="37"/>
        <v>1303.8811989343908</v>
      </c>
      <c r="DC28" s="35">
        <f t="shared" ca="1" si="37"/>
        <v>1305.0306170156146</v>
      </c>
      <c r="DD28" s="35">
        <f t="shared" ca="1" si="37"/>
        <v>1306.2030234584631</v>
      </c>
      <c r="DE28" s="35">
        <f t="shared" ca="1" si="37"/>
        <v>1307.3988780301684</v>
      </c>
      <c r="DF28" s="35">
        <f t="shared" ca="1" si="37"/>
        <v>1308.6186496933078</v>
      </c>
      <c r="DG28" s="35">
        <f t="shared" ca="1" si="37"/>
        <v>1309.8628167897105</v>
      </c>
      <c r="DH28" s="35">
        <f t="shared" ca="1" si="37"/>
        <v>1311.1318672280406</v>
      </c>
      <c r="DI28" s="35">
        <f t="shared" ca="1" si="37"/>
        <v>1312.4262986751378</v>
      </c>
      <c r="DJ28" s="35">
        <f t="shared" ca="1" si="37"/>
        <v>1313.7466187511766</v>
      </c>
      <c r="DK28" s="35">
        <f t="shared" ca="1" si="37"/>
        <v>1315.0933452287361</v>
      </c>
      <c r="DL28" s="35">
        <f t="shared" ca="1" si="37"/>
        <v>1316.4670062358471</v>
      </c>
      <c r="DM28" s="35">
        <f t="shared" ca="1" si="37"/>
        <v>1317.8681404631002</v>
      </c>
      <c r="DN28" s="35">
        <f t="shared" ca="1" si="37"/>
        <v>1318.0780379923069</v>
      </c>
      <c r="DO28" s="35">
        <f t="shared" ca="1" si="37"/>
        <v>1318.2921333892323</v>
      </c>
      <c r="DP28" s="35">
        <f t="shared" ca="1" si="37"/>
        <v>1318.5105106940962</v>
      </c>
      <c r="DQ28" s="35">
        <f t="shared" ca="1" si="37"/>
        <v>1318.7332555450571</v>
      </c>
      <c r="DR28" s="35">
        <f t="shared" ca="1" si="37"/>
        <v>1318.9604552930375</v>
      </c>
      <c r="DS28" s="35">
        <f t="shared" ca="1" si="37"/>
        <v>1319.1921990359774</v>
      </c>
      <c r="DT28" s="35">
        <f t="shared" ca="1" si="37"/>
        <v>1319.4285776537763</v>
      </c>
      <c r="DU28" s="35">
        <f t="shared" ca="1" si="37"/>
        <v>1319.6696838439309</v>
      </c>
      <c r="DV28" s="35">
        <f t="shared" ca="1" si="37"/>
        <v>1319.915612157889</v>
      </c>
      <c r="DW28" s="35">
        <f t="shared" ca="1" si="37"/>
        <v>1320.1664590381258</v>
      </c>
      <c r="DX28" s="35">
        <f t="shared" ca="1" si="37"/>
        <v>1320.4223228559676</v>
      </c>
      <c r="DY28" s="35">
        <f t="shared" ca="1" si="37"/>
        <v>1320.6833039501664</v>
      </c>
    </row>
    <row r="29" spans="1:129" outlineLevel="1">
      <c r="C29" s="8" t="s">
        <v>6</v>
      </c>
      <c r="D29" s="5" t="s">
        <v>131</v>
      </c>
      <c r="F29" s="5" t="s">
        <v>135</v>
      </c>
      <c r="J29" s="35">
        <f>+(_RepossessedP1+_RepossessedP2+_RepossessedP4+_RepossessedP3+_RepossessedP5)</f>
        <v>29.400000000000002</v>
      </c>
      <c r="K29" s="35">
        <f t="shared" ref="K29:AO29" ca="1" si="38">+(_RepossessedP1+_RepossessedP2+_RepossessedP4+_RepossessedP3+_RepossessedP5)</f>
        <v>30.806599450746795</v>
      </c>
      <c r="L29" s="35">
        <f t="shared" ca="1" si="38"/>
        <v>32.254212906986119</v>
      </c>
      <c r="M29" s="35">
        <f t="shared" ca="1" si="38"/>
        <v>33.743531828663045</v>
      </c>
      <c r="N29" s="35">
        <f t="shared" ca="1" si="38"/>
        <v>35.275262793123218</v>
      </c>
      <c r="O29" s="35">
        <f t="shared" ca="1" si="38"/>
        <v>36.850127784578774</v>
      </c>
      <c r="P29" s="35">
        <f t="shared" ca="1" si="38"/>
        <v>38.468864489492582</v>
      </c>
      <c r="Q29" s="35">
        <f t="shared" ca="1" si="38"/>
        <v>40.132226597997501</v>
      </c>
      <c r="R29" s="35">
        <f t="shared" ca="1" si="38"/>
        <v>41.840984111470441</v>
      </c>
      <c r="S29" s="35">
        <f t="shared" ca="1" si="38"/>
        <v>43.595923656382766</v>
      </c>
      <c r="T29" s="35">
        <f t="shared" ca="1" si="38"/>
        <v>45.397848804551572</v>
      </c>
      <c r="U29" s="35">
        <f t="shared" ca="1" si="38"/>
        <v>47.247580399918412</v>
      </c>
      <c r="V29" s="35">
        <f t="shared" ca="1" si="38"/>
        <v>49.145956891984902</v>
      </c>
      <c r="W29" s="35">
        <f t="shared" ca="1" si="38"/>
        <v>50.969131564631773</v>
      </c>
      <c r="X29" s="35">
        <f t="shared" ca="1" si="38"/>
        <v>52.834164832849865</v>
      </c>
      <c r="Y29" s="35">
        <f t="shared" ca="1" si="38"/>
        <v>54.741839917529418</v>
      </c>
      <c r="Z29" s="35">
        <f t="shared" ca="1" si="38"/>
        <v>56.69295624348868</v>
      </c>
      <c r="AA29" s="35">
        <f t="shared" ca="1" si="38"/>
        <v>58.68832975815738</v>
      </c>
      <c r="AB29" s="35">
        <f ca="1">+(_RepossessedP1+_RepossessedP2+_RepossessedP4+_RepossessedP3+_RepossessedP5)</f>
        <v>60.728793256687823</v>
      </c>
      <c r="AC29" s="35">
        <f t="shared" ca="1" si="38"/>
        <v>62.815196713621539</v>
      </c>
      <c r="AD29" s="35">
        <f t="shared" ca="1" si="38"/>
        <v>64.948407621242282</v>
      </c>
      <c r="AE29" s="35">
        <f t="shared" ca="1" si="38"/>
        <v>67.129311334748294</v>
      </c>
      <c r="AF29" s="35">
        <f t="shared" ca="1" si="38"/>
        <v>69.358811424379965</v>
      </c>
      <c r="AG29" s="35">
        <f t="shared" ca="1" si="38"/>
        <v>71.637830034641254</v>
      </c>
      <c r="AH29" s="35">
        <f t="shared" ca="1" si="38"/>
        <v>73.967308250756361</v>
      </c>
      <c r="AI29" s="35">
        <f t="shared" ca="1" si="38"/>
        <v>75.543852933377821</v>
      </c>
      <c r="AJ29" s="35">
        <f t="shared" ca="1" si="38"/>
        <v>77.154010658487209</v>
      </c>
      <c r="AK29" s="35">
        <f t="shared" ca="1" si="38"/>
        <v>78.798432865445974</v>
      </c>
      <c r="AL29" s="35">
        <f t="shared" ca="1" si="38"/>
        <v>80.477784230617644</v>
      </c>
      <c r="AM29" s="35">
        <f t="shared" ca="1" si="38"/>
        <v>82.192742930025702</v>
      </c>
      <c r="AN29" s="35">
        <f t="shared" ca="1" si="38"/>
        <v>83.94400090728557</v>
      </c>
      <c r="AO29" s="35">
        <f t="shared" ca="1" si="38"/>
        <v>85.627188462201971</v>
      </c>
      <c r="AP29" s="35">
        <f t="shared" ref="AP29:BU29" ca="1" si="39">+(_RepossessedP1+_RepossessedP2+_RepossessedP4+_RepossessedP3+_RepossessedP5)</f>
        <v>87.345078070898268</v>
      </c>
      <c r="AQ29" s="35">
        <f t="shared" ca="1" si="39"/>
        <v>89.098353391423188</v>
      </c>
      <c r="AR29" s="35">
        <f t="shared" ca="1" si="39"/>
        <v>90.887711858816786</v>
      </c>
      <c r="AS29" s="35">
        <f t="shared" ca="1" si="39"/>
        <v>92.713864959611854</v>
      </c>
      <c r="AT29" s="35">
        <f t="shared" ca="1" si="39"/>
        <v>94.577538511835911</v>
      </c>
      <c r="AU29" s="35">
        <f t="shared" ca="1" si="39"/>
        <v>96.478493185536138</v>
      </c>
      <c r="AV29" s="35">
        <f t="shared" ca="1" si="39"/>
        <v>98.418397170146648</v>
      </c>
      <c r="AW29" s="35">
        <f t="shared" ca="1" si="39"/>
        <v>100.39802014971123</v>
      </c>
      <c r="AX29" s="35">
        <f t="shared" ca="1" si="39"/>
        <v>102.41814729497638</v>
      </c>
      <c r="AY29" s="35">
        <f t="shared" ca="1" si="39"/>
        <v>104.47957957219504</v>
      </c>
      <c r="AZ29" s="35">
        <f t="shared" ca="1" si="39"/>
        <v>106.58313405811576</v>
      </c>
      <c r="BA29" s="35">
        <f t="shared" ca="1" si="39"/>
        <v>108.72964426128102</v>
      </c>
      <c r="BB29" s="35">
        <f t="shared" ca="1" si="39"/>
        <v>110.91996044976044</v>
      </c>
      <c r="BC29" s="35">
        <f t="shared" ca="1" si="39"/>
        <v>113.15494998544781</v>
      </c>
      <c r="BD29" s="35">
        <f t="shared" ca="1" si="39"/>
        <v>115.43549766505288</v>
      </c>
      <c r="BE29" s="35">
        <f t="shared" ca="1" si="39"/>
        <v>117.76250606792202</v>
      </c>
      <c r="BF29" s="35">
        <f t="shared" ca="1" si="39"/>
        <v>120.13689591082371</v>
      </c>
      <c r="BG29" s="35">
        <f t="shared" ca="1" si="39"/>
        <v>122.49719171457754</v>
      </c>
      <c r="BH29" s="35">
        <f t="shared" ca="1" si="39"/>
        <v>124.90534358540125</v>
      </c>
      <c r="BI29" s="35">
        <f t="shared" ca="1" si="39"/>
        <v>127.36230214312623</v>
      </c>
      <c r="BJ29" s="35">
        <f t="shared" ca="1" si="39"/>
        <v>129.86903708499568</v>
      </c>
      <c r="BK29" s="35">
        <f t="shared" ca="1" si="39"/>
        <v>132.42653756656259</v>
      </c>
      <c r="BL29" s="35">
        <f t="shared" ca="1" si="39"/>
        <v>135.03581259021229</v>
      </c>
      <c r="BM29" s="35">
        <f t="shared" ca="1" si="39"/>
        <v>137.69789140146196</v>
      </c>
      <c r="BN29" s="35">
        <f t="shared" ca="1" si="39"/>
        <v>140.4138238931923</v>
      </c>
      <c r="BO29" s="35">
        <f t="shared" ca="1" si="39"/>
        <v>143.18468101797041</v>
      </c>
      <c r="BP29" s="35">
        <f t="shared" ca="1" si="39"/>
        <v>146.01155520862505</v>
      </c>
      <c r="BQ29" s="35">
        <f t="shared" ca="1" si="39"/>
        <v>148.89556080723995</v>
      </c>
      <c r="BR29" s="35">
        <f t="shared" ca="1" si="39"/>
        <v>151.83783450273287</v>
      </c>
      <c r="BS29" s="35">
        <f t="shared" ca="1" si="39"/>
        <v>154.65457996449885</v>
      </c>
      <c r="BT29" s="35">
        <f t="shared" ca="1" si="39"/>
        <v>157.3527641414374</v>
      </c>
      <c r="BU29" s="35">
        <f t="shared" ca="1" si="39"/>
        <v>159.93176476979278</v>
      </c>
      <c r="BV29" s="35">
        <f t="shared" ref="BV29:DY29" ca="1" si="40">+(_RepossessedP1+_RepossessedP2+_RepossessedP4+_RepossessedP3+_RepossessedP5)</f>
        <v>162.39092965091442</v>
      </c>
      <c r="BW29" s="35">
        <f t="shared" ca="1" si="40"/>
        <v>164.72957622745571</v>
      </c>
      <c r="BX29" s="35">
        <f t="shared" ca="1" si="40"/>
        <v>166.94699114934701</v>
      </c>
      <c r="BY29" s="35">
        <f t="shared" ca="1" si="40"/>
        <v>169.04242982935722</v>
      </c>
      <c r="BZ29" s="35">
        <f t="shared" ca="1" si="40"/>
        <v>171.01511598805183</v>
      </c>
      <c r="CA29" s="35">
        <f t="shared" ca="1" si="40"/>
        <v>172.86424118795372</v>
      </c>
      <c r="CB29" s="35">
        <f t="shared" ca="1" si="40"/>
        <v>174.5889643567067</v>
      </c>
      <c r="CC29" s="35">
        <f t="shared" ca="1" si="40"/>
        <v>176.18841129903925</v>
      </c>
      <c r="CD29" s="35">
        <f t="shared" ca="1" si="40"/>
        <v>177.66167419732091</v>
      </c>
      <c r="CE29" s="35">
        <f t="shared" ca="1" si="40"/>
        <v>179.03432262060664</v>
      </c>
      <c r="CF29" s="35">
        <f t="shared" ca="1" si="40"/>
        <v>180.3104803415381</v>
      </c>
      <c r="CG29" s="35">
        <f t="shared" ca="1" si="40"/>
        <v>181.48945698277632</v>
      </c>
      <c r="CH29" s="35">
        <f t="shared" ca="1" si="40"/>
        <v>182.57053596506856</v>
      </c>
      <c r="CI29" s="35">
        <f t="shared" ca="1" si="40"/>
        <v>183.5529741071536</v>
      </c>
      <c r="CJ29" s="35">
        <f t="shared" ca="1" si="40"/>
        <v>184.43600121642592</v>
      </c>
      <c r="CK29" s="35">
        <f t="shared" ca="1" si="40"/>
        <v>185.21881967018572</v>
      </c>
      <c r="CL29" s="35">
        <f t="shared" ca="1" si="40"/>
        <v>185.90060398729975</v>
      </c>
      <c r="CM29" s="35">
        <f t="shared" ca="1" si="40"/>
        <v>186.48050039009235</v>
      </c>
      <c r="CN29" s="35">
        <f t="shared" ca="1" si="40"/>
        <v>186.95762635628361</v>
      </c>
      <c r="CO29" s="35">
        <f t="shared" ca="1" si="40"/>
        <v>187.33107016078824</v>
      </c>
      <c r="CP29" s="35">
        <f t="shared" ca="1" si="40"/>
        <v>187.59989040718247</v>
      </c>
      <c r="CQ29" s="35">
        <f t="shared" ca="1" si="40"/>
        <v>187.84942137616898</v>
      </c>
      <c r="CR29" s="35">
        <f t="shared" ca="1" si="40"/>
        <v>188.07952399597673</v>
      </c>
      <c r="CS29" s="35">
        <f t="shared" ca="1" si="40"/>
        <v>188.29005388930779</v>
      </c>
      <c r="CT29" s="35">
        <f t="shared" ca="1" si="40"/>
        <v>188.48086134942133</v>
      </c>
      <c r="CU29" s="35">
        <f t="shared" ca="1" si="40"/>
        <v>188.65179125796388</v>
      </c>
      <c r="CV29" s="35">
        <f t="shared" ca="1" si="40"/>
        <v>188.80268300091174</v>
      </c>
      <c r="CW29" s="35">
        <f t="shared" ca="1" si="40"/>
        <v>188.94590114437818</v>
      </c>
      <c r="CX29" s="35">
        <f t="shared" ca="1" si="40"/>
        <v>189.08196326524012</v>
      </c>
      <c r="CY29" s="35">
        <f t="shared" ca="1" si="40"/>
        <v>189.21082644690026</v>
      </c>
      <c r="CZ29" s="35">
        <f t="shared" ca="1" si="40"/>
        <v>189.33244591239068</v>
      </c>
      <c r="DA29" s="35">
        <f t="shared" ca="1" si="40"/>
        <v>189.44677499718608</v>
      </c>
      <c r="DB29" s="35">
        <f t="shared" ca="1" si="40"/>
        <v>189.55376512137258</v>
      </c>
      <c r="DC29" s="35">
        <f t="shared" ca="1" si="40"/>
        <v>189.6532277870715</v>
      </c>
      <c r="DD29" s="35">
        <f t="shared" ca="1" si="40"/>
        <v>189.7454889684748</v>
      </c>
      <c r="DE29" s="35">
        <f t="shared" ca="1" si="40"/>
        <v>189.83049654327272</v>
      </c>
      <c r="DF29" s="35">
        <f t="shared" ca="1" si="40"/>
        <v>189.90819642763543</v>
      </c>
      <c r="DG29" s="35">
        <f t="shared" ca="1" si="40"/>
        <v>189.97853254617354</v>
      </c>
      <c r="DH29" s="35">
        <f t="shared" ca="1" si="40"/>
        <v>190.04144680120569</v>
      </c>
      <c r="DI29" s="35">
        <f t="shared" ca="1" si="40"/>
        <v>190.09687904132056</v>
      </c>
      <c r="DJ29" s="35">
        <f t="shared" ca="1" si="40"/>
        <v>190.14476702922002</v>
      </c>
      <c r="DK29" s="35">
        <f t="shared" ca="1" si="40"/>
        <v>190.18504640882981</v>
      </c>
      <c r="DL29" s="35">
        <f t="shared" ca="1" si="40"/>
        <v>190.2176506716647</v>
      </c>
      <c r="DM29" s="35">
        <f t="shared" ca="1" si="40"/>
        <v>190.2425111224328</v>
      </c>
      <c r="DN29" s="35">
        <f t="shared" ca="1" si="40"/>
        <v>190.25955684386608</v>
      </c>
      <c r="DO29" s="35">
        <f t="shared" ca="1" si="40"/>
        <v>190.27529866142734</v>
      </c>
      <c r="DP29" s="35">
        <f t="shared" ca="1" si="40"/>
        <v>190.28972694566954</v>
      </c>
      <c r="DQ29" s="35">
        <f t="shared" ca="1" si="40"/>
        <v>190.30283170962306</v>
      </c>
      <c r="DR29" s="35">
        <f t="shared" ca="1" si="40"/>
        <v>190.31460260374189</v>
      </c>
      <c r="DS29" s="35">
        <f t="shared" ca="1" si="40"/>
        <v>190.32502891028042</v>
      </c>
      <c r="DT29" s="35">
        <f t="shared" ca="1" si="40"/>
        <v>190.33409953754168</v>
      </c>
      <c r="DU29" s="35">
        <f t="shared" ca="1" si="40"/>
        <v>190.34180301399419</v>
      </c>
      <c r="DV29" s="35">
        <f t="shared" ca="1" si="40"/>
        <v>190.34812748225539</v>
      </c>
      <c r="DW29" s="35">
        <f t="shared" ca="1" si="40"/>
        <v>190.35306069293861</v>
      </c>
      <c r="DX29" s="35">
        <f t="shared" ca="1" si="40"/>
        <v>190.35658999836167</v>
      </c>
      <c r="DY29" s="35">
        <f t="shared" ca="1" si="40"/>
        <v>190.3587023461142</v>
      </c>
    </row>
    <row r="30" spans="1:129" outlineLevel="1">
      <c r="C30" s="8" t="s">
        <v>6</v>
      </c>
      <c r="D30" s="5" t="s">
        <v>132</v>
      </c>
      <c r="F30" s="5" t="s">
        <v>136</v>
      </c>
      <c r="J30" s="35">
        <f>+(_LostP1+_LostP2+_LostP4+_LostP3+_LostP5)</f>
        <v>19.599999999999998</v>
      </c>
      <c r="K30" s="35">
        <f t="shared" ref="K30:AO30" ca="1" si="41">+(_LostP1+_LostP2+_LostP4+_LostP3+_LostP5)</f>
        <v>20.53773296716453</v>
      </c>
      <c r="L30" s="35">
        <f t="shared" ca="1" si="41"/>
        <v>21.50280860465741</v>
      </c>
      <c r="M30" s="35">
        <f t="shared" ca="1" si="41"/>
        <v>22.495687885775368</v>
      </c>
      <c r="N30" s="35">
        <f t="shared" ca="1" si="41"/>
        <v>23.516841862082146</v>
      </c>
      <c r="O30" s="35">
        <f t="shared" ca="1" si="41"/>
        <v>24.566751856385849</v>
      </c>
      <c r="P30" s="35">
        <f t="shared" ca="1" si="41"/>
        <v>25.645909659661722</v>
      </c>
      <c r="Q30" s="35">
        <f t="shared" ca="1" si="41"/>
        <v>26.754817731998333</v>
      </c>
      <c r="R30" s="35">
        <f t="shared" ca="1" si="41"/>
        <v>27.893989407646959</v>
      </c>
      <c r="S30" s="35">
        <f t="shared" ca="1" si="41"/>
        <v>29.06394910425518</v>
      </c>
      <c r="T30" s="35">
        <f t="shared" ca="1" si="41"/>
        <v>30.265232536367719</v>
      </c>
      <c r="U30" s="35">
        <f t="shared" ca="1" si="41"/>
        <v>31.498386933278944</v>
      </c>
      <c r="V30" s="35">
        <f t="shared" ca="1" si="41"/>
        <v>32.763971261323263</v>
      </c>
      <c r="W30" s="35">
        <f t="shared" ca="1" si="41"/>
        <v>33.979421043087846</v>
      </c>
      <c r="X30" s="35">
        <f t="shared" ca="1" si="41"/>
        <v>35.222776555233239</v>
      </c>
      <c r="Y30" s="35">
        <f t="shared" ca="1" si="41"/>
        <v>36.49455994501961</v>
      </c>
      <c r="Z30" s="35">
        <f t="shared" ca="1" si="41"/>
        <v>37.795304162325785</v>
      </c>
      <c r="AA30" s="35">
        <f t="shared" ca="1" si="41"/>
        <v>39.125553172104922</v>
      </c>
      <c r="AB30" s="35">
        <f ca="1">+(_LostP1+_LostP2+_LostP4+_LostP3+_LostP5)</f>
        <v>40.48586217112522</v>
      </c>
      <c r="AC30" s="35">
        <f t="shared" ca="1" si="41"/>
        <v>41.876797809081019</v>
      </c>
      <c r="AD30" s="35">
        <f t="shared" ca="1" si="41"/>
        <v>43.298938414161519</v>
      </c>
      <c r="AE30" s="35">
        <f t="shared" ca="1" si="41"/>
        <v>44.752874223165534</v>
      </c>
      <c r="AF30" s="35">
        <f t="shared" ca="1" si="41"/>
        <v>46.23920761625331</v>
      </c>
      <c r="AG30" s="35">
        <f t="shared" ca="1" si="41"/>
        <v>47.758553356427491</v>
      </c>
      <c r="AH30" s="35">
        <f t="shared" ca="1" si="41"/>
        <v>49.311538833837574</v>
      </c>
      <c r="AI30" s="35">
        <f t="shared" ca="1" si="41"/>
        <v>50.362568622251871</v>
      </c>
      <c r="AJ30" s="35">
        <f t="shared" ca="1" si="41"/>
        <v>51.436007105658149</v>
      </c>
      <c r="AK30" s="35">
        <f t="shared" ca="1" si="41"/>
        <v>52.532288576963992</v>
      </c>
      <c r="AL30" s="35">
        <f t="shared" ca="1" si="41"/>
        <v>53.651856153745101</v>
      </c>
      <c r="AM30" s="35">
        <f t="shared" ca="1" si="41"/>
        <v>54.795161953350465</v>
      </c>
      <c r="AN30" s="35">
        <f t="shared" ca="1" si="41"/>
        <v>55.962667271523706</v>
      </c>
      <c r="AO30" s="35">
        <f t="shared" ca="1" si="41"/>
        <v>57.084792308134652</v>
      </c>
      <c r="AP30" s="35">
        <f t="shared" ref="AP30:BU30" ca="1" si="42">+(_LostP1+_LostP2+_LostP4+_LostP3+_LostP5)</f>
        <v>58.230052047265502</v>
      </c>
      <c r="AQ30" s="35">
        <f t="shared" ca="1" si="42"/>
        <v>59.398902260948788</v>
      </c>
      <c r="AR30" s="35">
        <f t="shared" ca="1" si="42"/>
        <v>60.591807905877864</v>
      </c>
      <c r="AS30" s="35">
        <f t="shared" ca="1" si="42"/>
        <v>61.809243306407907</v>
      </c>
      <c r="AT30" s="35">
        <f t="shared" ca="1" si="42"/>
        <v>63.051692341223941</v>
      </c>
      <c r="AU30" s="35">
        <f t="shared" ca="1" si="42"/>
        <v>64.318995457024087</v>
      </c>
      <c r="AV30" s="35">
        <f t="shared" ca="1" si="42"/>
        <v>65.612264780097746</v>
      </c>
      <c r="AW30" s="35">
        <f t="shared" ca="1" si="42"/>
        <v>66.932013433140824</v>
      </c>
      <c r="AX30" s="35">
        <f t="shared" ca="1" si="42"/>
        <v>68.278764863317591</v>
      </c>
      <c r="AY30" s="35">
        <f t="shared" ca="1" si="42"/>
        <v>69.653053048130019</v>
      </c>
      <c r="AZ30" s="35">
        <f t="shared" ca="1" si="42"/>
        <v>71.055422705410507</v>
      </c>
      <c r="BA30" s="35">
        <f t="shared" ca="1" si="42"/>
        <v>72.486429507520683</v>
      </c>
      <c r="BB30" s="35">
        <f t="shared" ca="1" si="42"/>
        <v>73.946640299840297</v>
      </c>
      <c r="BC30" s="35">
        <f t="shared" ca="1" si="42"/>
        <v>75.436633323631867</v>
      </c>
      <c r="BD30" s="35">
        <f t="shared" ca="1" si="42"/>
        <v>76.95699844336859</v>
      </c>
      <c r="BE30" s="35">
        <f t="shared" ca="1" si="42"/>
        <v>78.508337378614669</v>
      </c>
      <c r="BF30" s="35">
        <f t="shared" ca="1" si="42"/>
        <v>80.09126394054914</v>
      </c>
      <c r="BG30" s="35">
        <f t="shared" ca="1" si="42"/>
        <v>81.664794476385026</v>
      </c>
      <c r="BH30" s="35">
        <f t="shared" ca="1" si="42"/>
        <v>83.27022905693417</v>
      </c>
      <c r="BI30" s="35">
        <f t="shared" ca="1" si="42"/>
        <v>84.908201428750814</v>
      </c>
      <c r="BJ30" s="35">
        <f t="shared" ca="1" si="42"/>
        <v>86.579358056663779</v>
      </c>
      <c r="BK30" s="35">
        <f t="shared" ca="1" si="42"/>
        <v>88.284358377708372</v>
      </c>
      <c r="BL30" s="35">
        <f t="shared" ca="1" si="42"/>
        <v>90.023875060141521</v>
      </c>
      <c r="BM30" s="35">
        <f t="shared" ca="1" si="42"/>
        <v>91.798594267641306</v>
      </c>
      <c r="BN30" s="35">
        <f t="shared" ca="1" si="42"/>
        <v>93.609215928794882</v>
      </c>
      <c r="BO30" s="35">
        <f t="shared" ca="1" si="42"/>
        <v>95.456454011980256</v>
      </c>
      <c r="BP30" s="35">
        <f t="shared" ca="1" si="42"/>
        <v>97.341036805750022</v>
      </c>
      <c r="BQ30" s="35">
        <f t="shared" ca="1" si="42"/>
        <v>99.26370720482663</v>
      </c>
      <c r="BR30" s="35">
        <f t="shared" ca="1" si="42"/>
        <v>101.22522300182193</v>
      </c>
      <c r="BS30" s="35">
        <f t="shared" ca="1" si="42"/>
        <v>103.1030533096659</v>
      </c>
      <c r="BT30" s="35">
        <f t="shared" ca="1" si="42"/>
        <v>104.90184276095829</v>
      </c>
      <c r="BU30" s="35">
        <f t="shared" ca="1" si="42"/>
        <v>106.62117651319518</v>
      </c>
      <c r="BV30" s="35">
        <f t="shared" ref="BV30:DY30" ca="1" si="43">+(_LostP1+_LostP2+_LostP4+_LostP3+_LostP5)</f>
        <v>108.2606197672763</v>
      </c>
      <c r="BW30" s="35">
        <f t="shared" ca="1" si="43"/>
        <v>109.81971748497047</v>
      </c>
      <c r="BX30" s="35">
        <f t="shared" ca="1" si="43"/>
        <v>111.29799409956468</v>
      </c>
      <c r="BY30" s="35">
        <f t="shared" ca="1" si="43"/>
        <v>112.69495321957149</v>
      </c>
      <c r="BZ30" s="35">
        <f t="shared" ca="1" si="43"/>
        <v>114.01007732536789</v>
      </c>
      <c r="CA30" s="35">
        <f t="shared" ca="1" si="43"/>
        <v>115.24282745863582</v>
      </c>
      <c r="CB30" s="35">
        <f t="shared" ca="1" si="43"/>
        <v>116.39264290447113</v>
      </c>
      <c r="CC30" s="35">
        <f t="shared" ca="1" si="43"/>
        <v>117.45894086602615</v>
      </c>
      <c r="CD30" s="35">
        <f t="shared" ca="1" si="43"/>
        <v>118.44111613154729</v>
      </c>
      <c r="CE30" s="35">
        <f t="shared" ca="1" si="43"/>
        <v>119.35621508040444</v>
      </c>
      <c r="CF30" s="35">
        <f t="shared" ca="1" si="43"/>
        <v>120.20698689435872</v>
      </c>
      <c r="CG30" s="35">
        <f t="shared" ca="1" si="43"/>
        <v>120.99297132185086</v>
      </c>
      <c r="CH30" s="35">
        <f t="shared" ca="1" si="43"/>
        <v>121.71369064337904</v>
      </c>
      <c r="CI30" s="35">
        <f t="shared" ca="1" si="43"/>
        <v>122.36864940476909</v>
      </c>
      <c r="CJ30" s="35">
        <f t="shared" ca="1" si="43"/>
        <v>122.95733414428395</v>
      </c>
      <c r="CK30" s="35">
        <f t="shared" ca="1" si="43"/>
        <v>123.47921311345715</v>
      </c>
      <c r="CL30" s="35">
        <f t="shared" ca="1" si="43"/>
        <v>123.93373599153315</v>
      </c>
      <c r="CM30" s="35">
        <f t="shared" ca="1" si="43"/>
        <v>124.32033359339489</v>
      </c>
      <c r="CN30" s="35">
        <f t="shared" ca="1" si="43"/>
        <v>124.63841757085575</v>
      </c>
      <c r="CO30" s="35">
        <f t="shared" ca="1" si="43"/>
        <v>124.88738010719216</v>
      </c>
      <c r="CP30" s="35">
        <f t="shared" ca="1" si="43"/>
        <v>125.06659360478831</v>
      </c>
      <c r="CQ30" s="35">
        <f t="shared" ca="1" si="43"/>
        <v>125.23294758411264</v>
      </c>
      <c r="CR30" s="35">
        <f t="shared" ca="1" si="43"/>
        <v>125.38634933065114</v>
      </c>
      <c r="CS30" s="35">
        <f t="shared" ca="1" si="43"/>
        <v>125.52670259287186</v>
      </c>
      <c r="CT30" s="35">
        <f t="shared" ca="1" si="43"/>
        <v>125.65390756628088</v>
      </c>
      <c r="CU30" s="35">
        <f t="shared" ca="1" si="43"/>
        <v>125.76786083864259</v>
      </c>
      <c r="CV30" s="35">
        <f t="shared" ca="1" si="43"/>
        <v>125.86845533394116</v>
      </c>
      <c r="CW30" s="35">
        <f t="shared" ca="1" si="43"/>
        <v>125.96393409625212</v>
      </c>
      <c r="CX30" s="35">
        <f t="shared" ca="1" si="43"/>
        <v>126.05464217682675</v>
      </c>
      <c r="CY30" s="35">
        <f t="shared" ca="1" si="43"/>
        <v>126.14055096460015</v>
      </c>
      <c r="CZ30" s="35">
        <f t="shared" ca="1" si="43"/>
        <v>126.22163060826045</v>
      </c>
      <c r="DA30" s="35">
        <f t="shared" ca="1" si="43"/>
        <v>126.29784999812405</v>
      </c>
      <c r="DB30" s="35">
        <f t="shared" ca="1" si="43"/>
        <v>126.36917674758172</v>
      </c>
      <c r="DC30" s="35">
        <f t="shared" ca="1" si="43"/>
        <v>126.43548519138099</v>
      </c>
      <c r="DD30" s="35">
        <f t="shared" ca="1" si="43"/>
        <v>126.49699264564987</v>
      </c>
      <c r="DE30" s="35">
        <f t="shared" ca="1" si="43"/>
        <v>126.55366436218181</v>
      </c>
      <c r="DF30" s="35">
        <f t="shared" ca="1" si="43"/>
        <v>126.60546428509028</v>
      </c>
      <c r="DG30" s="35">
        <f t="shared" ca="1" si="43"/>
        <v>126.65235503078236</v>
      </c>
      <c r="DH30" s="35">
        <f t="shared" ca="1" si="43"/>
        <v>126.69429786747047</v>
      </c>
      <c r="DI30" s="35">
        <f t="shared" ca="1" si="43"/>
        <v>126.73125269421372</v>
      </c>
      <c r="DJ30" s="35">
        <f t="shared" ca="1" si="43"/>
        <v>126.76317801947999</v>
      </c>
      <c r="DK30" s="35">
        <f t="shared" ca="1" si="43"/>
        <v>126.79003093921986</v>
      </c>
      <c r="DL30" s="35">
        <f t="shared" ca="1" si="43"/>
        <v>126.81176711444311</v>
      </c>
      <c r="DM30" s="35">
        <f t="shared" ca="1" si="43"/>
        <v>126.82834074828854</v>
      </c>
      <c r="DN30" s="35">
        <f t="shared" ca="1" si="43"/>
        <v>126.8397045625774</v>
      </c>
      <c r="DO30" s="35">
        <f t="shared" ca="1" si="43"/>
        <v>126.85019910761822</v>
      </c>
      <c r="DP30" s="35">
        <f t="shared" ca="1" si="43"/>
        <v>126.85981796377969</v>
      </c>
      <c r="DQ30" s="35">
        <f t="shared" ca="1" si="43"/>
        <v>126.86855447308204</v>
      </c>
      <c r="DR30" s="35">
        <f t="shared" ca="1" si="43"/>
        <v>126.87640173582793</v>
      </c>
      <c r="DS30" s="35">
        <f t="shared" ca="1" si="43"/>
        <v>126.88335260685361</v>
      </c>
      <c r="DT30" s="35">
        <f t="shared" ca="1" si="43"/>
        <v>126.88939969169444</v>
      </c>
      <c r="DU30" s="35">
        <f t="shared" ca="1" si="43"/>
        <v>126.89453534266281</v>
      </c>
      <c r="DV30" s="35">
        <f t="shared" ca="1" si="43"/>
        <v>126.89875165483693</v>
      </c>
      <c r="DW30" s="35">
        <f t="shared" ca="1" si="43"/>
        <v>126.90204046195905</v>
      </c>
      <c r="DX30" s="35">
        <f t="shared" ca="1" si="43"/>
        <v>126.90439333224113</v>
      </c>
      <c r="DY30" s="35">
        <f t="shared" ca="1" si="43"/>
        <v>126.90580156407616</v>
      </c>
    </row>
    <row r="31" spans="1:129" ht="14.4" outlineLevel="1" thickBot="1">
      <c r="C31" s="77" t="s">
        <v>127</v>
      </c>
      <c r="D31" s="77"/>
      <c r="E31" s="77"/>
      <c r="F31" s="331" t="s">
        <v>137</v>
      </c>
      <c r="G31" s="77"/>
      <c r="H31" s="77"/>
      <c r="I31" s="77"/>
      <c r="J31" s="78">
        <f ca="1">+_TotalActiveInstallationsBoP+_TotalNewSales+_TotalRetainedSales-_TotalEndingContract-_TotalRepossessed-_TotalLost</f>
        <v>5134.4332417911319</v>
      </c>
      <c r="K31" s="78">
        <f t="shared" ref="K31:AO31" ca="1" si="44">+_TotalActiveInstallationsBoP+_TotalNewSales+_TotalRetainedSales-_TotalEndingContract-_TotalRepossessed-_TotalLost</f>
        <v>5375.7021511643534</v>
      </c>
      <c r="L31" s="78">
        <f t="shared" ca="1" si="44"/>
        <v>5623.9219714438423</v>
      </c>
      <c r="M31" s="78">
        <f t="shared" ca="1" si="44"/>
        <v>5879.2104655205349</v>
      </c>
      <c r="N31" s="78">
        <f t="shared" ca="1" si="44"/>
        <v>6141.6879640964626</v>
      </c>
      <c r="O31" s="78">
        <f t="shared" ca="1" si="44"/>
        <v>6411.4774149154309</v>
      </c>
      <c r="P31" s="78">
        <f t="shared" ca="1" si="44"/>
        <v>6688.7044329995842</v>
      </c>
      <c r="Q31" s="78">
        <f t="shared" ca="1" si="44"/>
        <v>6973.4973519117393</v>
      </c>
      <c r="R31" s="78">
        <f t="shared" ca="1" si="44"/>
        <v>7265.9872760637945</v>
      </c>
      <c r="S31" s="78">
        <f t="shared" ca="1" si="44"/>
        <v>7566.3081340919307</v>
      </c>
      <c r="T31" s="78">
        <f t="shared" ca="1" si="44"/>
        <v>7874.5967333197368</v>
      </c>
      <c r="U31" s="78">
        <f t="shared" ca="1" si="44"/>
        <v>8190.9928153308156</v>
      </c>
      <c r="V31" s="78">
        <f t="shared" ca="1" si="44"/>
        <v>8494.8552607719612</v>
      </c>
      <c r="W31" s="78">
        <f t="shared" ca="1" si="44"/>
        <v>8805.6941388083123</v>
      </c>
      <c r="X31" s="78">
        <f t="shared" ca="1" si="44"/>
        <v>9123.6399862549024</v>
      </c>
      <c r="Y31" s="78">
        <f t="shared" ca="1" si="44"/>
        <v>9448.8260405814453</v>
      </c>
      <c r="Z31" s="78">
        <f t="shared" ca="1" si="44"/>
        <v>9781.3882930262316</v>
      </c>
      <c r="AA31" s="78">
        <f t="shared" ca="1" si="44"/>
        <v>10121.465542781301</v>
      </c>
      <c r="AB31" s="78">
        <f ca="1">+_TotalActiveInstallationsBoP+_TotalNewSales+_TotalRetainedSales-_TotalEndingContract-_TotalRepossessed-_TotalLost</f>
        <v>10469.199452270255</v>
      </c>
      <c r="AC31" s="78">
        <f t="shared" ca="1" si="44"/>
        <v>10824.734603540379</v>
      </c>
      <c r="AD31" s="78">
        <f t="shared" ca="1" si="44"/>
        <v>11188.218555791382</v>
      </c>
      <c r="AE31" s="78">
        <f t="shared" ca="1" si="44"/>
        <v>11559.801904063328</v>
      </c>
      <c r="AF31" s="78">
        <f t="shared" ca="1" si="44"/>
        <v>11939.638339106876</v>
      </c>
      <c r="AG31" s="78">
        <f t="shared" ca="1" si="44"/>
        <v>12327.884708459393</v>
      </c>
      <c r="AH31" s="78">
        <f t="shared" ca="1" si="44"/>
        <v>12590.642155562968</v>
      </c>
      <c r="AI31" s="78">
        <f t="shared" ca="1" si="44"/>
        <v>12859.001776414534</v>
      </c>
      <c r="AJ31" s="78">
        <f t="shared" ca="1" si="44"/>
        <v>13133.072144240999</v>
      </c>
      <c r="AK31" s="78">
        <f t="shared" ca="1" si="44"/>
        <v>13412.964038436272</v>
      </c>
      <c r="AL31" s="78">
        <f t="shared" ca="1" si="44"/>
        <v>13698.790488337614</v>
      </c>
      <c r="AM31" s="78">
        <f t="shared" ca="1" si="44"/>
        <v>13990.666817880927</v>
      </c>
      <c r="AN31" s="78">
        <f t="shared" ca="1" si="44"/>
        <v>14271.198077033661</v>
      </c>
      <c r="AO31" s="78">
        <f t="shared" ca="1" si="44"/>
        <v>14557.513011816376</v>
      </c>
      <c r="AP31" s="78">
        <f t="shared" ref="AP31:BU31" ca="1" si="45">+_TotalActiveInstallationsBoP+_TotalNewSales+_TotalRetainedSales-_TotalEndingContract-_TotalRepossessed-_TotalLost</f>
        <v>14849.725565237199</v>
      </c>
      <c r="AQ31" s="78">
        <f t="shared" ca="1" si="45"/>
        <v>15147.951976469467</v>
      </c>
      <c r="AR31" s="78">
        <f t="shared" ca="1" si="45"/>
        <v>15452.310826601977</v>
      </c>
      <c r="AS31" s="78">
        <f t="shared" ca="1" si="45"/>
        <v>15762.923085305985</v>
      </c>
      <c r="AT31" s="78">
        <f t="shared" ca="1" si="45"/>
        <v>16079.748864256024</v>
      </c>
      <c r="AU31" s="78">
        <f t="shared" ca="1" si="45"/>
        <v>16403.066195024443</v>
      </c>
      <c r="AV31" s="78">
        <f t="shared" ca="1" si="45"/>
        <v>16733.003358285208</v>
      </c>
      <c r="AW31" s="78">
        <f t="shared" ca="1" si="45"/>
        <v>17069.6912158294</v>
      </c>
      <c r="AX31" s="78">
        <f t="shared" ca="1" si="45"/>
        <v>17413.263262032509</v>
      </c>
      <c r="AY31" s="78">
        <f t="shared" ca="1" si="45"/>
        <v>17763.855676352629</v>
      </c>
      <c r="AZ31" s="78">
        <f t="shared" ca="1" si="45"/>
        <v>18121.607376880169</v>
      </c>
      <c r="BA31" s="78">
        <f t="shared" ca="1" si="45"/>
        <v>18486.660074960069</v>
      </c>
      <c r="BB31" s="78">
        <f t="shared" ca="1" si="45"/>
        <v>18859.158330907969</v>
      </c>
      <c r="BC31" s="78">
        <f t="shared" ca="1" si="45"/>
        <v>19239.249610842144</v>
      </c>
      <c r="BD31" s="78">
        <f t="shared" ca="1" si="45"/>
        <v>19627.084344653664</v>
      </c>
      <c r="BE31" s="78">
        <f t="shared" ca="1" si="45"/>
        <v>20022.815985137284</v>
      </c>
      <c r="BF31" s="78">
        <f t="shared" ca="1" si="45"/>
        <v>20416.19861909626</v>
      </c>
      <c r="BG31" s="78">
        <f t="shared" ca="1" si="45"/>
        <v>20817.557264233543</v>
      </c>
      <c r="BH31" s="78">
        <f t="shared" ca="1" si="45"/>
        <v>21227.050357187702</v>
      </c>
      <c r="BI31" s="78">
        <f t="shared" ca="1" si="45"/>
        <v>21644.839514165938</v>
      </c>
      <c r="BJ31" s="78">
        <f t="shared" ca="1" si="45"/>
        <v>22071.089594427092</v>
      </c>
      <c r="BK31" s="78">
        <f t="shared" ca="1" si="45"/>
        <v>22505.968765035384</v>
      </c>
      <c r="BL31" s="78">
        <f t="shared" ca="1" si="45"/>
        <v>22949.648566910324</v>
      </c>
      <c r="BM31" s="78">
        <f t="shared" ca="1" si="45"/>
        <v>23402.303982198719</v>
      </c>
      <c r="BN31" s="78">
        <f t="shared" ca="1" si="45"/>
        <v>23864.113502995067</v>
      </c>
      <c r="BO31" s="78">
        <f t="shared" ca="1" si="45"/>
        <v>24335.259201437504</v>
      </c>
      <c r="BP31" s="78">
        <f t="shared" ca="1" si="45"/>
        <v>24815.926801206664</v>
      </c>
      <c r="BQ31" s="78">
        <f t="shared" ca="1" si="45"/>
        <v>25306.305750455482</v>
      </c>
      <c r="BR31" s="78">
        <f t="shared" ca="1" si="45"/>
        <v>25775.763327416469</v>
      </c>
      <c r="BS31" s="78">
        <f t="shared" ca="1" si="45"/>
        <v>26225.460690239564</v>
      </c>
      <c r="BT31" s="78">
        <f t="shared" ca="1" si="45"/>
        <v>26655.294128298792</v>
      </c>
      <c r="BU31" s="78">
        <f t="shared" ca="1" si="45"/>
        <v>27065.154941819066</v>
      </c>
      <c r="BV31" s="78">
        <f t="shared" ref="BV31:DY31" ca="1" si="46">+_TotalActiveInstallationsBoP+_TotalNewSales+_TotalRetainedSales-_TotalEndingContract-_TotalRepossessed-_TotalLost</f>
        <v>27454.929371242615</v>
      </c>
      <c r="BW31" s="78">
        <f t="shared" ca="1" si="46"/>
        <v>27824.498524891169</v>
      </c>
      <c r="BX31" s="78">
        <f t="shared" ca="1" si="46"/>
        <v>28173.738304892864</v>
      </c>
      <c r="BY31" s="78">
        <f t="shared" ca="1" si="46"/>
        <v>28502.51933134197</v>
      </c>
      <c r="BZ31" s="78">
        <f t="shared" ca="1" si="46"/>
        <v>28810.706864658954</v>
      </c>
      <c r="CA31" s="78">
        <f t="shared" ca="1" si="46"/>
        <v>29098.160726117781</v>
      </c>
      <c r="CB31" s="78">
        <f t="shared" ca="1" si="46"/>
        <v>29364.735216506542</v>
      </c>
      <c r="CC31" s="78">
        <f t="shared" ca="1" si="46"/>
        <v>29610.279032886818</v>
      </c>
      <c r="CD31" s="78">
        <f t="shared" ca="1" si="46"/>
        <v>29839.053770101109</v>
      </c>
      <c r="CE31" s="78">
        <f t="shared" ca="1" si="46"/>
        <v>30051.746723589684</v>
      </c>
      <c r="CF31" s="78">
        <f t="shared" ca="1" si="46"/>
        <v>30248.24283046271</v>
      </c>
      <c r="CG31" s="78">
        <f t="shared" ca="1" si="46"/>
        <v>30428.422660844753</v>
      </c>
      <c r="CH31" s="78">
        <f t="shared" ca="1" si="46"/>
        <v>30592.16235119227</v>
      </c>
      <c r="CI31" s="78">
        <f t="shared" ca="1" si="46"/>
        <v>30739.33353607099</v>
      </c>
      <c r="CJ31" s="78">
        <f t="shared" ca="1" si="46"/>
        <v>30869.803278364288</v>
      </c>
      <c r="CK31" s="78">
        <f t="shared" ca="1" si="46"/>
        <v>30983.433997883287</v>
      </c>
      <c r="CL31" s="78">
        <f t="shared" ca="1" si="46"/>
        <v>31080.083398348721</v>
      </c>
      <c r="CM31" s="78">
        <f t="shared" ca="1" si="46"/>
        <v>31159.604392713936</v>
      </c>
      <c r="CN31" s="78">
        <f t="shared" ca="1" si="46"/>
        <v>31221.845026798033</v>
      </c>
      <c r="CO31" s="78">
        <f t="shared" ca="1" si="46"/>
        <v>31266.648401197079</v>
      </c>
      <c r="CP31" s="78">
        <f t="shared" ca="1" si="46"/>
        <v>31308.236896028164</v>
      </c>
      <c r="CQ31" s="78">
        <f t="shared" ca="1" si="46"/>
        <v>31346.587332662784</v>
      </c>
      <c r="CR31" s="78">
        <f t="shared" ca="1" si="46"/>
        <v>31381.675648217959</v>
      </c>
      <c r="CS31" s="78">
        <f t="shared" ca="1" si="46"/>
        <v>31413.476891570223</v>
      </c>
      <c r="CT31" s="78">
        <f t="shared" ca="1" si="46"/>
        <v>31441.965209660648</v>
      </c>
      <c r="CU31" s="78">
        <f t="shared" ca="1" si="46"/>
        <v>31467.113833485291</v>
      </c>
      <c r="CV31" s="78">
        <f t="shared" ca="1" si="46"/>
        <v>31490.983524063027</v>
      </c>
      <c r="CW31" s="78">
        <f t="shared" ca="1" si="46"/>
        <v>31513.660544206687</v>
      </c>
      <c r="CX31" s="78">
        <f t="shared" ca="1" si="46"/>
        <v>31535.13774115004</v>
      </c>
      <c r="CY31" s="78">
        <f t="shared" ca="1" si="46"/>
        <v>31555.407652065114</v>
      </c>
      <c r="CZ31" s="78">
        <f t="shared" ca="1" si="46"/>
        <v>31574.462499531019</v>
      </c>
      <c r="DA31" s="78">
        <f t="shared" ca="1" si="46"/>
        <v>31592.294186895429</v>
      </c>
      <c r="DB31" s="78">
        <f t="shared" ca="1" si="46"/>
        <v>31608.871297845253</v>
      </c>
      <c r="DC31" s="78">
        <f t="shared" ca="1" si="46"/>
        <v>31624.248161412466</v>
      </c>
      <c r="DD31" s="78">
        <f t="shared" ca="1" si="46"/>
        <v>31638.416090545448</v>
      </c>
      <c r="DE31" s="78">
        <f t="shared" ca="1" si="46"/>
        <v>31651.366071272569</v>
      </c>
      <c r="DF31" s="78">
        <f t="shared" ca="1" si="46"/>
        <v>31663.088757695597</v>
      </c>
      <c r="DG31" s="78">
        <f t="shared" ca="1" si="46"/>
        <v>31673.574466867616</v>
      </c>
      <c r="DH31" s="78">
        <f t="shared" ca="1" si="46"/>
        <v>31682.813173553437</v>
      </c>
      <c r="DI31" s="78">
        <f t="shared" ca="1" si="46"/>
        <v>31690.794504870002</v>
      </c>
      <c r="DJ31" s="78">
        <f t="shared" ca="1" si="46"/>
        <v>31697.507734804967</v>
      </c>
      <c r="DK31" s="78">
        <f t="shared" ca="1" si="46"/>
        <v>31702.941778610784</v>
      </c>
      <c r="DL31" s="78">
        <f t="shared" ca="1" si="46"/>
        <v>31707.085187072142</v>
      </c>
      <c r="DM31" s="78">
        <f t="shared" ca="1" si="46"/>
        <v>31709.926140644358</v>
      </c>
      <c r="DN31" s="78">
        <f t="shared" ca="1" si="46"/>
        <v>31712.549776904558</v>
      </c>
      <c r="DO31" s="78">
        <f t="shared" ca="1" si="46"/>
        <v>31714.954490944921</v>
      </c>
      <c r="DP31" s="78">
        <f t="shared" ca="1" si="46"/>
        <v>31717.13861827051</v>
      </c>
      <c r="DQ31" s="78">
        <f t="shared" ca="1" si="46"/>
        <v>31719.100433956981</v>
      </c>
      <c r="DR31" s="78">
        <f t="shared" ca="1" si="46"/>
        <v>31720.8381517134</v>
      </c>
      <c r="DS31" s="78">
        <f t="shared" ca="1" si="46"/>
        <v>31722.349922923622</v>
      </c>
      <c r="DT31" s="78">
        <f t="shared" ca="1" si="46"/>
        <v>31723.633835665703</v>
      </c>
      <c r="DU31" s="78">
        <f t="shared" ca="1" si="46"/>
        <v>31724.687913709229</v>
      </c>
      <c r="DV31" s="78">
        <f t="shared" ca="1" si="46"/>
        <v>31725.510115489767</v>
      </c>
      <c r="DW31" s="78">
        <f t="shared" ca="1" si="46"/>
        <v>31726.098333060279</v>
      </c>
      <c r="DX31" s="78">
        <f t="shared" ca="1" si="46"/>
        <v>31726.450391019029</v>
      </c>
      <c r="DY31" s="78">
        <f t="shared" ca="1" si="46"/>
        <v>31726.564045413419</v>
      </c>
    </row>
    <row r="32" spans="1:129" ht="14.4" outlineLevel="1" thickTop="1">
      <c r="K32" s="5"/>
      <c r="L32" s="5"/>
      <c r="M32" s="5"/>
      <c r="N32" s="5"/>
      <c r="O32" s="5"/>
      <c r="P32" s="5"/>
      <c r="Q32" s="5"/>
      <c r="R32" s="5"/>
      <c r="S32" s="5"/>
      <c r="T32" s="5"/>
      <c r="U32" s="5"/>
      <c r="V32" s="5"/>
      <c r="W32" s="5"/>
      <c r="X32" s="97"/>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row>
    <row r="33" spans="1:129" outlineLevel="1">
      <c r="C33" s="5" t="s">
        <v>138</v>
      </c>
      <c r="F33" s="5" t="s">
        <v>139</v>
      </c>
      <c r="J33" s="35">
        <f ca="1">+_NewinstallationsP1+_NewinstallationsP2+_NewinstallationsP4+_NewinstallationsP3+_NewinstallationsP5</f>
        <v>488.707417578763</v>
      </c>
      <c r="K33" s="35">
        <f ca="1">+_NewinstallationsP1+_NewinstallationsP2+_NewinstallationsP4+_NewinstallationsP3+_NewinstallationsP5</f>
        <v>498.09141757876313</v>
      </c>
      <c r="L33" s="35">
        <f t="shared" ref="L33:AO33" ca="1" si="47">+_NewinstallationsP1+_NewinstallationsP2+_NewinstallationsP4+_NewinstallationsP3+_NewinstallationsP5</f>
        <v>507.66309757876309</v>
      </c>
      <c r="M33" s="35">
        <f t="shared" ca="1" si="47"/>
        <v>517.42621117876308</v>
      </c>
      <c r="N33" s="35">
        <f t="shared" ca="1" si="47"/>
        <v>527.38458705076312</v>
      </c>
      <c r="O33" s="35">
        <f t="shared" ca="1" si="47"/>
        <v>537.5421304402031</v>
      </c>
      <c r="P33" s="35">
        <f t="shared" ca="1" si="47"/>
        <v>547.90282469743181</v>
      </c>
      <c r="Q33" s="35">
        <f t="shared" ca="1" si="47"/>
        <v>558.47073283980535</v>
      </c>
      <c r="R33" s="35">
        <f t="shared" ca="1" si="47"/>
        <v>569.24999914502609</v>
      </c>
      <c r="S33" s="35">
        <f t="shared" ca="1" si="47"/>
        <v>580.24485077635143</v>
      </c>
      <c r="T33" s="35">
        <f t="shared" ca="1" si="47"/>
        <v>591.45959944030324</v>
      </c>
      <c r="U33" s="35">
        <f t="shared" ca="1" si="47"/>
        <v>602.89864307753396</v>
      </c>
      <c r="V33" s="35">
        <f ca="1">+_NewinstallationsP1+_NewinstallationsP2+_NewinstallationsP4+_NewinstallationsP3+_NewinstallationsP5</f>
        <v>616.87578446538555</v>
      </c>
      <c r="W33" s="35">
        <f t="shared" ca="1" si="47"/>
        <v>628.95778797939056</v>
      </c>
      <c r="X33" s="35">
        <f t="shared" ca="1" si="47"/>
        <v>641.28143156367571</v>
      </c>
      <c r="Y33" s="35">
        <f t="shared" ca="1" si="47"/>
        <v>653.85154801964666</v>
      </c>
      <c r="Z33" s="35">
        <f t="shared" ca="1" si="47"/>
        <v>666.67306680473689</v>
      </c>
      <c r="AA33" s="35">
        <f t="shared" ca="1" si="47"/>
        <v>679.75101596552895</v>
      </c>
      <c r="AB33" s="35">
        <f t="shared" ca="1" si="47"/>
        <v>693.09052410953677</v>
      </c>
      <c r="AC33" s="35">
        <f t="shared" ca="1" si="47"/>
        <v>706.69682241642488</v>
      </c>
      <c r="AD33" s="35">
        <f t="shared" ca="1" si="47"/>
        <v>720.57524668945075</v>
      </c>
      <c r="AE33" s="35">
        <f t="shared" ca="1" si="47"/>
        <v>734.73123944793701</v>
      </c>
      <c r="AF33" s="35">
        <f t="shared" ca="1" si="47"/>
        <v>749.17035206159301</v>
      </c>
      <c r="AG33" s="35">
        <f t="shared" ca="1" si="47"/>
        <v>763.89824692752222</v>
      </c>
      <c r="AH33" s="35">
        <f t="shared" ca="1" si="47"/>
        <v>793.81613560054961</v>
      </c>
      <c r="AI33" s="35">
        <f t="shared" ca="1" si="47"/>
        <v>809.63590027530893</v>
      </c>
      <c r="AJ33" s="35">
        <f t="shared" ca="1" si="47"/>
        <v>825.77206024356326</v>
      </c>
      <c r="AK33" s="35">
        <f t="shared" ca="1" si="47"/>
        <v>842.23094341118269</v>
      </c>
      <c r="AL33" s="35">
        <f t="shared" ca="1" si="47"/>
        <v>859.01900424215444</v>
      </c>
      <c r="AM33" s="35">
        <f t="shared" ca="1" si="47"/>
        <v>876.14282628974581</v>
      </c>
      <c r="AN33" s="35">
        <f t="shared" ca="1" si="47"/>
        <v>895.5549707915045</v>
      </c>
      <c r="AO33" s="35">
        <f t="shared" ca="1" si="47"/>
        <v>913.44604468790408</v>
      </c>
      <c r="AP33" s="35">
        <f t="shared" ref="AP33:BU33" ca="1" si="48">+_NewinstallationsP1+_NewinstallationsP2+_NewinstallationsP4+_NewinstallationsP3+_NewinstallationsP5</f>
        <v>931.69494006223181</v>
      </c>
      <c r="AQ33" s="35">
        <f t="shared" ca="1" si="48"/>
        <v>950.30881334404592</v>
      </c>
      <c r="AR33" s="35">
        <f t="shared" ca="1" si="48"/>
        <v>969.29496409149647</v>
      </c>
      <c r="AS33" s="35">
        <f t="shared" ca="1" si="48"/>
        <v>988.66083785389583</v>
      </c>
      <c r="AT33" s="35">
        <f t="shared" ca="1" si="48"/>
        <v>1008.4321728894547</v>
      </c>
      <c r="AU33" s="35">
        <f t="shared" ca="1" si="48"/>
        <v>1028.5818486348198</v>
      </c>
      <c r="AV33" s="35">
        <f t="shared" ca="1" si="48"/>
        <v>1049.1345178950924</v>
      </c>
      <c r="AW33" s="35">
        <f t="shared" ca="1" si="48"/>
        <v>1070.0982405405703</v>
      </c>
      <c r="AX33" s="35">
        <f t="shared" ca="1" si="48"/>
        <v>1091.4812376389577</v>
      </c>
      <c r="AY33" s="35">
        <f t="shared" ca="1" si="48"/>
        <v>1113.2918946793131</v>
      </c>
      <c r="AZ33" s="35">
        <f t="shared" ca="1" si="48"/>
        <v>1135.5387648604753</v>
      </c>
      <c r="BA33" s="35">
        <f t="shared" ca="1" si="48"/>
        <v>1158.230572445261</v>
      </c>
      <c r="BB33" s="35">
        <f t="shared" ca="1" si="48"/>
        <v>1181.3762161817424</v>
      </c>
      <c r="BC33" s="35">
        <f t="shared" ca="1" si="48"/>
        <v>1204.9847727929532</v>
      </c>
      <c r="BD33" s="35">
        <f t="shared" ca="1" si="48"/>
        <v>1229.0655005363885</v>
      </c>
      <c r="BE33" s="35">
        <f t="shared" ca="1" si="48"/>
        <v>1253.6278428346923</v>
      </c>
      <c r="BF33" s="35">
        <f t="shared" ca="1" si="48"/>
        <v>1279.8372596689874</v>
      </c>
      <c r="BG33" s="35">
        <f t="shared" ca="1" si="48"/>
        <v>1305.4298246799569</v>
      </c>
      <c r="BH33" s="35">
        <f t="shared" ca="1" si="48"/>
        <v>1331.5342409911464</v>
      </c>
      <c r="BI33" s="35">
        <f t="shared" ca="1" si="48"/>
        <v>1358.160745628559</v>
      </c>
      <c r="BJ33" s="35">
        <f t="shared" ca="1" si="48"/>
        <v>1385.3197803587204</v>
      </c>
      <c r="BK33" s="35">
        <f t="shared" ca="1" si="48"/>
        <v>1413.0219957834847</v>
      </c>
      <c r="BL33" s="35">
        <f t="shared" ca="1" si="48"/>
        <v>1441.2782555167446</v>
      </c>
      <c r="BM33" s="35">
        <f t="shared" ca="1" si="48"/>
        <v>1470.0996404446696</v>
      </c>
      <c r="BN33" s="35">
        <f t="shared" ca="1" si="48"/>
        <v>1499.4974530711531</v>
      </c>
      <c r="BO33" s="35">
        <f t="shared" ca="1" si="48"/>
        <v>1529.4832219501661</v>
      </c>
      <c r="BP33" s="35">
        <f t="shared" ca="1" si="48"/>
        <v>1560.0687062067595</v>
      </c>
      <c r="BQ33" s="35">
        <f t="shared" ca="1" si="48"/>
        <v>1591.2659001484849</v>
      </c>
      <c r="BR33" s="35">
        <f t="shared" ca="1" si="48"/>
        <v>1593.0456315701899</v>
      </c>
      <c r="BS33" s="35">
        <f t="shared" ca="1" si="48"/>
        <v>1594.7195913888875</v>
      </c>
      <c r="BT33" s="35">
        <f t="shared" ca="1" si="48"/>
        <v>1596.4270304039592</v>
      </c>
      <c r="BU33" s="35">
        <f t="shared" ca="1" si="48"/>
        <v>1598.1686181993323</v>
      </c>
      <c r="BV33" s="35">
        <f t="shared" ref="BV33:DY33" ca="1" si="49">+_NewinstallationsP1+_NewinstallationsP2+_NewinstallationsP4+_NewinstallationsP3+_NewinstallationsP5</f>
        <v>1599.9450377506128</v>
      </c>
      <c r="BW33" s="35">
        <f t="shared" ca="1" si="49"/>
        <v>1601.7569856929192</v>
      </c>
      <c r="BX33" s="35">
        <f t="shared" ca="1" si="49"/>
        <v>1603.6051725940715</v>
      </c>
      <c r="BY33" s="35">
        <f t="shared" ca="1" si="49"/>
        <v>1605.490323233247</v>
      </c>
      <c r="BZ33" s="35">
        <f t="shared" ca="1" si="49"/>
        <v>1607.4131768852058</v>
      </c>
      <c r="CA33" s="35">
        <f t="shared" ca="1" si="49"/>
        <v>1609.3744876102037</v>
      </c>
      <c r="CB33" s="35">
        <f t="shared" ca="1" si="49"/>
        <v>1611.3750245497019</v>
      </c>
      <c r="CC33" s="35">
        <f t="shared" ca="1" si="49"/>
        <v>1613.41557222799</v>
      </c>
      <c r="CD33" s="35">
        <f t="shared" ca="1" si="49"/>
        <v>1615.0059767837881</v>
      </c>
      <c r="CE33" s="35">
        <f t="shared" ca="1" si="49"/>
        <v>1616.5386474897414</v>
      </c>
      <c r="CF33" s="35">
        <f t="shared" ca="1" si="49"/>
        <v>1618.1019716098135</v>
      </c>
      <c r="CG33" s="35">
        <f t="shared" ca="1" si="49"/>
        <v>1619.6965622122871</v>
      </c>
      <c r="CH33" s="35">
        <f t="shared" ca="1" si="49"/>
        <v>1621.3230446268101</v>
      </c>
      <c r="CI33" s="35">
        <f t="shared" ca="1" si="49"/>
        <v>1622.9820566896237</v>
      </c>
      <c r="CJ33" s="35">
        <f t="shared" ca="1" si="49"/>
        <v>1624.6742489936935</v>
      </c>
      <c r="CK33" s="35">
        <f t="shared" ca="1" si="49"/>
        <v>1626.4002851438449</v>
      </c>
      <c r="CL33" s="35">
        <f t="shared" ca="1" si="49"/>
        <v>1628.1608420169991</v>
      </c>
      <c r="CM33" s="35">
        <f t="shared" ca="1" si="49"/>
        <v>1629.9566100276165</v>
      </c>
      <c r="CN33" s="35">
        <f t="shared" ca="1" si="49"/>
        <v>1631.7882933984463</v>
      </c>
      <c r="CO33" s="35">
        <f t="shared" ca="1" si="49"/>
        <v>1633.6566104366923</v>
      </c>
      <c r="CP33" s="35">
        <f t="shared" ca="1" si="49"/>
        <v>1633.9640377504672</v>
      </c>
      <c r="CQ33" s="35">
        <f t="shared" ca="1" si="49"/>
        <v>1634.2776125558162</v>
      </c>
      <c r="CR33" s="35">
        <f t="shared" ca="1" si="49"/>
        <v>1634.5974588572717</v>
      </c>
      <c r="CS33" s="35">
        <f t="shared" ca="1" si="49"/>
        <v>1634.9237020847568</v>
      </c>
      <c r="CT33" s="35">
        <f t="shared" ca="1" si="49"/>
        <v>1635.2564701767915</v>
      </c>
      <c r="CU33" s="35">
        <f t="shared" ca="1" si="49"/>
        <v>1635.595893630667</v>
      </c>
      <c r="CV33" s="35">
        <f t="shared" ca="1" si="49"/>
        <v>1635.7100544094064</v>
      </c>
      <c r="CW33" s="35">
        <f t="shared" ca="1" si="49"/>
        <v>1635.8160514681069</v>
      </c>
      <c r="CX33" s="35">
        <f t="shared" ca="1" si="49"/>
        <v>1635.9241684679814</v>
      </c>
      <c r="CY33" s="35">
        <f t="shared" ca="1" si="49"/>
        <v>1636.034447807853</v>
      </c>
      <c r="CZ33" s="35">
        <f t="shared" ca="1" si="49"/>
        <v>1636.1469327345226</v>
      </c>
      <c r="DA33" s="35">
        <f t="shared" ca="1" si="49"/>
        <v>1636.2616673597252</v>
      </c>
      <c r="DB33" s="35">
        <f t="shared" ca="1" si="49"/>
        <v>1636.3812517531644</v>
      </c>
      <c r="DC33" s="35">
        <f t="shared" ca="1" si="49"/>
        <v>1636.4961935612866</v>
      </c>
      <c r="DD33" s="35">
        <f t="shared" ca="1" si="49"/>
        <v>1636.6134342055714</v>
      </c>
      <c r="DE33" s="35">
        <f t="shared" ca="1" si="49"/>
        <v>1636.733019662742</v>
      </c>
      <c r="DF33" s="35">
        <f t="shared" ca="1" si="49"/>
        <v>1636.8549968290561</v>
      </c>
      <c r="DG33" s="35">
        <f t="shared" ca="1" si="49"/>
        <v>1636.9794135386962</v>
      </c>
      <c r="DH33" s="35">
        <f t="shared" ca="1" si="49"/>
        <v>1637.1063185825294</v>
      </c>
      <c r="DI33" s="35">
        <f t="shared" ca="1" si="49"/>
        <v>1637.2357617272387</v>
      </c>
      <c r="DJ33" s="35">
        <f t="shared" ca="1" si="49"/>
        <v>1637.367793734843</v>
      </c>
      <c r="DK33" s="35">
        <f t="shared" ca="1" si="49"/>
        <v>1637.5024663825989</v>
      </c>
      <c r="DL33" s="35">
        <f t="shared" ca="1" si="49"/>
        <v>1637.6398324833099</v>
      </c>
      <c r="DM33" s="35">
        <f t="shared" ca="1" si="49"/>
        <v>1637.7799459060352</v>
      </c>
      <c r="DN33" s="35">
        <f t="shared" ca="1" si="49"/>
        <v>1637.8009356589557</v>
      </c>
      <c r="DO33" s="35">
        <f t="shared" ca="1" si="49"/>
        <v>1637.8223451986482</v>
      </c>
      <c r="DP33" s="35">
        <f t="shared" ca="1" si="49"/>
        <v>1637.8441829291348</v>
      </c>
      <c r="DQ33" s="35">
        <f t="shared" ca="1" si="49"/>
        <v>1637.866457414231</v>
      </c>
      <c r="DR33" s="35">
        <f t="shared" ca="1" si="49"/>
        <v>1637.8891773890289</v>
      </c>
      <c r="DS33" s="35">
        <f t="shared" ca="1" si="49"/>
        <v>1637.9123517633229</v>
      </c>
      <c r="DT33" s="35">
        <f t="shared" ca="1" si="49"/>
        <v>1637.9359896251028</v>
      </c>
      <c r="DU33" s="35">
        <f t="shared" ca="1" si="49"/>
        <v>1637.9601002441182</v>
      </c>
      <c r="DV33" s="35">
        <f t="shared" ca="1" si="49"/>
        <v>1637.9846930755141</v>
      </c>
      <c r="DW33" s="35">
        <f t="shared" ca="1" si="49"/>
        <v>1638.0097777635378</v>
      </c>
      <c r="DX33" s="35">
        <f t="shared" ca="1" si="49"/>
        <v>1638.0353641453221</v>
      </c>
      <c r="DY33" s="35">
        <f t="shared" ca="1" si="49"/>
        <v>1638.0614622547419</v>
      </c>
    </row>
    <row r="34" spans="1:129" outlineLevel="1">
      <c r="C34" s="5" t="s">
        <v>141</v>
      </c>
      <c r="F34" s="5" t="s">
        <v>140</v>
      </c>
      <c r="J34" s="35">
        <f ca="1">+_InstalledAssetsP1+_InstalledAssetsP2+_InstalledAssetsP4+_InstalledAssetsP3+_InstalledAssetsP5</f>
        <v>9488.707417578762</v>
      </c>
      <c r="K34" s="35">
        <f ca="1">+_InstalledAssetsP1+_InstalledAssetsP2+_InstalledAssetsP4+_InstalledAssetsP3+_InstalledAssetsP5</f>
        <v>9986.7988351575259</v>
      </c>
      <c r="L34" s="35">
        <f ca="1">+_InstalledAssetsP1+_InstalledAssetsP2+_InstalledAssetsP4+_InstalledAssetsP3+_InstalledAssetsP5</f>
        <v>10494.461932736289</v>
      </c>
      <c r="M34" s="35">
        <f ca="1">+_InstalledAssetsP1+_InstalledAssetsP2+_InstalledAssetsP4+_InstalledAssetsP3+_InstalledAssetsP5</f>
        <v>11011.888143915052</v>
      </c>
      <c r="N34" s="35">
        <f ca="1">+_InstalledAssetsP1+_InstalledAssetsP2+_InstalledAssetsP4+_InstalledAssetsP3+_InstalledAssetsP5</f>
        <v>11539.272730965815</v>
      </c>
      <c r="O34" s="35">
        <f t="shared" ref="O34:AO34" ca="1" si="50">+_InstalledAssetsP1+_InstalledAssetsP2+_InstalledAssetsP4+_InstalledAssetsP3+_InstalledAssetsP5</f>
        <v>12076.814861406019</v>
      </c>
      <c r="P34" s="35">
        <f t="shared" ca="1" si="50"/>
        <v>12624.71768610345</v>
      </c>
      <c r="Q34" s="35">
        <f t="shared" ca="1" si="50"/>
        <v>13183.188418943257</v>
      </c>
      <c r="R34" s="35">
        <f t="shared" ca="1" si="50"/>
        <v>13752.438418088283</v>
      </c>
      <c r="S34" s="35">
        <f t="shared" ca="1" si="50"/>
        <v>14332.683268864634</v>
      </c>
      <c r="T34" s="35">
        <f t="shared" ca="1" si="50"/>
        <v>14924.142868304936</v>
      </c>
      <c r="U34" s="35">
        <f t="shared" ca="1" si="50"/>
        <v>15527.041511382471</v>
      </c>
      <c r="V34" s="35">
        <f t="shared" ca="1" si="50"/>
        <v>16143.917295847856</v>
      </c>
      <c r="W34" s="35">
        <f t="shared" ca="1" si="50"/>
        <v>16772.875083827246</v>
      </c>
      <c r="X34" s="35">
        <f t="shared" ca="1" si="50"/>
        <v>17414.156515390921</v>
      </c>
      <c r="Y34" s="35">
        <f t="shared" ca="1" si="50"/>
        <v>18068.008063410569</v>
      </c>
      <c r="Z34" s="35">
        <f t="shared" ca="1" si="50"/>
        <v>18734.681130215307</v>
      </c>
      <c r="AA34" s="35">
        <f t="shared" ca="1" si="50"/>
        <v>19414.432146180836</v>
      </c>
      <c r="AB34" s="35">
        <f t="shared" ca="1" si="50"/>
        <v>20107.522670290371</v>
      </c>
      <c r="AC34" s="35">
        <f t="shared" ca="1" si="50"/>
        <v>20814.219492706798</v>
      </c>
      <c r="AD34" s="35">
        <f t="shared" ca="1" si="50"/>
        <v>21534.794739396246</v>
      </c>
      <c r="AE34" s="35">
        <f t="shared" ca="1" si="50"/>
        <v>22269.525978844184</v>
      </c>
      <c r="AF34" s="35">
        <f t="shared" ca="1" si="50"/>
        <v>23018.696330905779</v>
      </c>
      <c r="AG34" s="35">
        <f t="shared" ca="1" si="50"/>
        <v>23782.594577833301</v>
      </c>
      <c r="AH34" s="35">
        <f t="shared" ca="1" si="50"/>
        <v>24576.410713433848</v>
      </c>
      <c r="AI34" s="35">
        <f t="shared" ca="1" si="50"/>
        <v>25386.046613709157</v>
      </c>
      <c r="AJ34" s="35">
        <f t="shared" ca="1" si="50"/>
        <v>26211.818673952723</v>
      </c>
      <c r="AK34" s="35">
        <f t="shared" ca="1" si="50"/>
        <v>27054.049617363904</v>
      </c>
      <c r="AL34" s="35">
        <f t="shared" ca="1" si="50"/>
        <v>27913.068621606057</v>
      </c>
      <c r="AM34" s="35">
        <f t="shared" ca="1" si="50"/>
        <v>28789.211447895806</v>
      </c>
      <c r="AN34" s="35">
        <f t="shared" ca="1" si="50"/>
        <v>29684.766418687308</v>
      </c>
      <c r="AO34" s="35">
        <f t="shared" ca="1" si="50"/>
        <v>30598.21246337521</v>
      </c>
      <c r="AP34" s="35">
        <f t="shared" ref="AP34:BU34" ca="1" si="51">+_InstalledAssetsP1+_InstalledAssetsP2+_InstalledAssetsP4+_InstalledAssetsP3+_InstalledAssetsP5</f>
        <v>31529.907403437443</v>
      </c>
      <c r="AQ34" s="35">
        <f t="shared" ca="1" si="51"/>
        <v>32480.216216781489</v>
      </c>
      <c r="AR34" s="35">
        <f t="shared" ca="1" si="51"/>
        <v>33449.511180872985</v>
      </c>
      <c r="AS34" s="35">
        <f t="shared" ca="1" si="51"/>
        <v>34438.17201872688</v>
      </c>
      <c r="AT34" s="35">
        <f t="shared" ca="1" si="51"/>
        <v>35446.604191616338</v>
      </c>
      <c r="AU34" s="35">
        <f t="shared" ca="1" si="51"/>
        <v>36475.186040251152</v>
      </c>
      <c r="AV34" s="35">
        <f t="shared" ca="1" si="51"/>
        <v>37524.320558146246</v>
      </c>
      <c r="AW34" s="35">
        <f t="shared" ca="1" si="51"/>
        <v>38594.41879868682</v>
      </c>
      <c r="AX34" s="35">
        <f t="shared" ca="1" si="51"/>
        <v>39685.900036325773</v>
      </c>
      <c r="AY34" s="35">
        <f t="shared" ca="1" si="51"/>
        <v>40799.191931005087</v>
      </c>
      <c r="AZ34" s="35">
        <f t="shared" ca="1" si="51"/>
        <v>41934.730695865561</v>
      </c>
      <c r="BA34" s="35">
        <f t="shared" ca="1" si="51"/>
        <v>43092.961268310828</v>
      </c>
      <c r="BB34" s="35">
        <f t="shared" ca="1" si="51"/>
        <v>44274.337484492571</v>
      </c>
      <c r="BC34" s="35">
        <f t="shared" ca="1" si="51"/>
        <v>45479.322257285516</v>
      </c>
      <c r="BD34" s="35">
        <f t="shared" ca="1" si="51"/>
        <v>46708.387757821904</v>
      </c>
      <c r="BE34" s="35">
        <f t="shared" ca="1" si="51"/>
        <v>47962.015600656596</v>
      </c>
      <c r="BF34" s="35">
        <f t="shared" ca="1" si="51"/>
        <v>49241.852860325584</v>
      </c>
      <c r="BG34" s="35">
        <f t="shared" ca="1" si="51"/>
        <v>50547.282685005543</v>
      </c>
      <c r="BH34" s="35">
        <f t="shared" ca="1" si="51"/>
        <v>51878.816925996696</v>
      </c>
      <c r="BI34" s="35">
        <f t="shared" ca="1" si="51"/>
        <v>53236.977671625253</v>
      </c>
      <c r="BJ34" s="35">
        <f t="shared" ca="1" si="51"/>
        <v>54622.297451983963</v>
      </c>
      <c r="BK34" s="35">
        <f t="shared" ca="1" si="51"/>
        <v>56035.319447767448</v>
      </c>
      <c r="BL34" s="35">
        <f t="shared" ca="1" si="51"/>
        <v>57476.597703284206</v>
      </c>
      <c r="BM34" s="35">
        <f t="shared" ca="1" si="51"/>
        <v>58946.697343728869</v>
      </c>
      <c r="BN34" s="35">
        <f t="shared" ca="1" si="51"/>
        <v>60446.194796800024</v>
      </c>
      <c r="BO34" s="35">
        <f t="shared" ca="1" si="51"/>
        <v>61975.678018750186</v>
      </c>
      <c r="BP34" s="35">
        <f t="shared" ca="1" si="51"/>
        <v>63535.746724956938</v>
      </c>
      <c r="BQ34" s="35">
        <f t="shared" ca="1" si="51"/>
        <v>65127.012625105432</v>
      </c>
      <c r="BR34" s="35">
        <f t="shared" ca="1" si="51"/>
        <v>66720.05825667562</v>
      </c>
      <c r="BS34" s="35">
        <f t="shared" ca="1" si="51"/>
        <v>68314.777848064507</v>
      </c>
      <c r="BT34" s="35">
        <f t="shared" ca="1" si="51"/>
        <v>69911.204878468474</v>
      </c>
      <c r="BU34" s="35">
        <f t="shared" ca="1" si="51"/>
        <v>71509.373496667802</v>
      </c>
      <c r="BV34" s="35">
        <f t="shared" ref="BV34:DY34" ca="1" si="52">+_InstalledAssetsP1+_InstalledAssetsP2+_InstalledAssetsP4+_InstalledAssetsP3+_InstalledAssetsP5</f>
        <v>73109.318534418417</v>
      </c>
      <c r="BW34" s="35">
        <f t="shared" ca="1" si="52"/>
        <v>74711.075520111335</v>
      </c>
      <c r="BX34" s="35">
        <f t="shared" ca="1" si="52"/>
        <v>76314.680692705413</v>
      </c>
      <c r="BY34" s="35">
        <f t="shared" ca="1" si="52"/>
        <v>77920.171015938642</v>
      </c>
      <c r="BZ34" s="35">
        <f t="shared" ca="1" si="52"/>
        <v>79527.584192823851</v>
      </c>
      <c r="CA34" s="35">
        <f t="shared" ca="1" si="52"/>
        <v>81136.958680434051</v>
      </c>
      <c r="CB34" s="35">
        <f t="shared" ca="1" si="52"/>
        <v>82748.333704983757</v>
      </c>
      <c r="CC34" s="35">
        <f t="shared" ca="1" si="52"/>
        <v>84361.74927721174</v>
      </c>
      <c r="CD34" s="35">
        <f t="shared" ca="1" si="52"/>
        <v>85976.755253995521</v>
      </c>
      <c r="CE34" s="35">
        <f t="shared" ca="1" si="52"/>
        <v>87593.293901485275</v>
      </c>
      <c r="CF34" s="35">
        <f t="shared" ca="1" si="52"/>
        <v>89211.395873095084</v>
      </c>
      <c r="CG34" s="35">
        <f t="shared" ca="1" si="52"/>
        <v>90831.092435307379</v>
      </c>
      <c r="CH34" s="35">
        <f t="shared" ca="1" si="52"/>
        <v>92452.415479934192</v>
      </c>
      <c r="CI34" s="35">
        <f t="shared" ca="1" si="52"/>
        <v>94075.397536623816</v>
      </c>
      <c r="CJ34" s="35">
        <f t="shared" ca="1" si="52"/>
        <v>95700.071785617489</v>
      </c>
      <c r="CK34" s="35">
        <f t="shared" ca="1" si="52"/>
        <v>97326.472070761345</v>
      </c>
      <c r="CL34" s="35">
        <f t="shared" ca="1" si="52"/>
        <v>98954.632912778354</v>
      </c>
      <c r="CM34" s="35">
        <f t="shared" ca="1" si="52"/>
        <v>100584.58952280597</v>
      </c>
      <c r="CN34" s="35">
        <f t="shared" ca="1" si="52"/>
        <v>102216.3778162044</v>
      </c>
      <c r="CO34" s="35">
        <f t="shared" ca="1" si="52"/>
        <v>103850.0344266411</v>
      </c>
      <c r="CP34" s="35">
        <f t="shared" ca="1" si="52"/>
        <v>105483.99846439157</v>
      </c>
      <c r="CQ34" s="35">
        <f t="shared" ca="1" si="52"/>
        <v>107118.2760769474</v>
      </c>
      <c r="CR34" s="35">
        <f t="shared" ca="1" si="52"/>
        <v>108752.87353580467</v>
      </c>
      <c r="CS34" s="35">
        <f t="shared" ca="1" si="52"/>
        <v>110387.79723788942</v>
      </c>
      <c r="CT34" s="35">
        <f t="shared" ca="1" si="52"/>
        <v>112023.0537080662</v>
      </c>
      <c r="CU34" s="35">
        <f t="shared" ca="1" si="52"/>
        <v>113658.6496016969</v>
      </c>
      <c r="CV34" s="35">
        <f t="shared" ca="1" si="52"/>
        <v>115294.3596561063</v>
      </c>
      <c r="CW34" s="35">
        <f t="shared" ca="1" si="52"/>
        <v>116930.17570757441</v>
      </c>
      <c r="CX34" s="35">
        <f t="shared" ca="1" si="52"/>
        <v>118566.09987604237</v>
      </c>
      <c r="CY34" s="35">
        <f t="shared" ca="1" si="52"/>
        <v>120202.13432385023</v>
      </c>
      <c r="CZ34" s="35">
        <f t="shared" ca="1" si="52"/>
        <v>121838.28125658476</v>
      </c>
      <c r="DA34" s="35">
        <f t="shared" ca="1" si="52"/>
        <v>123474.54292394448</v>
      </c>
      <c r="DB34" s="35">
        <f t="shared" ca="1" si="52"/>
        <v>125110.92417569764</v>
      </c>
      <c r="DC34" s="35">
        <f t="shared" ca="1" si="52"/>
        <v>126747.42036925894</v>
      </c>
      <c r="DD34" s="35">
        <f t="shared" ca="1" si="52"/>
        <v>128384.0338034645</v>
      </c>
      <c r="DE34" s="35">
        <f t="shared" ca="1" si="52"/>
        <v>130020.76682312724</v>
      </c>
      <c r="DF34" s="35">
        <f t="shared" ca="1" si="52"/>
        <v>131657.62181995629</v>
      </c>
      <c r="DG34" s="35">
        <f t="shared" ca="1" si="52"/>
        <v>133294.60123349499</v>
      </c>
      <c r="DH34" s="35">
        <f t="shared" ca="1" si="52"/>
        <v>134931.70755207751</v>
      </c>
      <c r="DI34" s="35">
        <f t="shared" ca="1" si="52"/>
        <v>136568.94331380475</v>
      </c>
      <c r="DJ34" s="35">
        <f t="shared" ca="1" si="52"/>
        <v>138206.3111075396</v>
      </c>
      <c r="DK34" s="35">
        <f t="shared" ca="1" si="52"/>
        <v>139843.81357392221</v>
      </c>
      <c r="DL34" s="35">
        <f t="shared" ca="1" si="52"/>
        <v>141481.45340640552</v>
      </c>
      <c r="DM34" s="35">
        <f t="shared" ca="1" si="52"/>
        <v>143119.23335231157</v>
      </c>
      <c r="DN34" s="35">
        <f t="shared" ca="1" si="52"/>
        <v>144757.03428797051</v>
      </c>
      <c r="DO34" s="35">
        <f t="shared" ca="1" si="52"/>
        <v>146394.85663316917</v>
      </c>
      <c r="DP34" s="35">
        <f t="shared" ca="1" si="52"/>
        <v>148032.70081609828</v>
      </c>
      <c r="DQ34" s="35">
        <f t="shared" ca="1" si="52"/>
        <v>149670.56727351254</v>
      </c>
      <c r="DR34" s="35">
        <f t="shared" ca="1" si="52"/>
        <v>151308.45645090158</v>
      </c>
      <c r="DS34" s="35">
        <f t="shared" ca="1" si="52"/>
        <v>152946.36880266489</v>
      </c>
      <c r="DT34" s="35">
        <f t="shared" ca="1" si="52"/>
        <v>154584.30479229</v>
      </c>
      <c r="DU34" s="35">
        <f t="shared" ca="1" si="52"/>
        <v>156222.26489253412</v>
      </c>
      <c r="DV34" s="35">
        <f t="shared" ca="1" si="52"/>
        <v>157860.24958560962</v>
      </c>
      <c r="DW34" s="35">
        <f t="shared" ca="1" si="52"/>
        <v>159498.25936337316</v>
      </c>
      <c r="DX34" s="35">
        <f t="shared" ca="1" si="52"/>
        <v>161136.29472751849</v>
      </c>
      <c r="DY34" s="35">
        <f t="shared" ca="1" si="52"/>
        <v>162774.35618977324</v>
      </c>
    </row>
    <row r="35" spans="1:129" s="62" customFormat="1" outlineLevel="1">
      <c r="C35" s="62" t="s">
        <v>88</v>
      </c>
      <c r="F35" s="5"/>
      <c r="J35" s="515">
        <f>INDEX(_collectionrate,2,MATCH(J$4,'Model Assumptions'!$G$79:$P$79,0))</f>
        <v>0.85</v>
      </c>
      <c r="K35" s="515">
        <f>INDEX(_collectionrate,2,MATCH(K$4,'Model Assumptions'!$G$79:$P$79,0))</f>
        <v>0.85</v>
      </c>
      <c r="L35" s="515">
        <f>INDEX(_collectionrate,2,MATCH(L$4,'Model Assumptions'!$G$79:$P$79,0))</f>
        <v>0.85</v>
      </c>
      <c r="M35" s="515">
        <f>INDEX(_collectionrate,2,MATCH(M$4,'Model Assumptions'!$G$79:$P$79,0))</f>
        <v>0.85</v>
      </c>
      <c r="N35" s="515">
        <f>INDEX(_collectionrate,2,MATCH(N$4,'Model Assumptions'!$G$79:$P$79,0))</f>
        <v>0.85</v>
      </c>
      <c r="O35" s="515">
        <f>INDEX(_collectionrate,2,MATCH(O$4,'Model Assumptions'!$G$79:$P$79,0))</f>
        <v>0.85</v>
      </c>
      <c r="P35" s="515">
        <f>INDEX(_collectionrate,2,MATCH(P$4,'Model Assumptions'!$G$79:$P$79,0))</f>
        <v>0.85</v>
      </c>
      <c r="Q35" s="515">
        <f>INDEX(_collectionrate,2,MATCH(Q$4,'Model Assumptions'!$G$79:$P$79,0))</f>
        <v>0.85</v>
      </c>
      <c r="R35" s="515">
        <f>INDEX(_collectionrate,2,MATCH(R$4,'Model Assumptions'!$G$79:$P$79,0))</f>
        <v>0.85</v>
      </c>
      <c r="S35" s="515">
        <f>INDEX(_collectionrate,2,MATCH(S$4,'Model Assumptions'!$G$79:$P$79,0))</f>
        <v>0.85</v>
      </c>
      <c r="T35" s="515">
        <f>INDEX(_collectionrate,2,MATCH(T$4,'Model Assumptions'!$G$79:$P$79,0))</f>
        <v>0.85</v>
      </c>
      <c r="U35" s="515">
        <f>INDEX(_collectionrate,2,MATCH(U$4,'Model Assumptions'!$G$79:$P$79,0))</f>
        <v>0.85</v>
      </c>
      <c r="V35" s="515">
        <f>INDEX(_collectionrate,2,MATCH(V$4,'Model Assumptions'!$G$79:$P$79,0))</f>
        <v>0.85</v>
      </c>
      <c r="W35" s="515">
        <f>INDEX(_collectionrate,2,MATCH(W$4,'Model Assumptions'!$G$79:$P$79,0))</f>
        <v>0.85</v>
      </c>
      <c r="X35" s="515">
        <f>INDEX(_collectionrate,2,MATCH(X$4,'Model Assumptions'!$G$79:$P$79,0))</f>
        <v>0.85</v>
      </c>
      <c r="Y35" s="515">
        <f>INDEX(_collectionrate,2,MATCH(Y$4,'Model Assumptions'!$G$79:$P$79,0))</f>
        <v>0.85</v>
      </c>
      <c r="Z35" s="515">
        <f>INDEX(_collectionrate,2,MATCH(Z$4,'Model Assumptions'!$G$79:$P$79,0))</f>
        <v>0.85</v>
      </c>
      <c r="AA35" s="515">
        <f>INDEX(_collectionrate,2,MATCH(AA$4,'Model Assumptions'!$G$79:$P$79,0))</f>
        <v>0.85</v>
      </c>
      <c r="AB35" s="515">
        <f>INDEX(_collectionrate,2,MATCH(AB$4,'Model Assumptions'!$G$79:$P$79,0))</f>
        <v>0.85</v>
      </c>
      <c r="AC35" s="515">
        <f>INDEX(_collectionrate,2,MATCH(AC$4,'Model Assumptions'!$G$79:$P$79,0))</f>
        <v>0.85</v>
      </c>
      <c r="AD35" s="515">
        <f>INDEX(_collectionrate,2,MATCH(AD$4,'Model Assumptions'!$G$79:$P$79,0))</f>
        <v>0.85</v>
      </c>
      <c r="AE35" s="515">
        <f>INDEX(_collectionrate,2,MATCH(AE$4,'Model Assumptions'!$G$79:$P$79,0))</f>
        <v>0.85</v>
      </c>
      <c r="AF35" s="515">
        <f>INDEX(_collectionrate,2,MATCH(AF$4,'Model Assumptions'!$G$79:$P$79,0))</f>
        <v>0.85</v>
      </c>
      <c r="AG35" s="515">
        <f>INDEX(_collectionrate,2,MATCH(AG$4,'Model Assumptions'!$G$79:$P$79,0))</f>
        <v>0.85</v>
      </c>
      <c r="AH35" s="515">
        <f>INDEX(_collectionrate,2,MATCH(AH$4,'Model Assumptions'!$G$79:$P$79,0))</f>
        <v>0.85</v>
      </c>
      <c r="AI35" s="515">
        <f>INDEX(_collectionrate,2,MATCH(AI$4,'Model Assumptions'!$G$79:$P$79,0))</f>
        <v>0.85</v>
      </c>
      <c r="AJ35" s="515">
        <f>INDEX(_collectionrate,2,MATCH(AJ$4,'Model Assumptions'!$G$79:$P$79,0))</f>
        <v>0.85</v>
      </c>
      <c r="AK35" s="515">
        <f>INDEX(_collectionrate,2,MATCH(AK$4,'Model Assumptions'!$G$79:$P$79,0))</f>
        <v>0.85</v>
      </c>
      <c r="AL35" s="515">
        <f>INDEX(_collectionrate,2,MATCH(AL$4,'Model Assumptions'!$G$79:$P$79,0))</f>
        <v>0.85</v>
      </c>
      <c r="AM35" s="515">
        <f>INDEX(_collectionrate,2,MATCH(AM$4,'Model Assumptions'!$G$79:$P$79,0))</f>
        <v>0.85</v>
      </c>
      <c r="AN35" s="515">
        <f>INDEX(_collectionrate,2,MATCH(AN$4,'Model Assumptions'!$G$79:$P$79,0))</f>
        <v>0.85</v>
      </c>
      <c r="AO35" s="515">
        <f>INDEX(_collectionrate,2,MATCH(AO$4,'Model Assumptions'!$G$79:$P$79,0))</f>
        <v>0.85</v>
      </c>
      <c r="AP35" s="515">
        <f>INDEX(_collectionrate,2,MATCH(AP$4,'Model Assumptions'!$G$79:$P$79,0))</f>
        <v>0.85</v>
      </c>
      <c r="AQ35" s="515">
        <f>INDEX(_collectionrate,2,MATCH(AQ$4,'Model Assumptions'!$G$79:$P$79,0))</f>
        <v>0.85</v>
      </c>
      <c r="AR35" s="515">
        <f>INDEX(_collectionrate,2,MATCH(AR$4,'Model Assumptions'!$G$79:$P$79,0))</f>
        <v>0.85</v>
      </c>
      <c r="AS35" s="515">
        <f>INDEX(_collectionrate,2,MATCH(AS$4,'Model Assumptions'!$G$79:$P$79,0))</f>
        <v>0.85</v>
      </c>
      <c r="AT35" s="515">
        <f>INDEX(_collectionrate,2,MATCH(AT$4,'Model Assumptions'!$G$79:$P$79,0))</f>
        <v>0.85</v>
      </c>
      <c r="AU35" s="515">
        <f>INDEX(_collectionrate,2,MATCH(AU$4,'Model Assumptions'!$G$79:$P$79,0))</f>
        <v>0.85</v>
      </c>
      <c r="AV35" s="515">
        <f>INDEX(_collectionrate,2,MATCH(AV$4,'Model Assumptions'!$G$79:$P$79,0))</f>
        <v>0.85</v>
      </c>
      <c r="AW35" s="515">
        <f>INDEX(_collectionrate,2,MATCH(AW$4,'Model Assumptions'!$G$79:$P$79,0))</f>
        <v>0.85</v>
      </c>
      <c r="AX35" s="515">
        <f>INDEX(_collectionrate,2,MATCH(AX$4,'Model Assumptions'!$G$79:$P$79,0))</f>
        <v>0.85</v>
      </c>
      <c r="AY35" s="515">
        <f>INDEX(_collectionrate,2,MATCH(AY$4,'Model Assumptions'!$G$79:$P$79,0))</f>
        <v>0.85</v>
      </c>
      <c r="AZ35" s="515">
        <f>INDEX(_collectionrate,2,MATCH(AZ$4,'Model Assumptions'!$G$79:$P$79,0))</f>
        <v>0.85</v>
      </c>
      <c r="BA35" s="515">
        <f>INDEX(_collectionrate,2,MATCH(BA$4,'Model Assumptions'!$G$79:$P$79,0))</f>
        <v>0.85</v>
      </c>
      <c r="BB35" s="515">
        <f>INDEX(_collectionrate,2,MATCH(BB$4,'Model Assumptions'!$G$79:$P$79,0))</f>
        <v>0.85</v>
      </c>
      <c r="BC35" s="515">
        <f>INDEX(_collectionrate,2,MATCH(BC$4,'Model Assumptions'!$G$79:$P$79,0))</f>
        <v>0.85</v>
      </c>
      <c r="BD35" s="515">
        <f>INDEX(_collectionrate,2,MATCH(BD$4,'Model Assumptions'!$G$79:$P$79,0))</f>
        <v>0.85</v>
      </c>
      <c r="BE35" s="515">
        <f>INDEX(_collectionrate,2,MATCH(BE$4,'Model Assumptions'!$G$79:$P$79,0))</f>
        <v>0.85</v>
      </c>
      <c r="BF35" s="515">
        <f>INDEX(_collectionrate,2,MATCH(BF$4,'Model Assumptions'!$G$79:$P$79,0))</f>
        <v>0.85</v>
      </c>
      <c r="BG35" s="515">
        <f>INDEX(_collectionrate,2,MATCH(BG$4,'Model Assumptions'!$G$79:$P$79,0))</f>
        <v>0.85</v>
      </c>
      <c r="BH35" s="515">
        <f>INDEX(_collectionrate,2,MATCH(BH$4,'Model Assumptions'!$G$79:$P$79,0))</f>
        <v>0.85</v>
      </c>
      <c r="BI35" s="515">
        <f>INDEX(_collectionrate,2,MATCH(BI$4,'Model Assumptions'!$G$79:$P$79,0))</f>
        <v>0.85</v>
      </c>
      <c r="BJ35" s="515">
        <f>INDEX(_collectionrate,2,MATCH(BJ$4,'Model Assumptions'!$G$79:$P$79,0))</f>
        <v>0.85</v>
      </c>
      <c r="BK35" s="515">
        <f>INDEX(_collectionrate,2,MATCH(BK$4,'Model Assumptions'!$G$79:$P$79,0))</f>
        <v>0.85</v>
      </c>
      <c r="BL35" s="515">
        <f>INDEX(_collectionrate,2,MATCH(BL$4,'Model Assumptions'!$G$79:$P$79,0))</f>
        <v>0.85</v>
      </c>
      <c r="BM35" s="515">
        <f>INDEX(_collectionrate,2,MATCH(BM$4,'Model Assumptions'!$G$79:$P$79,0))</f>
        <v>0.85</v>
      </c>
      <c r="BN35" s="515">
        <f>INDEX(_collectionrate,2,MATCH(BN$4,'Model Assumptions'!$G$79:$P$79,0))</f>
        <v>0.85</v>
      </c>
      <c r="BO35" s="515">
        <f>INDEX(_collectionrate,2,MATCH(BO$4,'Model Assumptions'!$G$79:$P$79,0))</f>
        <v>0.85</v>
      </c>
      <c r="BP35" s="515">
        <f>INDEX(_collectionrate,2,MATCH(BP$4,'Model Assumptions'!$G$79:$P$79,0))</f>
        <v>0.85</v>
      </c>
      <c r="BQ35" s="515">
        <f>INDEX(_collectionrate,2,MATCH(BQ$4,'Model Assumptions'!$G$79:$P$79,0))</f>
        <v>0.85</v>
      </c>
      <c r="BR35" s="515">
        <f>INDEX(_collectionrate,2,MATCH(BR$4,'Model Assumptions'!$G$79:$P$79,0))</f>
        <v>0.85</v>
      </c>
      <c r="BS35" s="515">
        <f>INDEX(_collectionrate,2,MATCH(BS$4,'Model Assumptions'!$G$79:$P$79,0))</f>
        <v>0.85</v>
      </c>
      <c r="BT35" s="515">
        <f>INDEX(_collectionrate,2,MATCH(BT$4,'Model Assumptions'!$G$79:$P$79,0))</f>
        <v>0.85</v>
      </c>
      <c r="BU35" s="515">
        <f>INDEX(_collectionrate,2,MATCH(BU$4,'Model Assumptions'!$G$79:$P$79,0))</f>
        <v>0.85</v>
      </c>
      <c r="BV35" s="515">
        <f>INDEX(_collectionrate,2,MATCH(BV$4,'Model Assumptions'!$G$79:$P$79,0))</f>
        <v>0.85</v>
      </c>
      <c r="BW35" s="515">
        <f>INDEX(_collectionrate,2,MATCH(BW$4,'Model Assumptions'!$G$79:$P$79,0))</f>
        <v>0.85</v>
      </c>
      <c r="BX35" s="515">
        <f>INDEX(_collectionrate,2,MATCH(BX$4,'Model Assumptions'!$G$79:$P$79,0))</f>
        <v>0.85</v>
      </c>
      <c r="BY35" s="515">
        <f>INDEX(_collectionrate,2,MATCH(BY$4,'Model Assumptions'!$G$79:$P$79,0))</f>
        <v>0.85</v>
      </c>
      <c r="BZ35" s="515">
        <f>INDEX(_collectionrate,2,MATCH(BZ$4,'Model Assumptions'!$G$79:$P$79,0))</f>
        <v>0.85</v>
      </c>
      <c r="CA35" s="515">
        <f>INDEX(_collectionrate,2,MATCH(CA$4,'Model Assumptions'!$G$79:$P$79,0))</f>
        <v>0.85</v>
      </c>
      <c r="CB35" s="515">
        <f>INDEX(_collectionrate,2,MATCH(CB$4,'Model Assumptions'!$G$79:$P$79,0))</f>
        <v>0.85</v>
      </c>
      <c r="CC35" s="515">
        <f>INDEX(_collectionrate,2,MATCH(CC$4,'Model Assumptions'!$G$79:$P$79,0))</f>
        <v>0.85</v>
      </c>
      <c r="CD35" s="515">
        <f>INDEX(_collectionrate,2,MATCH(CD$4,'Model Assumptions'!$G$79:$P$79,0))</f>
        <v>0.85</v>
      </c>
      <c r="CE35" s="515">
        <f>INDEX(_collectionrate,2,MATCH(CE$4,'Model Assumptions'!$G$79:$P$79,0))</f>
        <v>0.85</v>
      </c>
      <c r="CF35" s="515">
        <f>INDEX(_collectionrate,2,MATCH(CF$4,'Model Assumptions'!$G$79:$P$79,0))</f>
        <v>0.85</v>
      </c>
      <c r="CG35" s="515">
        <f>INDEX(_collectionrate,2,MATCH(CG$4,'Model Assumptions'!$G$79:$P$79,0))</f>
        <v>0.85</v>
      </c>
      <c r="CH35" s="515">
        <f>INDEX(_collectionrate,2,MATCH(CH$4,'Model Assumptions'!$G$79:$P$79,0))</f>
        <v>0.85</v>
      </c>
      <c r="CI35" s="515">
        <f>INDEX(_collectionrate,2,MATCH(CI$4,'Model Assumptions'!$G$79:$P$79,0))</f>
        <v>0.85</v>
      </c>
      <c r="CJ35" s="515">
        <f>INDEX(_collectionrate,2,MATCH(CJ$4,'Model Assumptions'!$G$79:$P$79,0))</f>
        <v>0.85</v>
      </c>
      <c r="CK35" s="515">
        <f>INDEX(_collectionrate,2,MATCH(CK$4,'Model Assumptions'!$G$79:$P$79,0))</f>
        <v>0.85</v>
      </c>
      <c r="CL35" s="515">
        <f>INDEX(_collectionrate,2,MATCH(CL$4,'Model Assumptions'!$G$79:$P$79,0))</f>
        <v>0.85</v>
      </c>
      <c r="CM35" s="515">
        <f>INDEX(_collectionrate,2,MATCH(CM$4,'Model Assumptions'!$G$79:$P$79,0))</f>
        <v>0.85</v>
      </c>
      <c r="CN35" s="515">
        <f>INDEX(_collectionrate,2,MATCH(CN$4,'Model Assumptions'!$G$79:$P$79,0))</f>
        <v>0.85</v>
      </c>
      <c r="CO35" s="515">
        <f>INDEX(_collectionrate,2,MATCH(CO$4,'Model Assumptions'!$G$79:$P$79,0))</f>
        <v>0.85</v>
      </c>
      <c r="CP35" s="515">
        <f>INDEX(_collectionrate,2,MATCH(CP$4,'Model Assumptions'!$G$79:$P$79,0))</f>
        <v>0.85</v>
      </c>
      <c r="CQ35" s="515">
        <f>INDEX(_collectionrate,2,MATCH(CQ$4,'Model Assumptions'!$G$79:$P$79,0))</f>
        <v>0.85</v>
      </c>
      <c r="CR35" s="515">
        <f>INDEX(_collectionrate,2,MATCH(CR$4,'Model Assumptions'!$G$79:$P$79,0))</f>
        <v>0.85</v>
      </c>
      <c r="CS35" s="515">
        <f>INDEX(_collectionrate,2,MATCH(CS$4,'Model Assumptions'!$G$79:$P$79,0))</f>
        <v>0.85</v>
      </c>
      <c r="CT35" s="515">
        <f>INDEX(_collectionrate,2,MATCH(CT$4,'Model Assumptions'!$G$79:$P$79,0))</f>
        <v>0.85</v>
      </c>
      <c r="CU35" s="515">
        <f>INDEX(_collectionrate,2,MATCH(CU$4,'Model Assumptions'!$G$79:$P$79,0))</f>
        <v>0.85</v>
      </c>
      <c r="CV35" s="515">
        <f>INDEX(_collectionrate,2,MATCH(CV$4,'Model Assumptions'!$G$79:$P$79,0))</f>
        <v>0.85</v>
      </c>
      <c r="CW35" s="515">
        <f>INDEX(_collectionrate,2,MATCH(CW$4,'Model Assumptions'!$G$79:$P$79,0))</f>
        <v>0.85</v>
      </c>
      <c r="CX35" s="515">
        <f>INDEX(_collectionrate,2,MATCH(CX$4,'Model Assumptions'!$G$79:$P$79,0))</f>
        <v>0.85</v>
      </c>
      <c r="CY35" s="515">
        <f>INDEX(_collectionrate,2,MATCH(CY$4,'Model Assumptions'!$G$79:$P$79,0))</f>
        <v>0.85</v>
      </c>
      <c r="CZ35" s="515">
        <f>INDEX(_collectionrate,2,MATCH(CZ$4,'Model Assumptions'!$G$79:$P$79,0))</f>
        <v>0.85</v>
      </c>
      <c r="DA35" s="515">
        <f>INDEX(_collectionrate,2,MATCH(DA$4,'Model Assumptions'!$G$79:$P$79,0))</f>
        <v>0.85</v>
      </c>
      <c r="DB35" s="515">
        <f>INDEX(_collectionrate,2,MATCH(DB$4,'Model Assumptions'!$G$79:$P$79,0))</f>
        <v>0.85</v>
      </c>
      <c r="DC35" s="515">
        <f>INDEX(_collectionrate,2,MATCH(DC$4,'Model Assumptions'!$G$79:$P$79,0))</f>
        <v>0.85</v>
      </c>
      <c r="DD35" s="515">
        <f>INDEX(_collectionrate,2,MATCH(DD$4,'Model Assumptions'!$G$79:$P$79,0))</f>
        <v>0.85</v>
      </c>
      <c r="DE35" s="515">
        <f>INDEX(_collectionrate,2,MATCH(DE$4,'Model Assumptions'!$G$79:$P$79,0))</f>
        <v>0.85</v>
      </c>
      <c r="DF35" s="515">
        <f>INDEX(_collectionrate,2,MATCH(DF$4,'Model Assumptions'!$G$79:$P$79,0))</f>
        <v>0.85</v>
      </c>
      <c r="DG35" s="515">
        <f>INDEX(_collectionrate,2,MATCH(DG$4,'Model Assumptions'!$G$79:$P$79,0))</f>
        <v>0.85</v>
      </c>
      <c r="DH35" s="515">
        <f>INDEX(_collectionrate,2,MATCH(DH$4,'Model Assumptions'!$G$79:$P$79,0))</f>
        <v>0.85</v>
      </c>
      <c r="DI35" s="515">
        <f>INDEX(_collectionrate,2,MATCH(DI$4,'Model Assumptions'!$G$79:$P$79,0))</f>
        <v>0.85</v>
      </c>
      <c r="DJ35" s="515">
        <f>INDEX(_collectionrate,2,MATCH(DJ$4,'Model Assumptions'!$G$79:$P$79,0))</f>
        <v>0.85</v>
      </c>
      <c r="DK35" s="515">
        <f>INDEX(_collectionrate,2,MATCH(DK$4,'Model Assumptions'!$G$79:$P$79,0))</f>
        <v>0.85</v>
      </c>
      <c r="DL35" s="515">
        <f>INDEX(_collectionrate,2,MATCH(DL$4,'Model Assumptions'!$G$79:$P$79,0))</f>
        <v>0.85</v>
      </c>
      <c r="DM35" s="515">
        <f>INDEX(_collectionrate,2,MATCH(DM$4,'Model Assumptions'!$G$79:$P$79,0))</f>
        <v>0.85</v>
      </c>
      <c r="DN35" s="515">
        <f>INDEX(_collectionrate,2,MATCH(DN$4,'Model Assumptions'!$G$79:$P$79,0))</f>
        <v>0.85</v>
      </c>
      <c r="DO35" s="515">
        <f>INDEX(_collectionrate,2,MATCH(DO$4,'Model Assumptions'!$G$79:$P$79,0))</f>
        <v>0.85</v>
      </c>
      <c r="DP35" s="515">
        <f>INDEX(_collectionrate,2,MATCH(DP$4,'Model Assumptions'!$G$79:$P$79,0))</f>
        <v>0.85</v>
      </c>
      <c r="DQ35" s="515">
        <f>INDEX(_collectionrate,2,MATCH(DQ$4,'Model Assumptions'!$G$79:$P$79,0))</f>
        <v>0.85</v>
      </c>
      <c r="DR35" s="515">
        <f>INDEX(_collectionrate,2,MATCH(DR$4,'Model Assumptions'!$G$79:$P$79,0))</f>
        <v>0.85</v>
      </c>
      <c r="DS35" s="515">
        <f>INDEX(_collectionrate,2,MATCH(DS$4,'Model Assumptions'!$G$79:$P$79,0))</f>
        <v>0.85</v>
      </c>
      <c r="DT35" s="515">
        <f>INDEX(_collectionrate,2,MATCH(DT$4,'Model Assumptions'!$G$79:$P$79,0))</f>
        <v>0.85</v>
      </c>
      <c r="DU35" s="515">
        <f>INDEX(_collectionrate,2,MATCH(DU$4,'Model Assumptions'!$G$79:$P$79,0))</f>
        <v>0.85</v>
      </c>
      <c r="DV35" s="515">
        <f>INDEX(_collectionrate,2,MATCH(DV$4,'Model Assumptions'!$G$79:$P$79,0))</f>
        <v>0.85</v>
      </c>
      <c r="DW35" s="515">
        <f>INDEX(_collectionrate,2,MATCH(DW$4,'Model Assumptions'!$G$79:$P$79,0))</f>
        <v>0.85</v>
      </c>
      <c r="DX35" s="515">
        <f>INDEX(_collectionrate,2,MATCH(DX$4,'Model Assumptions'!$G$79:$P$79,0))</f>
        <v>0.85</v>
      </c>
      <c r="DY35" s="515">
        <f>INDEX(_collectionrate,2,MATCH(DY$4,'Model Assumptions'!$G$79:$P$79,0))</f>
        <v>0.85</v>
      </c>
    </row>
    <row r="36" spans="1:129" s="19" customFormat="1" outlineLevel="1">
      <c r="A36" s="20"/>
      <c r="B36" s="14"/>
      <c r="C36" s="244" t="s">
        <v>362</v>
      </c>
      <c r="D36" s="30"/>
      <c r="E36" s="30"/>
      <c r="F36" s="332" t="s">
        <v>441</v>
      </c>
      <c r="G36" s="259"/>
      <c r="H36" s="14"/>
      <c r="I36" s="14"/>
      <c r="J36" s="245">
        <f ca="1">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18.909121464452998</v>
      </c>
      <c r="K36" s="245">
        <f t="shared" ref="K36:AO36" ca="1" si="53">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18.954437017916714</v>
      </c>
      <c r="L36" s="245">
        <f t="shared" ca="1" si="53"/>
        <v>18.994239085759091</v>
      </c>
      <c r="M36" s="245">
        <f t="shared" ca="1" si="53"/>
        <v>19.028887590863569</v>
      </c>
      <c r="N36" s="245">
        <f t="shared" ca="1" si="53"/>
        <v>19.058733217651131</v>
      </c>
      <c r="O36" s="245">
        <f t="shared" ca="1" si="53"/>
        <v>19.084115263701477</v>
      </c>
      <c r="P36" s="245">
        <f t="shared" ca="1" si="53"/>
        <v>19.105360005975605</v>
      </c>
      <c r="Q36" s="245">
        <f t="shared" ca="1" si="53"/>
        <v>19.122779515926336</v>
      </c>
      <c r="R36" s="245">
        <f t="shared" ca="1" si="53"/>
        <v>19.136670860573307</v>
      </c>
      <c r="S36" s="245">
        <f t="shared" ca="1" si="53"/>
        <v>19.147315630711145</v>
      </c>
      <c r="T36" s="245">
        <f t="shared" ca="1" si="53"/>
        <v>19.154979742320482</v>
      </c>
      <c r="U36" s="245">
        <f t="shared" ca="1" si="53"/>
        <v>19.159913462572078</v>
      </c>
      <c r="V36" s="245">
        <f t="shared" ca="1" si="53"/>
        <v>19.214795038870637</v>
      </c>
      <c r="W36" s="245">
        <f t="shared" ca="1" si="53"/>
        <v>19.268045968028911</v>
      </c>
      <c r="X36" s="245">
        <f t="shared" ca="1" si="53"/>
        <v>19.319717557156867</v>
      </c>
      <c r="Y36" s="245">
        <f t="shared" ca="1" si="53"/>
        <v>19.369859734497414</v>
      </c>
      <c r="Z36" s="245">
        <f t="shared" ca="1" si="53"/>
        <v>19.418521044225553</v>
      </c>
      <c r="AA36" s="245">
        <f t="shared" ca="1" si="53"/>
        <v>19.46574864770578</v>
      </c>
      <c r="AB36" s="245">
        <f t="shared" ca="1" si="53"/>
        <v>19.511588330319373</v>
      </c>
      <c r="AC36" s="245">
        <f t="shared" ca="1" si="53"/>
        <v>19.556084513067514</v>
      </c>
      <c r="AD36" s="245">
        <f t="shared" ca="1" si="53"/>
        <v>19.599280268242342</v>
      </c>
      <c r="AE36" s="245">
        <f t="shared" ca="1" si="53"/>
        <v>19.641217338535927</v>
      </c>
      <c r="AF36" s="245">
        <f t="shared" ca="1" si="53"/>
        <v>19.681936159027909</v>
      </c>
      <c r="AG36" s="245">
        <f t="shared" ca="1" si="53"/>
        <v>19.721475881556117</v>
      </c>
      <c r="AH36" s="245">
        <f t="shared" ca="1" si="53"/>
        <v>19.745579338116858</v>
      </c>
      <c r="AI36" s="245">
        <f t="shared" ca="1" si="53"/>
        <v>19.769384460377932</v>
      </c>
      <c r="AJ36" s="245">
        <f t="shared" ca="1" si="53"/>
        <v>19.792889271589988</v>
      </c>
      <c r="AK36" s="245">
        <f t="shared" ca="1" si="53"/>
        <v>19.816092208523376</v>
      </c>
      <c r="AL36" s="245">
        <f t="shared" ca="1" si="53"/>
        <v>19.838992095818583</v>
      </c>
      <c r="AM36" s="245">
        <f t="shared" ca="1" si="53"/>
        <v>19.861588121544195</v>
      </c>
      <c r="AN36" s="245">
        <f t="shared" ca="1" si="53"/>
        <v>19.862069805557979</v>
      </c>
      <c r="AO36" s="245">
        <f t="shared" ca="1" si="53"/>
        <v>19.862568018306014</v>
      </c>
      <c r="AP36" s="245">
        <f t="shared" ref="AP36:BU36" ca="1" si="54">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19.863081673755286</v>
      </c>
      <c r="AQ36" s="245">
        <f t="shared" ca="1" si="54"/>
        <v>19.863609727627331</v>
      </c>
      <c r="AR36" s="245">
        <f t="shared" ca="1" si="54"/>
        <v>19.864151176187409</v>
      </c>
      <c r="AS36" s="245">
        <f t="shared" ca="1" si="54"/>
        <v>19.864705055052063</v>
      </c>
      <c r="AT36" s="245">
        <f t="shared" ca="1" si="54"/>
        <v>19.865528079597173</v>
      </c>
      <c r="AU36" s="245">
        <f t="shared" ca="1" si="54"/>
        <v>19.866369032205181</v>
      </c>
      <c r="AV36" s="245">
        <f t="shared" ca="1" si="54"/>
        <v>19.867226557397551</v>
      </c>
      <c r="AW36" s="245">
        <f t="shared" ca="1" si="54"/>
        <v>19.868099354164087</v>
      </c>
      <c r="AX36" s="245">
        <f t="shared" ca="1" si="54"/>
        <v>19.868986174262673</v>
      </c>
      <c r="AY36" s="245">
        <f t="shared" ca="1" si="54"/>
        <v>19.869885820555385</v>
      </c>
      <c r="AZ36" s="245">
        <f t="shared" ca="1" si="54"/>
        <v>19.870797145381513</v>
      </c>
      <c r="BA36" s="245">
        <f t="shared" ca="1" si="54"/>
        <v>19.871719048967389</v>
      </c>
      <c r="BB36" s="245">
        <f t="shared" ca="1" si="54"/>
        <v>19.872650477873371</v>
      </c>
      <c r="BC36" s="245">
        <f t="shared" ca="1" si="54"/>
        <v>19.873590423477722</v>
      </c>
      <c r="BD36" s="245">
        <f t="shared" ca="1" si="54"/>
        <v>19.874537920497509</v>
      </c>
      <c r="BE36" s="245">
        <f t="shared" ca="1" si="54"/>
        <v>19.875492045546238</v>
      </c>
      <c r="BF36" s="245">
        <f t="shared" ca="1" si="54"/>
        <v>19.875621100618943</v>
      </c>
      <c r="BG36" s="245">
        <f t="shared" ca="1" si="54"/>
        <v>19.875769810002055</v>
      </c>
      <c r="BH36" s="245">
        <f t="shared" ca="1" si="54"/>
        <v>19.875937152865376</v>
      </c>
      <c r="BI36" s="245">
        <f t="shared" ca="1" si="54"/>
        <v>19.876122145469893</v>
      </c>
      <c r="BJ36" s="245">
        <f t="shared" ca="1" si="54"/>
        <v>19.876323840062089</v>
      </c>
      <c r="BK36" s="245">
        <f t="shared" ca="1" si="54"/>
        <v>19.876541323792583</v>
      </c>
      <c r="BL36" s="245">
        <f t="shared" ca="1" si="54"/>
        <v>19.87677371765913</v>
      </c>
      <c r="BM36" s="245">
        <f t="shared" ca="1" si="54"/>
        <v>19.877020175473785</v>
      </c>
      <c r="BN36" s="245">
        <f t="shared" ca="1" si="54"/>
        <v>19.877279882854268</v>
      </c>
      <c r="BO36" s="245">
        <f t="shared" ca="1" si="54"/>
        <v>19.877552056239303</v>
      </c>
      <c r="BP36" s="245">
        <f t="shared" ca="1" si="54"/>
        <v>19.877835941927781</v>
      </c>
      <c r="BQ36" s="245">
        <f t="shared" ca="1" si="54"/>
        <v>19.878130815141532</v>
      </c>
      <c r="BR36" s="245">
        <f t="shared" ca="1" si="54"/>
        <v>19.880480783711796</v>
      </c>
      <c r="BS36" s="245">
        <f t="shared" ca="1" si="54"/>
        <v>19.885669963520872</v>
      </c>
      <c r="BT36" s="245">
        <f t="shared" ca="1" si="54"/>
        <v>19.893602208562008</v>
      </c>
      <c r="BU36" s="245">
        <f t="shared" ca="1" si="54"/>
        <v>19.904203955559755</v>
      </c>
      <c r="BV36" s="245">
        <f t="shared" ref="BV36:DY36" ca="1" si="55">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19.917422024306855</v>
      </c>
      <c r="BW36" s="245">
        <f t="shared" ca="1" si="55"/>
        <v>19.933221893690551</v>
      </c>
      <c r="BX36" s="245">
        <f t="shared" ca="1" si="55"/>
        <v>19.951586378199032</v>
      </c>
      <c r="BY36" s="245">
        <f t="shared" ca="1" si="55"/>
        <v>19.972514647652435</v>
      </c>
      <c r="BZ36" s="245">
        <f t="shared" ca="1" si="55"/>
        <v>19.996021547111269</v>
      </c>
      <c r="CA36" s="245">
        <f t="shared" ca="1" si="55"/>
        <v>20.022137185385635</v>
      </c>
      <c r="CB36" s="245">
        <f t="shared" ca="1" si="55"/>
        <v>20.050906770056883</v>
      </c>
      <c r="CC36" s="245">
        <f t="shared" ca="1" si="55"/>
        <v>20.082390675007616</v>
      </c>
      <c r="CD36" s="245">
        <f t="shared" ca="1" si="55"/>
        <v>20.11193227355994</v>
      </c>
      <c r="CE36" s="245">
        <f t="shared" ca="1" si="55"/>
        <v>20.139629864975305</v>
      </c>
      <c r="CF36" s="245">
        <f t="shared" ca="1" si="55"/>
        <v>20.165532632412237</v>
      </c>
      <c r="CG36" s="245">
        <f t="shared" ca="1" si="55"/>
        <v>20.189684798186203</v>
      </c>
      <c r="CH36" s="245">
        <f t="shared" ca="1" si="55"/>
        <v>20.212125862623928</v>
      </c>
      <c r="CI36" s="245">
        <f t="shared" ca="1" si="55"/>
        <v>20.232890810709424</v>
      </c>
      <c r="CJ36" s="245">
        <f t="shared" ca="1" si="55"/>
        <v>20.252010288728311</v>
      </c>
      <c r="CK36" s="245">
        <f t="shared" ca="1" si="55"/>
        <v>20.269510752740867</v>
      </c>
      <c r="CL36" s="245">
        <f t="shared" ca="1" si="55"/>
        <v>20.285414590370948</v>
      </c>
      <c r="CM36" s="245">
        <f t="shared" ca="1" si="55"/>
        <v>20.29974021707892</v>
      </c>
      <c r="CN36" s="245">
        <f t="shared" ca="1" si="55"/>
        <v>20.312502147787896</v>
      </c>
      <c r="CO36" s="245">
        <f t="shared" ca="1" si="55"/>
        <v>20.323711044446071</v>
      </c>
      <c r="CP36" s="245">
        <f t="shared" ca="1" si="55"/>
        <v>20.333640772179066</v>
      </c>
      <c r="CQ36" s="245">
        <f t="shared" ca="1" si="55"/>
        <v>20.342290360121062</v>
      </c>
      <c r="CR36" s="245">
        <f t="shared" ca="1" si="55"/>
        <v>20.349657425711573</v>
      </c>
      <c r="CS36" s="245">
        <f t="shared" ca="1" si="55"/>
        <v>20.355738151887099</v>
      </c>
      <c r="CT36" s="245">
        <f t="shared" ca="1" si="55"/>
        <v>20.360527268579563</v>
      </c>
      <c r="CU36" s="245">
        <f t="shared" ca="1" si="55"/>
        <v>20.364018030080885</v>
      </c>
      <c r="CV36" s="245">
        <f t="shared" ca="1" si="55"/>
        <v>20.367363432254123</v>
      </c>
      <c r="CW36" s="245">
        <f t="shared" ca="1" si="55"/>
        <v>20.370615523150221</v>
      </c>
      <c r="CX36" s="245">
        <f t="shared" ca="1" si="55"/>
        <v>20.373774460743999</v>
      </c>
      <c r="CY36" s="245">
        <f t="shared" ca="1" si="55"/>
        <v>20.376840370029534</v>
      </c>
      <c r="CZ36" s="245">
        <f t="shared" ca="1" si="55"/>
        <v>20.379813342837831</v>
      </c>
      <c r="DA36" s="245">
        <f t="shared" ca="1" si="55"/>
        <v>20.382693437628237</v>
      </c>
      <c r="DB36" s="245">
        <f t="shared" ca="1" si="55"/>
        <v>20.385441249005233</v>
      </c>
      <c r="DC36" s="245">
        <f t="shared" ca="1" si="55"/>
        <v>20.38805939852514</v>
      </c>
      <c r="DD36" s="245">
        <f t="shared" ca="1" si="55"/>
        <v>20.390547466457065</v>
      </c>
      <c r="DE36" s="245">
        <f t="shared" ca="1" si="55"/>
        <v>20.392904984894638</v>
      </c>
      <c r="DF36" s="245">
        <f t="shared" ca="1" si="55"/>
        <v>20.395131437125347</v>
      </c>
      <c r="DG36" s="245">
        <f t="shared" ca="1" si="55"/>
        <v>20.397226256961044</v>
      </c>
      <c r="DH36" s="245">
        <f t="shared" ca="1" si="55"/>
        <v>20.399188828028759</v>
      </c>
      <c r="DI36" s="245">
        <f t="shared" ca="1" si="55"/>
        <v>20.401018483020589</v>
      </c>
      <c r="DJ36" s="245">
        <f t="shared" ca="1" si="55"/>
        <v>20.402714502901453</v>
      </c>
      <c r="DK36" s="245">
        <f t="shared" ca="1" si="55"/>
        <v>20.404276116073635</v>
      </c>
      <c r="DL36" s="245">
        <f t="shared" ca="1" si="55"/>
        <v>20.405702497496495</v>
      </c>
      <c r="DM36" s="245">
        <f t="shared" ca="1" si="55"/>
        <v>20.406992767760254</v>
      </c>
      <c r="DN36" s="245">
        <f t="shared" ca="1" si="55"/>
        <v>20.40819442473228</v>
      </c>
      <c r="DO36" s="245">
        <f t="shared" ca="1" si="55"/>
        <v>20.409306903444101</v>
      </c>
      <c r="DP36" s="245">
        <f t="shared" ca="1" si="55"/>
        <v>20.410329610530692</v>
      </c>
      <c r="DQ36" s="245">
        <f t="shared" ca="1" si="55"/>
        <v>20.411261923703904</v>
      </c>
      <c r="DR36" s="245">
        <f t="shared" ca="1" si="55"/>
        <v>20.412103191274603</v>
      </c>
      <c r="DS36" s="245">
        <f t="shared" ca="1" si="55"/>
        <v>20.412852731657779</v>
      </c>
      <c r="DT36" s="245">
        <f t="shared" ca="1" si="55"/>
        <v>20.413509832860033</v>
      </c>
      <c r="DU36" s="245">
        <f t="shared" ca="1" si="55"/>
        <v>20.414073751949115</v>
      </c>
      <c r="DV36" s="245">
        <f t="shared" ca="1" si="55"/>
        <v>20.41454371450482</v>
      </c>
      <c r="DW36" s="245">
        <f t="shared" ca="1" si="55"/>
        <v>20.414918914050894</v>
      </c>
      <c r="DX36" s="245">
        <f t="shared" ca="1" si="55"/>
        <v>20.41519851146715</v>
      </c>
      <c r="DY36" s="245">
        <f t="shared" ca="1" si="55"/>
        <v>20.415381634381525</v>
      </c>
    </row>
    <row r="37" spans="1:129" s="19" customFormat="1" outlineLevel="1">
      <c r="A37" s="20"/>
      <c r="B37" s="14"/>
      <c r="C37" s="14"/>
      <c r="D37" s="30"/>
      <c r="E37" s="30"/>
      <c r="F37" s="30"/>
      <c r="G37" s="14"/>
      <c r="H37" s="14"/>
      <c r="I37" s="14"/>
      <c r="J37" s="104"/>
      <c r="K37" s="14"/>
      <c r="L37" s="177"/>
      <c r="M37" s="14"/>
      <c r="N37" s="104"/>
      <c r="O37" s="14"/>
      <c r="P37" s="104"/>
      <c r="Q37" s="104"/>
      <c r="R37" s="14"/>
      <c r="S37" s="14"/>
      <c r="T37" s="14"/>
      <c r="U37" s="14"/>
      <c r="V37" s="14"/>
      <c r="W37" s="14"/>
      <c r="X37" s="98"/>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row>
    <row r="38" spans="1:129" outlineLevel="1">
      <c r="B38" s="6" t="s">
        <v>249</v>
      </c>
      <c r="I38" s="35"/>
      <c r="J38" s="11"/>
      <c r="K38" s="35"/>
      <c r="L38" s="11"/>
      <c r="M38" s="5"/>
      <c r="N38" s="11"/>
      <c r="O38" s="5"/>
      <c r="P38" s="11"/>
      <c r="Q38" s="11"/>
      <c r="R38" s="5"/>
      <c r="S38" s="5"/>
      <c r="T38" s="5"/>
      <c r="U38" s="5"/>
      <c r="V38" s="5"/>
      <c r="W38" s="5"/>
      <c r="X38" s="97"/>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row>
    <row r="39" spans="1:129" outlineLevel="1">
      <c r="C39" s="5" t="s">
        <v>4</v>
      </c>
      <c r="F39" s="5" t="s">
        <v>263</v>
      </c>
      <c r="J39" s="7">
        <f>I45</f>
        <v>0</v>
      </c>
      <c r="K39" s="7">
        <f ca="1">J45</f>
        <v>0</v>
      </c>
      <c r="L39" s="7">
        <f t="shared" ref="L39:BW39" ca="1" si="56">K45</f>
        <v>0</v>
      </c>
      <c r="M39" s="7">
        <f t="shared" ca="1" si="56"/>
        <v>0</v>
      </c>
      <c r="N39" s="7">
        <f t="shared" ca="1" si="56"/>
        <v>0</v>
      </c>
      <c r="O39" s="7">
        <f t="shared" ca="1" si="56"/>
        <v>0</v>
      </c>
      <c r="P39" s="7">
        <f t="shared" ca="1" si="56"/>
        <v>0</v>
      </c>
      <c r="Q39" s="7">
        <f t="shared" ca="1" si="56"/>
        <v>0</v>
      </c>
      <c r="R39" s="7">
        <f t="shared" ca="1" si="56"/>
        <v>0</v>
      </c>
      <c r="S39" s="7">
        <f t="shared" ca="1" si="56"/>
        <v>0</v>
      </c>
      <c r="T39" s="7">
        <f t="shared" ca="1" si="56"/>
        <v>0</v>
      </c>
      <c r="U39" s="7">
        <f t="shared" ca="1" si="56"/>
        <v>0</v>
      </c>
      <c r="V39" s="7">
        <f t="shared" ca="1" si="56"/>
        <v>0</v>
      </c>
      <c r="W39" s="7">
        <f t="shared" ca="1" si="56"/>
        <v>0</v>
      </c>
      <c r="X39" s="7">
        <f t="shared" ca="1" si="56"/>
        <v>0</v>
      </c>
      <c r="Y39" s="7">
        <f t="shared" ca="1" si="56"/>
        <v>0</v>
      </c>
      <c r="Z39" s="7">
        <f t="shared" ca="1" si="56"/>
        <v>0</v>
      </c>
      <c r="AA39" s="7">
        <f t="shared" ca="1" si="56"/>
        <v>0</v>
      </c>
      <c r="AB39" s="7">
        <f t="shared" ca="1" si="56"/>
        <v>0</v>
      </c>
      <c r="AC39" s="7">
        <f t="shared" ca="1" si="56"/>
        <v>0</v>
      </c>
      <c r="AD39" s="7">
        <f t="shared" ca="1" si="56"/>
        <v>0</v>
      </c>
      <c r="AE39" s="7">
        <f t="shared" ca="1" si="56"/>
        <v>0</v>
      </c>
      <c r="AF39" s="7">
        <f t="shared" ca="1" si="56"/>
        <v>0</v>
      </c>
      <c r="AG39" s="7">
        <f t="shared" ca="1" si="56"/>
        <v>0</v>
      </c>
      <c r="AH39" s="7">
        <f t="shared" ca="1" si="56"/>
        <v>0</v>
      </c>
      <c r="AI39" s="7">
        <f t="shared" ca="1" si="56"/>
        <v>0</v>
      </c>
      <c r="AJ39" s="7">
        <f t="shared" ca="1" si="56"/>
        <v>0</v>
      </c>
      <c r="AK39" s="7">
        <f t="shared" ca="1" si="56"/>
        <v>0</v>
      </c>
      <c r="AL39" s="7">
        <f t="shared" ca="1" si="56"/>
        <v>0</v>
      </c>
      <c r="AM39" s="7">
        <f t="shared" ca="1" si="56"/>
        <v>0</v>
      </c>
      <c r="AN39" s="7">
        <f t="shared" ca="1" si="56"/>
        <v>0</v>
      </c>
      <c r="AO39" s="7">
        <f t="shared" ca="1" si="56"/>
        <v>0</v>
      </c>
      <c r="AP39" s="7">
        <f t="shared" ca="1" si="56"/>
        <v>0</v>
      </c>
      <c r="AQ39" s="7">
        <f t="shared" ca="1" si="56"/>
        <v>0</v>
      </c>
      <c r="AR39" s="7">
        <f t="shared" ca="1" si="56"/>
        <v>0</v>
      </c>
      <c r="AS39" s="7">
        <f t="shared" ca="1" si="56"/>
        <v>0</v>
      </c>
      <c r="AT39" s="7">
        <f t="shared" ca="1" si="56"/>
        <v>0</v>
      </c>
      <c r="AU39" s="7">
        <f t="shared" ca="1" si="56"/>
        <v>0</v>
      </c>
      <c r="AV39" s="7">
        <f t="shared" ca="1" si="56"/>
        <v>0</v>
      </c>
      <c r="AW39" s="7">
        <f t="shared" ca="1" si="56"/>
        <v>0</v>
      </c>
      <c r="AX39" s="7">
        <f t="shared" ca="1" si="56"/>
        <v>0</v>
      </c>
      <c r="AY39" s="7">
        <f t="shared" ca="1" si="56"/>
        <v>0</v>
      </c>
      <c r="AZ39" s="7">
        <f t="shared" ca="1" si="56"/>
        <v>0</v>
      </c>
      <c r="BA39" s="7">
        <f t="shared" ca="1" si="56"/>
        <v>0</v>
      </c>
      <c r="BB39" s="7">
        <f t="shared" ca="1" si="56"/>
        <v>0</v>
      </c>
      <c r="BC39" s="7">
        <f t="shared" ca="1" si="56"/>
        <v>0</v>
      </c>
      <c r="BD39" s="7">
        <f t="shared" ca="1" si="56"/>
        <v>0</v>
      </c>
      <c r="BE39" s="7">
        <f t="shared" ca="1" si="56"/>
        <v>0</v>
      </c>
      <c r="BF39" s="7">
        <f t="shared" ca="1" si="56"/>
        <v>0</v>
      </c>
      <c r="BG39" s="7">
        <f t="shared" ca="1" si="56"/>
        <v>0</v>
      </c>
      <c r="BH39" s="7">
        <f t="shared" ca="1" si="56"/>
        <v>0</v>
      </c>
      <c r="BI39" s="7">
        <f t="shared" ca="1" si="56"/>
        <v>0</v>
      </c>
      <c r="BJ39" s="7">
        <f t="shared" ca="1" si="56"/>
        <v>0</v>
      </c>
      <c r="BK39" s="7">
        <f t="shared" ca="1" si="56"/>
        <v>0</v>
      </c>
      <c r="BL39" s="7">
        <f t="shared" ca="1" si="56"/>
        <v>0</v>
      </c>
      <c r="BM39" s="7">
        <f t="shared" ca="1" si="56"/>
        <v>0</v>
      </c>
      <c r="BN39" s="7">
        <f t="shared" ca="1" si="56"/>
        <v>0</v>
      </c>
      <c r="BO39" s="7">
        <f t="shared" ca="1" si="56"/>
        <v>0</v>
      </c>
      <c r="BP39" s="7">
        <f t="shared" ca="1" si="56"/>
        <v>0</v>
      </c>
      <c r="BQ39" s="7">
        <f t="shared" ca="1" si="56"/>
        <v>0</v>
      </c>
      <c r="BR39" s="7">
        <f t="shared" ca="1" si="56"/>
        <v>0</v>
      </c>
      <c r="BS39" s="7">
        <f t="shared" ca="1" si="56"/>
        <v>0</v>
      </c>
      <c r="BT39" s="7">
        <f t="shared" ca="1" si="56"/>
        <v>0</v>
      </c>
      <c r="BU39" s="7">
        <f t="shared" ca="1" si="56"/>
        <v>0</v>
      </c>
      <c r="BV39" s="7">
        <f t="shared" ca="1" si="56"/>
        <v>0</v>
      </c>
      <c r="BW39" s="7">
        <f t="shared" ca="1" si="56"/>
        <v>0</v>
      </c>
      <c r="BX39" s="7">
        <f t="shared" ref="BX39:CC39" ca="1" si="57">BW45</f>
        <v>0</v>
      </c>
      <c r="BY39" s="7">
        <f t="shared" ca="1" si="57"/>
        <v>0</v>
      </c>
      <c r="BZ39" s="7">
        <f t="shared" ca="1" si="57"/>
        <v>0</v>
      </c>
      <c r="CA39" s="7">
        <f t="shared" ca="1" si="57"/>
        <v>0</v>
      </c>
      <c r="CB39" s="7">
        <f t="shared" ca="1" si="57"/>
        <v>0</v>
      </c>
      <c r="CC39" s="7">
        <f t="shared" ca="1" si="57"/>
        <v>0</v>
      </c>
      <c r="CD39" s="7">
        <f t="shared" ref="CD39:DY39" ca="1" si="58">CC45</f>
        <v>0</v>
      </c>
      <c r="CE39" s="7">
        <f t="shared" ca="1" si="58"/>
        <v>0</v>
      </c>
      <c r="CF39" s="7">
        <f t="shared" ca="1" si="58"/>
        <v>0</v>
      </c>
      <c r="CG39" s="7">
        <f t="shared" ca="1" si="58"/>
        <v>0</v>
      </c>
      <c r="CH39" s="7">
        <f t="shared" ca="1" si="58"/>
        <v>0</v>
      </c>
      <c r="CI39" s="7">
        <f t="shared" ca="1" si="58"/>
        <v>0</v>
      </c>
      <c r="CJ39" s="7">
        <f t="shared" ca="1" si="58"/>
        <v>0</v>
      </c>
      <c r="CK39" s="7">
        <f t="shared" ca="1" si="58"/>
        <v>0</v>
      </c>
      <c r="CL39" s="7">
        <f t="shared" ca="1" si="58"/>
        <v>0</v>
      </c>
      <c r="CM39" s="7">
        <f t="shared" ca="1" si="58"/>
        <v>0</v>
      </c>
      <c r="CN39" s="7">
        <f t="shared" ca="1" si="58"/>
        <v>0</v>
      </c>
      <c r="CO39" s="7">
        <f t="shared" ca="1" si="58"/>
        <v>0</v>
      </c>
      <c r="CP39" s="7">
        <f t="shared" ca="1" si="58"/>
        <v>0</v>
      </c>
      <c r="CQ39" s="7">
        <f t="shared" ca="1" si="58"/>
        <v>0</v>
      </c>
      <c r="CR39" s="7">
        <f t="shared" ca="1" si="58"/>
        <v>0</v>
      </c>
      <c r="CS39" s="7">
        <f t="shared" ca="1" si="58"/>
        <v>0</v>
      </c>
      <c r="CT39" s="7">
        <f t="shared" ca="1" si="58"/>
        <v>0</v>
      </c>
      <c r="CU39" s="7">
        <f t="shared" ca="1" si="58"/>
        <v>0</v>
      </c>
      <c r="CV39" s="7">
        <f t="shared" ca="1" si="58"/>
        <v>0</v>
      </c>
      <c r="CW39" s="7">
        <f t="shared" ca="1" si="58"/>
        <v>0</v>
      </c>
      <c r="CX39" s="7">
        <f t="shared" ca="1" si="58"/>
        <v>0</v>
      </c>
      <c r="CY39" s="7">
        <f t="shared" ca="1" si="58"/>
        <v>0</v>
      </c>
      <c r="CZ39" s="7">
        <f t="shared" ca="1" si="58"/>
        <v>0</v>
      </c>
      <c r="DA39" s="7">
        <f t="shared" ca="1" si="58"/>
        <v>0</v>
      </c>
      <c r="DB39" s="7">
        <f t="shared" ca="1" si="58"/>
        <v>0</v>
      </c>
      <c r="DC39" s="7">
        <f t="shared" ca="1" si="58"/>
        <v>0</v>
      </c>
      <c r="DD39" s="7">
        <f t="shared" ca="1" si="58"/>
        <v>0</v>
      </c>
      <c r="DE39" s="7">
        <f t="shared" ca="1" si="58"/>
        <v>0</v>
      </c>
      <c r="DF39" s="7">
        <f t="shared" ca="1" si="58"/>
        <v>0</v>
      </c>
      <c r="DG39" s="7">
        <f t="shared" ca="1" si="58"/>
        <v>0</v>
      </c>
      <c r="DH39" s="7">
        <f t="shared" ca="1" si="58"/>
        <v>0</v>
      </c>
      <c r="DI39" s="7">
        <f t="shared" ca="1" si="58"/>
        <v>0</v>
      </c>
      <c r="DJ39" s="7">
        <f t="shared" ca="1" si="58"/>
        <v>0</v>
      </c>
      <c r="DK39" s="7">
        <f t="shared" ca="1" si="58"/>
        <v>0</v>
      </c>
      <c r="DL39" s="7">
        <f t="shared" ca="1" si="58"/>
        <v>0</v>
      </c>
      <c r="DM39" s="7">
        <f t="shared" ca="1" si="58"/>
        <v>0</v>
      </c>
      <c r="DN39" s="7">
        <f t="shared" ca="1" si="58"/>
        <v>0</v>
      </c>
      <c r="DO39" s="7">
        <f t="shared" ca="1" si="58"/>
        <v>0</v>
      </c>
      <c r="DP39" s="7">
        <f t="shared" ca="1" si="58"/>
        <v>0</v>
      </c>
      <c r="DQ39" s="7">
        <f t="shared" ca="1" si="58"/>
        <v>0</v>
      </c>
      <c r="DR39" s="7">
        <f t="shared" ca="1" si="58"/>
        <v>0</v>
      </c>
      <c r="DS39" s="7">
        <f t="shared" ca="1" si="58"/>
        <v>0</v>
      </c>
      <c r="DT39" s="7">
        <f t="shared" ca="1" si="58"/>
        <v>0</v>
      </c>
      <c r="DU39" s="7">
        <f t="shared" ca="1" si="58"/>
        <v>0</v>
      </c>
      <c r="DV39" s="7">
        <f t="shared" ca="1" si="58"/>
        <v>0</v>
      </c>
      <c r="DW39" s="7">
        <f t="shared" ca="1" si="58"/>
        <v>0</v>
      </c>
      <c r="DX39" s="7">
        <f t="shared" ca="1" si="58"/>
        <v>0</v>
      </c>
      <c r="DY39" s="7">
        <f t="shared" ca="1" si="58"/>
        <v>0</v>
      </c>
    </row>
    <row r="40" spans="1:129" outlineLevel="1">
      <c r="C40" s="79" t="s">
        <v>5</v>
      </c>
      <c r="D40" s="55" t="s">
        <v>313</v>
      </c>
      <c r="E40" s="55"/>
      <c r="F40" s="55" t="s">
        <v>264</v>
      </c>
      <c r="G40" s="55"/>
      <c r="H40" s="55"/>
      <c r="I40" s="55"/>
      <c r="J40" s="57">
        <f t="shared" ref="J40:P40" si="59">+J13</f>
        <v>10.199999999999999</v>
      </c>
      <c r="K40" s="57">
        <f t="shared" si="59"/>
        <v>10.404</v>
      </c>
      <c r="L40" s="57">
        <f t="shared" si="59"/>
        <v>10.612080000000001</v>
      </c>
      <c r="M40" s="57">
        <f t="shared" si="59"/>
        <v>10.824321600000001</v>
      </c>
      <c r="N40" s="57">
        <f t="shared" si="59"/>
        <v>11.040808032000001</v>
      </c>
      <c r="O40" s="57">
        <f t="shared" si="59"/>
        <v>11.261624192640001</v>
      </c>
      <c r="P40" s="57">
        <f t="shared" si="59"/>
        <v>11.486856676492801</v>
      </c>
      <c r="Q40" s="57">
        <f t="shared" ref="Q40:AV40" si="60">+Q13</f>
        <v>11.716593810022657</v>
      </c>
      <c r="R40" s="57">
        <f t="shared" si="60"/>
        <v>11.95092568622311</v>
      </c>
      <c r="S40" s="57">
        <f t="shared" si="60"/>
        <v>12.189944199947572</v>
      </c>
      <c r="T40" s="57">
        <f t="shared" si="60"/>
        <v>12.433743083946524</v>
      </c>
      <c r="U40" s="57">
        <f t="shared" si="60"/>
        <v>12.682417945625454</v>
      </c>
      <c r="V40" s="57">
        <f t="shared" si="60"/>
        <v>12.936066304537963</v>
      </c>
      <c r="W40" s="57">
        <f t="shared" si="60"/>
        <v>13.194787630628722</v>
      </c>
      <c r="X40" s="57">
        <f t="shared" si="60"/>
        <v>13.458683383241297</v>
      </c>
      <c r="Y40" s="57">
        <f t="shared" si="60"/>
        <v>13.727857050906124</v>
      </c>
      <c r="Z40" s="57">
        <f t="shared" si="60"/>
        <v>14.002414191924247</v>
      </c>
      <c r="AA40" s="57">
        <f t="shared" si="60"/>
        <v>14.282462475762733</v>
      </c>
      <c r="AB40" s="57">
        <f>+AB13</f>
        <v>14.568111725277987</v>
      </c>
      <c r="AC40" s="57">
        <f t="shared" si="60"/>
        <v>14.859473959783546</v>
      </c>
      <c r="AD40" s="57">
        <f t="shared" si="60"/>
        <v>15.156663438979217</v>
      </c>
      <c r="AE40" s="57">
        <f t="shared" si="60"/>
        <v>15.459796707758802</v>
      </c>
      <c r="AF40" s="57">
        <f t="shared" si="60"/>
        <v>15.768992641913979</v>
      </c>
      <c r="AG40" s="57">
        <f t="shared" si="60"/>
        <v>16.084372494752259</v>
      </c>
      <c r="AH40" s="57">
        <f t="shared" si="60"/>
        <v>16.406059944647303</v>
      </c>
      <c r="AI40" s="57">
        <f t="shared" si="60"/>
        <v>16.734181143540251</v>
      </c>
      <c r="AJ40" s="57">
        <f t="shared" si="60"/>
        <v>17.068864766411057</v>
      </c>
      <c r="AK40" s="57">
        <f t="shared" si="60"/>
        <v>17.410242061739279</v>
      </c>
      <c r="AL40" s="57">
        <f t="shared" si="60"/>
        <v>17.758446902974065</v>
      </c>
      <c r="AM40" s="57">
        <f t="shared" si="60"/>
        <v>18.113615841033546</v>
      </c>
      <c r="AN40" s="57">
        <f t="shared" si="60"/>
        <v>18.475888157854218</v>
      </c>
      <c r="AO40" s="57">
        <f t="shared" si="60"/>
        <v>18.845405921011302</v>
      </c>
      <c r="AP40" s="57">
        <f t="shared" si="60"/>
        <v>19.222314039431527</v>
      </c>
      <c r="AQ40" s="57">
        <f t="shared" si="60"/>
        <v>19.606760320220157</v>
      </c>
      <c r="AR40" s="57">
        <f t="shared" si="60"/>
        <v>19.998895526624562</v>
      </c>
      <c r="AS40" s="57">
        <f t="shared" si="60"/>
        <v>20.398873437157054</v>
      </c>
      <c r="AT40" s="57">
        <f t="shared" si="60"/>
        <v>20.806850905900195</v>
      </c>
      <c r="AU40" s="57">
        <f t="shared" si="60"/>
        <v>21.222987924018199</v>
      </c>
      <c r="AV40" s="57">
        <f t="shared" si="60"/>
        <v>21.647447682498562</v>
      </c>
      <c r="AW40" s="57">
        <f t="shared" ref="AW40:CC40" si="61">+AW13</f>
        <v>22.080396636148535</v>
      </c>
      <c r="AX40" s="57">
        <f t="shared" si="61"/>
        <v>22.522004568871505</v>
      </c>
      <c r="AY40" s="57">
        <f t="shared" si="61"/>
        <v>22.972444660248936</v>
      </c>
      <c r="AZ40" s="57">
        <f t="shared" si="61"/>
        <v>23.431893553453914</v>
      </c>
      <c r="BA40" s="57">
        <f t="shared" si="61"/>
        <v>23.900531424522992</v>
      </c>
      <c r="BB40" s="57">
        <f t="shared" si="61"/>
        <v>24.378542053013451</v>
      </c>
      <c r="BC40" s="57">
        <f t="shared" si="61"/>
        <v>24.866112894073719</v>
      </c>
      <c r="BD40" s="57">
        <f t="shared" si="61"/>
        <v>25.363435151955194</v>
      </c>
      <c r="BE40" s="57">
        <f t="shared" si="61"/>
        <v>25.8707038549943</v>
      </c>
      <c r="BF40" s="57">
        <f t="shared" si="61"/>
        <v>26.388117932094186</v>
      </c>
      <c r="BG40" s="57">
        <f t="shared" si="61"/>
        <v>26.915880290736069</v>
      </c>
      <c r="BH40" s="57">
        <f t="shared" si="61"/>
        <v>27.454197896550792</v>
      </c>
      <c r="BI40" s="57">
        <f t="shared" si="61"/>
        <v>28.003281854481809</v>
      </c>
      <c r="BJ40" s="57">
        <f t="shared" si="61"/>
        <v>28.563347491571445</v>
      </c>
      <c r="BK40" s="57">
        <f t="shared" si="61"/>
        <v>29.134614441402874</v>
      </c>
      <c r="BL40" s="57">
        <f t="shared" si="61"/>
        <v>29.717306730230931</v>
      </c>
      <c r="BM40" s="57">
        <f t="shared" si="61"/>
        <v>30.311652864835551</v>
      </c>
      <c r="BN40" s="57">
        <f t="shared" si="61"/>
        <v>30.917885922132264</v>
      </c>
      <c r="BO40" s="57">
        <f t="shared" si="61"/>
        <v>31.536243640574909</v>
      </c>
      <c r="BP40" s="57">
        <f t="shared" si="61"/>
        <v>32.166968513386408</v>
      </c>
      <c r="BQ40" s="57">
        <f t="shared" si="61"/>
        <v>32.81030788365414</v>
      </c>
      <c r="BR40" s="57">
        <f t="shared" si="61"/>
        <v>32.81030788365414</v>
      </c>
      <c r="BS40" s="57">
        <f t="shared" si="61"/>
        <v>32.81030788365414</v>
      </c>
      <c r="BT40" s="57">
        <f t="shared" si="61"/>
        <v>32.81030788365414</v>
      </c>
      <c r="BU40" s="57">
        <f t="shared" si="61"/>
        <v>32.81030788365414</v>
      </c>
      <c r="BV40" s="57">
        <f t="shared" si="61"/>
        <v>32.81030788365414</v>
      </c>
      <c r="BW40" s="57">
        <f t="shared" si="61"/>
        <v>32.81030788365414</v>
      </c>
      <c r="BX40" s="57">
        <f t="shared" si="61"/>
        <v>32.81030788365414</v>
      </c>
      <c r="BY40" s="57">
        <f t="shared" si="61"/>
        <v>32.81030788365414</v>
      </c>
      <c r="BZ40" s="57">
        <f t="shared" si="61"/>
        <v>32.81030788365414</v>
      </c>
      <c r="CA40" s="57">
        <f t="shared" si="61"/>
        <v>32.81030788365414</v>
      </c>
      <c r="CB40" s="57">
        <f t="shared" si="61"/>
        <v>32.81030788365414</v>
      </c>
      <c r="CC40" s="57">
        <f t="shared" si="61"/>
        <v>32.81030788365414</v>
      </c>
      <c r="CD40" s="57">
        <f t="shared" ref="CD40:DY40" si="62">+CD13</f>
        <v>32.81030788365414</v>
      </c>
      <c r="CE40" s="57">
        <f t="shared" si="62"/>
        <v>32.81030788365414</v>
      </c>
      <c r="CF40" s="57">
        <f t="shared" si="62"/>
        <v>32.81030788365414</v>
      </c>
      <c r="CG40" s="57">
        <f t="shared" si="62"/>
        <v>32.81030788365414</v>
      </c>
      <c r="CH40" s="57">
        <f t="shared" si="62"/>
        <v>32.81030788365414</v>
      </c>
      <c r="CI40" s="57">
        <f t="shared" si="62"/>
        <v>32.81030788365414</v>
      </c>
      <c r="CJ40" s="57">
        <f t="shared" si="62"/>
        <v>32.81030788365414</v>
      </c>
      <c r="CK40" s="57">
        <f t="shared" si="62"/>
        <v>32.81030788365414</v>
      </c>
      <c r="CL40" s="57">
        <f t="shared" si="62"/>
        <v>32.81030788365414</v>
      </c>
      <c r="CM40" s="57">
        <f t="shared" si="62"/>
        <v>32.81030788365414</v>
      </c>
      <c r="CN40" s="57">
        <f t="shared" si="62"/>
        <v>32.81030788365414</v>
      </c>
      <c r="CO40" s="57">
        <f t="shared" si="62"/>
        <v>32.81030788365414</v>
      </c>
      <c r="CP40" s="57">
        <f t="shared" si="62"/>
        <v>32.81030788365414</v>
      </c>
      <c r="CQ40" s="57">
        <f t="shared" si="62"/>
        <v>32.81030788365414</v>
      </c>
      <c r="CR40" s="57">
        <f t="shared" si="62"/>
        <v>32.81030788365414</v>
      </c>
      <c r="CS40" s="57">
        <f t="shared" si="62"/>
        <v>32.81030788365414</v>
      </c>
      <c r="CT40" s="57">
        <f t="shared" si="62"/>
        <v>32.81030788365414</v>
      </c>
      <c r="CU40" s="57">
        <f t="shared" si="62"/>
        <v>32.81030788365414</v>
      </c>
      <c r="CV40" s="57">
        <f t="shared" si="62"/>
        <v>32.81030788365414</v>
      </c>
      <c r="CW40" s="57">
        <f t="shared" si="62"/>
        <v>32.81030788365414</v>
      </c>
      <c r="CX40" s="57">
        <f t="shared" si="62"/>
        <v>32.81030788365414</v>
      </c>
      <c r="CY40" s="57">
        <f t="shared" si="62"/>
        <v>32.81030788365414</v>
      </c>
      <c r="CZ40" s="57">
        <f t="shared" si="62"/>
        <v>32.81030788365414</v>
      </c>
      <c r="DA40" s="57">
        <f t="shared" si="62"/>
        <v>32.81030788365414</v>
      </c>
      <c r="DB40" s="57">
        <f t="shared" si="62"/>
        <v>32.81030788365414</v>
      </c>
      <c r="DC40" s="57">
        <f t="shared" si="62"/>
        <v>32.81030788365414</v>
      </c>
      <c r="DD40" s="57">
        <f t="shared" si="62"/>
        <v>32.81030788365414</v>
      </c>
      <c r="DE40" s="57">
        <f t="shared" si="62"/>
        <v>32.81030788365414</v>
      </c>
      <c r="DF40" s="57">
        <f t="shared" si="62"/>
        <v>32.81030788365414</v>
      </c>
      <c r="DG40" s="57">
        <f t="shared" si="62"/>
        <v>32.81030788365414</v>
      </c>
      <c r="DH40" s="57">
        <f t="shared" si="62"/>
        <v>32.81030788365414</v>
      </c>
      <c r="DI40" s="57">
        <f t="shared" si="62"/>
        <v>32.81030788365414</v>
      </c>
      <c r="DJ40" s="57">
        <f t="shared" si="62"/>
        <v>32.81030788365414</v>
      </c>
      <c r="DK40" s="57">
        <f t="shared" si="62"/>
        <v>32.81030788365414</v>
      </c>
      <c r="DL40" s="57">
        <f t="shared" si="62"/>
        <v>32.81030788365414</v>
      </c>
      <c r="DM40" s="57">
        <f t="shared" si="62"/>
        <v>32.81030788365414</v>
      </c>
      <c r="DN40" s="57">
        <f t="shared" si="62"/>
        <v>32.81030788365414</v>
      </c>
      <c r="DO40" s="57">
        <f t="shared" si="62"/>
        <v>32.81030788365414</v>
      </c>
      <c r="DP40" s="57">
        <f t="shared" si="62"/>
        <v>32.81030788365414</v>
      </c>
      <c r="DQ40" s="57">
        <f t="shared" si="62"/>
        <v>32.81030788365414</v>
      </c>
      <c r="DR40" s="57">
        <f t="shared" si="62"/>
        <v>32.81030788365414</v>
      </c>
      <c r="DS40" s="57">
        <f t="shared" si="62"/>
        <v>32.81030788365414</v>
      </c>
      <c r="DT40" s="57">
        <f t="shared" si="62"/>
        <v>32.81030788365414</v>
      </c>
      <c r="DU40" s="57">
        <f t="shared" si="62"/>
        <v>32.81030788365414</v>
      </c>
      <c r="DV40" s="57">
        <f t="shared" si="62"/>
        <v>32.81030788365414</v>
      </c>
      <c r="DW40" s="57">
        <f t="shared" si="62"/>
        <v>32.81030788365414</v>
      </c>
      <c r="DX40" s="57">
        <f t="shared" si="62"/>
        <v>32.81030788365414</v>
      </c>
      <c r="DY40" s="57">
        <f t="shared" si="62"/>
        <v>32.81030788365414</v>
      </c>
    </row>
    <row r="41" spans="1:129" outlineLevel="1">
      <c r="C41" s="8" t="s">
        <v>5</v>
      </c>
      <c r="D41" s="5" t="s">
        <v>0</v>
      </c>
      <c r="F41" s="5" t="s">
        <v>265</v>
      </c>
      <c r="G41" s="62" t="s">
        <v>642</v>
      </c>
      <c r="J41" s="152">
        <f t="shared" ref="J41:AO41" si="63">+IF(_arpuP1=0,0,J42*_RetentionRate)</f>
        <v>0</v>
      </c>
      <c r="K41" s="152">
        <f t="shared" si="63"/>
        <v>0</v>
      </c>
      <c r="L41" s="152">
        <f t="shared" si="63"/>
        <v>0</v>
      </c>
      <c r="M41" s="152">
        <f t="shared" si="63"/>
        <v>0</v>
      </c>
      <c r="N41" s="152">
        <f t="shared" si="63"/>
        <v>0</v>
      </c>
      <c r="O41" s="152">
        <f t="shared" si="63"/>
        <v>0</v>
      </c>
      <c r="P41" s="152">
        <f t="shared" si="63"/>
        <v>0</v>
      </c>
      <c r="Q41" s="152">
        <f t="shared" si="63"/>
        <v>0</v>
      </c>
      <c r="R41" s="152">
        <f t="shared" si="63"/>
        <v>0</v>
      </c>
      <c r="S41" s="152">
        <f t="shared" si="63"/>
        <v>0</v>
      </c>
      <c r="T41" s="152">
        <f t="shared" si="63"/>
        <v>0</v>
      </c>
      <c r="U41" s="152">
        <f t="shared" si="63"/>
        <v>0</v>
      </c>
      <c r="V41" s="152">
        <f t="shared" si="63"/>
        <v>0</v>
      </c>
      <c r="W41" s="152">
        <f t="shared" si="63"/>
        <v>0</v>
      </c>
      <c r="X41" s="152">
        <f t="shared" si="63"/>
        <v>0</v>
      </c>
      <c r="Y41" s="152">
        <f t="shared" si="63"/>
        <v>0</v>
      </c>
      <c r="Z41" s="152">
        <f t="shared" si="63"/>
        <v>0</v>
      </c>
      <c r="AA41" s="152">
        <f t="shared" si="63"/>
        <v>0</v>
      </c>
      <c r="AB41" s="152">
        <f t="shared" si="63"/>
        <v>0</v>
      </c>
      <c r="AC41" s="152">
        <f t="shared" si="63"/>
        <v>0</v>
      </c>
      <c r="AD41" s="152">
        <f t="shared" si="63"/>
        <v>0</v>
      </c>
      <c r="AE41" s="152">
        <f t="shared" si="63"/>
        <v>0</v>
      </c>
      <c r="AF41" s="152">
        <f t="shared" si="63"/>
        <v>0</v>
      </c>
      <c r="AG41" s="152">
        <f t="shared" si="63"/>
        <v>0</v>
      </c>
      <c r="AH41" s="152">
        <f t="shared" si="63"/>
        <v>0</v>
      </c>
      <c r="AI41" s="152">
        <f t="shared" si="63"/>
        <v>0</v>
      </c>
      <c r="AJ41" s="152">
        <f t="shared" si="63"/>
        <v>0</v>
      </c>
      <c r="AK41" s="152">
        <f t="shared" si="63"/>
        <v>0</v>
      </c>
      <c r="AL41" s="152">
        <f t="shared" si="63"/>
        <v>0</v>
      </c>
      <c r="AM41" s="152">
        <f t="shared" si="63"/>
        <v>0</v>
      </c>
      <c r="AN41" s="152">
        <f t="shared" si="63"/>
        <v>0</v>
      </c>
      <c r="AO41" s="152">
        <f t="shared" si="63"/>
        <v>0</v>
      </c>
      <c r="AP41" s="152">
        <f t="shared" ref="AP41:BU41" si="64">+IF(_arpuP1=0,0,AP42*_RetentionRate)</f>
        <v>0</v>
      </c>
      <c r="AQ41" s="152">
        <f t="shared" si="64"/>
        <v>0</v>
      </c>
      <c r="AR41" s="152">
        <f t="shared" si="64"/>
        <v>0</v>
      </c>
      <c r="AS41" s="152">
        <f t="shared" si="64"/>
        <v>0</v>
      </c>
      <c r="AT41" s="152">
        <f t="shared" si="64"/>
        <v>0</v>
      </c>
      <c r="AU41" s="152">
        <f t="shared" si="64"/>
        <v>0</v>
      </c>
      <c r="AV41" s="152">
        <f t="shared" si="64"/>
        <v>0</v>
      </c>
      <c r="AW41" s="152">
        <f t="shared" si="64"/>
        <v>0</v>
      </c>
      <c r="AX41" s="152">
        <f t="shared" si="64"/>
        <v>0</v>
      </c>
      <c r="AY41" s="152">
        <f t="shared" si="64"/>
        <v>0</v>
      </c>
      <c r="AZ41" s="152">
        <f t="shared" si="64"/>
        <v>0</v>
      </c>
      <c r="BA41" s="152">
        <f t="shared" si="64"/>
        <v>0</v>
      </c>
      <c r="BB41" s="152">
        <f t="shared" si="64"/>
        <v>0</v>
      </c>
      <c r="BC41" s="152">
        <f t="shared" si="64"/>
        <v>0</v>
      </c>
      <c r="BD41" s="152">
        <f t="shared" si="64"/>
        <v>0</v>
      </c>
      <c r="BE41" s="152">
        <f t="shared" si="64"/>
        <v>0</v>
      </c>
      <c r="BF41" s="152">
        <f t="shared" si="64"/>
        <v>0</v>
      </c>
      <c r="BG41" s="152">
        <f t="shared" si="64"/>
        <v>0</v>
      </c>
      <c r="BH41" s="152">
        <f t="shared" si="64"/>
        <v>0</v>
      </c>
      <c r="BI41" s="152">
        <f t="shared" si="64"/>
        <v>0</v>
      </c>
      <c r="BJ41" s="152">
        <f t="shared" si="64"/>
        <v>0</v>
      </c>
      <c r="BK41" s="152">
        <f t="shared" si="64"/>
        <v>0</v>
      </c>
      <c r="BL41" s="152">
        <f t="shared" si="64"/>
        <v>0</v>
      </c>
      <c r="BM41" s="152">
        <f t="shared" si="64"/>
        <v>0</v>
      </c>
      <c r="BN41" s="152">
        <f t="shared" si="64"/>
        <v>0</v>
      </c>
      <c r="BO41" s="152">
        <f t="shared" si="64"/>
        <v>0</v>
      </c>
      <c r="BP41" s="152">
        <f t="shared" si="64"/>
        <v>0</v>
      </c>
      <c r="BQ41" s="152">
        <f t="shared" si="64"/>
        <v>0</v>
      </c>
      <c r="BR41" s="152">
        <f t="shared" si="64"/>
        <v>0</v>
      </c>
      <c r="BS41" s="152">
        <f t="shared" si="64"/>
        <v>0</v>
      </c>
      <c r="BT41" s="152">
        <f t="shared" si="64"/>
        <v>0</v>
      </c>
      <c r="BU41" s="152">
        <f t="shared" si="64"/>
        <v>0</v>
      </c>
      <c r="BV41" s="152">
        <f t="shared" ref="BV41:DA41" si="65">+IF(_arpuP1=0,0,BV42*_RetentionRate)</f>
        <v>0</v>
      </c>
      <c r="BW41" s="152">
        <f t="shared" si="65"/>
        <v>0</v>
      </c>
      <c r="BX41" s="152">
        <f t="shared" si="65"/>
        <v>0</v>
      </c>
      <c r="BY41" s="152">
        <f t="shared" si="65"/>
        <v>0</v>
      </c>
      <c r="BZ41" s="152">
        <f t="shared" si="65"/>
        <v>0</v>
      </c>
      <c r="CA41" s="152">
        <f t="shared" si="65"/>
        <v>0</v>
      </c>
      <c r="CB41" s="152">
        <f t="shared" si="65"/>
        <v>0</v>
      </c>
      <c r="CC41" s="152">
        <f t="shared" si="65"/>
        <v>0</v>
      </c>
      <c r="CD41" s="152">
        <f t="shared" si="65"/>
        <v>0</v>
      </c>
      <c r="CE41" s="152">
        <f t="shared" si="65"/>
        <v>0</v>
      </c>
      <c r="CF41" s="152">
        <f t="shared" si="65"/>
        <v>0</v>
      </c>
      <c r="CG41" s="152">
        <f t="shared" si="65"/>
        <v>0</v>
      </c>
      <c r="CH41" s="152">
        <f t="shared" si="65"/>
        <v>0</v>
      </c>
      <c r="CI41" s="152">
        <f t="shared" si="65"/>
        <v>0</v>
      </c>
      <c r="CJ41" s="152">
        <f t="shared" si="65"/>
        <v>0</v>
      </c>
      <c r="CK41" s="152">
        <f t="shared" si="65"/>
        <v>0</v>
      </c>
      <c r="CL41" s="152">
        <f t="shared" si="65"/>
        <v>0</v>
      </c>
      <c r="CM41" s="152">
        <f t="shared" si="65"/>
        <v>0</v>
      </c>
      <c r="CN41" s="152">
        <f t="shared" si="65"/>
        <v>0</v>
      </c>
      <c r="CO41" s="152">
        <f t="shared" si="65"/>
        <v>0</v>
      </c>
      <c r="CP41" s="152">
        <f t="shared" si="65"/>
        <v>0</v>
      </c>
      <c r="CQ41" s="152">
        <f t="shared" si="65"/>
        <v>0</v>
      </c>
      <c r="CR41" s="152">
        <f t="shared" si="65"/>
        <v>0</v>
      </c>
      <c r="CS41" s="152">
        <f t="shared" si="65"/>
        <v>0</v>
      </c>
      <c r="CT41" s="152">
        <f t="shared" si="65"/>
        <v>0</v>
      </c>
      <c r="CU41" s="152">
        <f t="shared" si="65"/>
        <v>0</v>
      </c>
      <c r="CV41" s="152">
        <f t="shared" si="65"/>
        <v>0</v>
      </c>
      <c r="CW41" s="152">
        <f t="shared" si="65"/>
        <v>0</v>
      </c>
      <c r="CX41" s="152">
        <f t="shared" si="65"/>
        <v>0</v>
      </c>
      <c r="CY41" s="152">
        <f t="shared" si="65"/>
        <v>0</v>
      </c>
      <c r="CZ41" s="152">
        <f t="shared" si="65"/>
        <v>0</v>
      </c>
      <c r="DA41" s="152">
        <f t="shared" si="65"/>
        <v>0</v>
      </c>
      <c r="DB41" s="152">
        <f t="shared" ref="DB41:DY41" si="66">+IF(_arpuP1=0,0,DB42*_RetentionRate)</f>
        <v>0</v>
      </c>
      <c r="DC41" s="152">
        <f t="shared" si="66"/>
        <v>0</v>
      </c>
      <c r="DD41" s="152">
        <f t="shared" si="66"/>
        <v>0</v>
      </c>
      <c r="DE41" s="152">
        <f t="shared" si="66"/>
        <v>0</v>
      </c>
      <c r="DF41" s="152">
        <f t="shared" si="66"/>
        <v>0</v>
      </c>
      <c r="DG41" s="152">
        <f t="shared" si="66"/>
        <v>0</v>
      </c>
      <c r="DH41" s="152">
        <f t="shared" si="66"/>
        <v>0</v>
      </c>
      <c r="DI41" s="152">
        <f t="shared" si="66"/>
        <v>0</v>
      </c>
      <c r="DJ41" s="152">
        <f t="shared" si="66"/>
        <v>0</v>
      </c>
      <c r="DK41" s="152">
        <f t="shared" si="66"/>
        <v>0</v>
      </c>
      <c r="DL41" s="152">
        <f t="shared" si="66"/>
        <v>0</v>
      </c>
      <c r="DM41" s="152">
        <f t="shared" si="66"/>
        <v>0</v>
      </c>
      <c r="DN41" s="152">
        <f t="shared" si="66"/>
        <v>0</v>
      </c>
      <c r="DO41" s="152">
        <f t="shared" si="66"/>
        <v>0</v>
      </c>
      <c r="DP41" s="152">
        <f t="shared" si="66"/>
        <v>0</v>
      </c>
      <c r="DQ41" s="152">
        <f t="shared" si="66"/>
        <v>0</v>
      </c>
      <c r="DR41" s="152">
        <f t="shared" si="66"/>
        <v>0</v>
      </c>
      <c r="DS41" s="152">
        <f t="shared" si="66"/>
        <v>0</v>
      </c>
      <c r="DT41" s="152">
        <f t="shared" si="66"/>
        <v>0</v>
      </c>
      <c r="DU41" s="152">
        <f t="shared" si="66"/>
        <v>0</v>
      </c>
      <c r="DV41" s="152">
        <f t="shared" si="66"/>
        <v>0</v>
      </c>
      <c r="DW41" s="152">
        <f t="shared" si="66"/>
        <v>0</v>
      </c>
      <c r="DX41" s="152">
        <f t="shared" si="66"/>
        <v>0</v>
      </c>
      <c r="DY41" s="152">
        <f t="shared" si="66"/>
        <v>0</v>
      </c>
    </row>
    <row r="42" spans="1:129" outlineLevel="1">
      <c r="C42" s="8" t="s">
        <v>6</v>
      </c>
      <c r="D42" s="5" t="s">
        <v>2</v>
      </c>
      <c r="F42" s="5" t="s">
        <v>266</v>
      </c>
      <c r="G42" s="62" t="s">
        <v>643</v>
      </c>
      <c r="J42" s="176">
        <f t="shared" ref="J42:AO42" ca="1" si="67">+IF(_arpuP1=0,J40,IF(J$3&gt;_NrInstallmentsP1,SUM(OFFSET(J42,-2,-_NrInstallmentsP1),OFFSET(J42,-1,-_NrInstallmentsP1))*(1-_Churn)^_NrInstallmentsP1,0))+IF(J$3-1&lt;_NrInstallmentsP1,$J39/_NrInstallmentsP1*(1-_Churn)^_NrInstallmentsP1,0)</f>
        <v>10.199999999999999</v>
      </c>
      <c r="K42" s="176">
        <f t="shared" ca="1" si="67"/>
        <v>10.404</v>
      </c>
      <c r="L42" s="176">
        <f t="shared" ca="1" si="67"/>
        <v>10.612080000000001</v>
      </c>
      <c r="M42" s="176">
        <f t="shared" ca="1" si="67"/>
        <v>10.824321600000001</v>
      </c>
      <c r="N42" s="176">
        <f t="shared" ca="1" si="67"/>
        <v>11.040808032000001</v>
      </c>
      <c r="O42" s="176">
        <f t="shared" ca="1" si="67"/>
        <v>11.261624192640001</v>
      </c>
      <c r="P42" s="176">
        <f t="shared" ca="1" si="67"/>
        <v>11.486856676492801</v>
      </c>
      <c r="Q42" s="176">
        <f t="shared" ca="1" si="67"/>
        <v>11.716593810022657</v>
      </c>
      <c r="R42" s="176">
        <f t="shared" ca="1" si="67"/>
        <v>11.95092568622311</v>
      </c>
      <c r="S42" s="176">
        <f t="shared" ca="1" si="67"/>
        <v>12.189944199947572</v>
      </c>
      <c r="T42" s="176">
        <f t="shared" ca="1" si="67"/>
        <v>12.433743083946524</v>
      </c>
      <c r="U42" s="176">
        <f t="shared" ca="1" si="67"/>
        <v>12.682417945625454</v>
      </c>
      <c r="V42" s="176">
        <f t="shared" ca="1" si="67"/>
        <v>12.936066304537963</v>
      </c>
      <c r="W42" s="176">
        <f t="shared" ca="1" si="67"/>
        <v>13.194787630628722</v>
      </c>
      <c r="X42" s="176">
        <f t="shared" ca="1" si="67"/>
        <v>13.458683383241297</v>
      </c>
      <c r="Y42" s="176">
        <f t="shared" ca="1" si="67"/>
        <v>13.727857050906124</v>
      </c>
      <c r="Z42" s="176">
        <f t="shared" ca="1" si="67"/>
        <v>14.002414191924247</v>
      </c>
      <c r="AA42" s="176">
        <f t="shared" ca="1" si="67"/>
        <v>14.282462475762733</v>
      </c>
      <c r="AB42" s="176">
        <f t="shared" ca="1" si="67"/>
        <v>14.568111725277987</v>
      </c>
      <c r="AC42" s="176">
        <f t="shared" ca="1" si="67"/>
        <v>14.859473959783546</v>
      </c>
      <c r="AD42" s="176">
        <f t="shared" ca="1" si="67"/>
        <v>15.156663438979217</v>
      </c>
      <c r="AE42" s="176">
        <f t="shared" ca="1" si="67"/>
        <v>15.459796707758802</v>
      </c>
      <c r="AF42" s="176">
        <f t="shared" ca="1" si="67"/>
        <v>15.768992641913979</v>
      </c>
      <c r="AG42" s="176">
        <f t="shared" ca="1" si="67"/>
        <v>16.084372494752259</v>
      </c>
      <c r="AH42" s="176">
        <f t="shared" ca="1" si="67"/>
        <v>16.406059944647303</v>
      </c>
      <c r="AI42" s="176">
        <f t="shared" ca="1" si="67"/>
        <v>16.734181143540251</v>
      </c>
      <c r="AJ42" s="176">
        <f t="shared" ca="1" si="67"/>
        <v>17.068864766411057</v>
      </c>
      <c r="AK42" s="176">
        <f t="shared" ca="1" si="67"/>
        <v>17.410242061739279</v>
      </c>
      <c r="AL42" s="176">
        <f t="shared" ca="1" si="67"/>
        <v>17.758446902974065</v>
      </c>
      <c r="AM42" s="176">
        <f t="shared" ca="1" si="67"/>
        <v>18.113615841033546</v>
      </c>
      <c r="AN42" s="176">
        <f t="shared" ca="1" si="67"/>
        <v>18.475888157854218</v>
      </c>
      <c r="AO42" s="176">
        <f t="shared" ca="1" si="67"/>
        <v>18.845405921011302</v>
      </c>
      <c r="AP42" s="176">
        <f t="shared" ref="AP42:BU42" ca="1" si="68">+IF(_arpuP1=0,AP40,IF(AP$3&gt;_NrInstallmentsP1,SUM(OFFSET(AP42,-2,-_NrInstallmentsP1),OFFSET(AP42,-1,-_NrInstallmentsP1))*(1-_Churn)^_NrInstallmentsP1,0))+IF(AP$3-1&lt;_NrInstallmentsP1,$J39/_NrInstallmentsP1*(1-_Churn)^_NrInstallmentsP1,0)</f>
        <v>19.222314039431527</v>
      </c>
      <c r="AQ42" s="176">
        <f t="shared" ca="1" si="68"/>
        <v>19.606760320220157</v>
      </c>
      <c r="AR42" s="176">
        <f t="shared" ca="1" si="68"/>
        <v>19.998895526624562</v>
      </c>
      <c r="AS42" s="176">
        <f t="shared" ca="1" si="68"/>
        <v>20.398873437157054</v>
      </c>
      <c r="AT42" s="176">
        <f t="shared" ca="1" si="68"/>
        <v>20.806850905900195</v>
      </c>
      <c r="AU42" s="176">
        <f t="shared" ca="1" si="68"/>
        <v>21.222987924018199</v>
      </c>
      <c r="AV42" s="176">
        <f t="shared" ca="1" si="68"/>
        <v>21.647447682498562</v>
      </c>
      <c r="AW42" s="176">
        <f t="shared" ca="1" si="68"/>
        <v>22.080396636148535</v>
      </c>
      <c r="AX42" s="176">
        <f t="shared" ca="1" si="68"/>
        <v>22.522004568871505</v>
      </c>
      <c r="AY42" s="176">
        <f t="shared" ca="1" si="68"/>
        <v>22.972444660248936</v>
      </c>
      <c r="AZ42" s="176">
        <f t="shared" ca="1" si="68"/>
        <v>23.431893553453914</v>
      </c>
      <c r="BA42" s="176">
        <f t="shared" ca="1" si="68"/>
        <v>23.900531424522992</v>
      </c>
      <c r="BB42" s="176">
        <f t="shared" ca="1" si="68"/>
        <v>24.378542053013451</v>
      </c>
      <c r="BC42" s="176">
        <f t="shared" ca="1" si="68"/>
        <v>24.866112894073719</v>
      </c>
      <c r="BD42" s="176">
        <f t="shared" ca="1" si="68"/>
        <v>25.363435151955194</v>
      </c>
      <c r="BE42" s="176">
        <f t="shared" ca="1" si="68"/>
        <v>25.8707038549943</v>
      </c>
      <c r="BF42" s="176">
        <f t="shared" ca="1" si="68"/>
        <v>26.388117932094186</v>
      </c>
      <c r="BG42" s="176">
        <f t="shared" ca="1" si="68"/>
        <v>26.915880290736069</v>
      </c>
      <c r="BH42" s="176">
        <f t="shared" ca="1" si="68"/>
        <v>27.454197896550792</v>
      </c>
      <c r="BI42" s="176">
        <f t="shared" ca="1" si="68"/>
        <v>28.003281854481809</v>
      </c>
      <c r="BJ42" s="176">
        <f t="shared" ca="1" si="68"/>
        <v>28.563347491571445</v>
      </c>
      <c r="BK42" s="176">
        <f t="shared" ca="1" si="68"/>
        <v>29.134614441402874</v>
      </c>
      <c r="BL42" s="176">
        <f t="shared" ca="1" si="68"/>
        <v>29.717306730230931</v>
      </c>
      <c r="BM42" s="176">
        <f t="shared" ca="1" si="68"/>
        <v>30.311652864835551</v>
      </c>
      <c r="BN42" s="176">
        <f t="shared" ca="1" si="68"/>
        <v>30.917885922132264</v>
      </c>
      <c r="BO42" s="176">
        <f t="shared" ca="1" si="68"/>
        <v>31.536243640574909</v>
      </c>
      <c r="BP42" s="176">
        <f t="shared" ca="1" si="68"/>
        <v>32.166968513386408</v>
      </c>
      <c r="BQ42" s="176">
        <f t="shared" ca="1" si="68"/>
        <v>32.81030788365414</v>
      </c>
      <c r="BR42" s="176">
        <f t="shared" ca="1" si="68"/>
        <v>32.81030788365414</v>
      </c>
      <c r="BS42" s="176">
        <f t="shared" ca="1" si="68"/>
        <v>32.81030788365414</v>
      </c>
      <c r="BT42" s="176">
        <f t="shared" ca="1" si="68"/>
        <v>32.81030788365414</v>
      </c>
      <c r="BU42" s="176">
        <f t="shared" ca="1" si="68"/>
        <v>32.81030788365414</v>
      </c>
      <c r="BV42" s="176">
        <f t="shared" ref="BV42:DA42" ca="1" si="69">+IF(_arpuP1=0,BV40,IF(BV$3&gt;_NrInstallmentsP1,SUM(OFFSET(BV42,-2,-_NrInstallmentsP1),OFFSET(BV42,-1,-_NrInstallmentsP1))*(1-_Churn)^_NrInstallmentsP1,0))+IF(BV$3-1&lt;_NrInstallmentsP1,$J39/_NrInstallmentsP1*(1-_Churn)^_NrInstallmentsP1,0)</f>
        <v>32.81030788365414</v>
      </c>
      <c r="BW42" s="176">
        <f t="shared" ca="1" si="69"/>
        <v>32.81030788365414</v>
      </c>
      <c r="BX42" s="176">
        <f t="shared" ca="1" si="69"/>
        <v>32.81030788365414</v>
      </c>
      <c r="BY42" s="176">
        <f t="shared" ca="1" si="69"/>
        <v>32.81030788365414</v>
      </c>
      <c r="BZ42" s="176">
        <f t="shared" ca="1" si="69"/>
        <v>32.81030788365414</v>
      </c>
      <c r="CA42" s="176">
        <f t="shared" ca="1" si="69"/>
        <v>32.81030788365414</v>
      </c>
      <c r="CB42" s="176">
        <f t="shared" ca="1" si="69"/>
        <v>32.81030788365414</v>
      </c>
      <c r="CC42" s="176">
        <f t="shared" ca="1" si="69"/>
        <v>32.81030788365414</v>
      </c>
      <c r="CD42" s="176">
        <f t="shared" ca="1" si="69"/>
        <v>32.81030788365414</v>
      </c>
      <c r="CE42" s="176">
        <f t="shared" ca="1" si="69"/>
        <v>32.81030788365414</v>
      </c>
      <c r="CF42" s="176">
        <f t="shared" ca="1" si="69"/>
        <v>32.81030788365414</v>
      </c>
      <c r="CG42" s="176">
        <f t="shared" ca="1" si="69"/>
        <v>32.81030788365414</v>
      </c>
      <c r="CH42" s="176">
        <f t="shared" ca="1" si="69"/>
        <v>32.81030788365414</v>
      </c>
      <c r="CI42" s="176">
        <f t="shared" ca="1" si="69"/>
        <v>32.81030788365414</v>
      </c>
      <c r="CJ42" s="176">
        <f t="shared" ca="1" si="69"/>
        <v>32.81030788365414</v>
      </c>
      <c r="CK42" s="176">
        <f t="shared" ca="1" si="69"/>
        <v>32.81030788365414</v>
      </c>
      <c r="CL42" s="176">
        <f t="shared" ca="1" si="69"/>
        <v>32.81030788365414</v>
      </c>
      <c r="CM42" s="176">
        <f t="shared" ca="1" si="69"/>
        <v>32.81030788365414</v>
      </c>
      <c r="CN42" s="176">
        <f t="shared" ca="1" si="69"/>
        <v>32.81030788365414</v>
      </c>
      <c r="CO42" s="176">
        <f t="shared" ca="1" si="69"/>
        <v>32.81030788365414</v>
      </c>
      <c r="CP42" s="176">
        <f t="shared" ca="1" si="69"/>
        <v>32.81030788365414</v>
      </c>
      <c r="CQ42" s="176">
        <f t="shared" ca="1" si="69"/>
        <v>32.81030788365414</v>
      </c>
      <c r="CR42" s="176">
        <f t="shared" ca="1" si="69"/>
        <v>32.81030788365414</v>
      </c>
      <c r="CS42" s="176">
        <f t="shared" ca="1" si="69"/>
        <v>32.81030788365414</v>
      </c>
      <c r="CT42" s="176">
        <f t="shared" ca="1" si="69"/>
        <v>32.81030788365414</v>
      </c>
      <c r="CU42" s="176">
        <f t="shared" ca="1" si="69"/>
        <v>32.81030788365414</v>
      </c>
      <c r="CV42" s="176">
        <f t="shared" ca="1" si="69"/>
        <v>32.81030788365414</v>
      </c>
      <c r="CW42" s="176">
        <f t="shared" ca="1" si="69"/>
        <v>32.81030788365414</v>
      </c>
      <c r="CX42" s="176">
        <f t="shared" ca="1" si="69"/>
        <v>32.81030788365414</v>
      </c>
      <c r="CY42" s="176">
        <f t="shared" ca="1" si="69"/>
        <v>32.81030788365414</v>
      </c>
      <c r="CZ42" s="176">
        <f t="shared" ca="1" si="69"/>
        <v>32.81030788365414</v>
      </c>
      <c r="DA42" s="176">
        <f t="shared" ca="1" si="69"/>
        <v>32.81030788365414</v>
      </c>
      <c r="DB42" s="176">
        <f t="shared" ref="DB42:DY42" ca="1" si="70">+IF(_arpuP1=0,DB40,IF(DB$3&gt;_NrInstallmentsP1,SUM(OFFSET(DB42,-2,-_NrInstallmentsP1),OFFSET(DB42,-1,-_NrInstallmentsP1))*(1-_Churn)^_NrInstallmentsP1,0))+IF(DB$3-1&lt;_NrInstallmentsP1,$J39/_NrInstallmentsP1*(1-_Churn)^_NrInstallmentsP1,0)</f>
        <v>32.81030788365414</v>
      </c>
      <c r="DC42" s="176">
        <f t="shared" ca="1" si="70"/>
        <v>32.81030788365414</v>
      </c>
      <c r="DD42" s="176">
        <f t="shared" ca="1" si="70"/>
        <v>32.81030788365414</v>
      </c>
      <c r="DE42" s="176">
        <f t="shared" ca="1" si="70"/>
        <v>32.81030788365414</v>
      </c>
      <c r="DF42" s="176">
        <f t="shared" ca="1" si="70"/>
        <v>32.81030788365414</v>
      </c>
      <c r="DG42" s="176">
        <f t="shared" ca="1" si="70"/>
        <v>32.81030788365414</v>
      </c>
      <c r="DH42" s="176">
        <f t="shared" ca="1" si="70"/>
        <v>32.81030788365414</v>
      </c>
      <c r="DI42" s="176">
        <f t="shared" ca="1" si="70"/>
        <v>32.81030788365414</v>
      </c>
      <c r="DJ42" s="176">
        <f t="shared" ca="1" si="70"/>
        <v>32.81030788365414</v>
      </c>
      <c r="DK42" s="176">
        <f t="shared" ca="1" si="70"/>
        <v>32.81030788365414</v>
      </c>
      <c r="DL42" s="176">
        <f t="shared" ca="1" si="70"/>
        <v>32.81030788365414</v>
      </c>
      <c r="DM42" s="176">
        <f t="shared" ca="1" si="70"/>
        <v>32.81030788365414</v>
      </c>
      <c r="DN42" s="176">
        <f t="shared" ca="1" si="70"/>
        <v>32.81030788365414</v>
      </c>
      <c r="DO42" s="176">
        <f t="shared" ca="1" si="70"/>
        <v>32.81030788365414</v>
      </c>
      <c r="DP42" s="176">
        <f t="shared" ca="1" si="70"/>
        <v>32.81030788365414</v>
      </c>
      <c r="DQ42" s="176">
        <f t="shared" ca="1" si="70"/>
        <v>32.81030788365414</v>
      </c>
      <c r="DR42" s="176">
        <f t="shared" ca="1" si="70"/>
        <v>32.81030788365414</v>
      </c>
      <c r="DS42" s="176">
        <f t="shared" ca="1" si="70"/>
        <v>32.81030788365414</v>
      </c>
      <c r="DT42" s="176">
        <f t="shared" ca="1" si="70"/>
        <v>32.81030788365414</v>
      </c>
      <c r="DU42" s="176">
        <f t="shared" ca="1" si="70"/>
        <v>32.81030788365414</v>
      </c>
      <c r="DV42" s="176">
        <f t="shared" ca="1" si="70"/>
        <v>32.81030788365414</v>
      </c>
      <c r="DW42" s="176">
        <f t="shared" ca="1" si="70"/>
        <v>32.81030788365414</v>
      </c>
      <c r="DX42" s="176">
        <f t="shared" ca="1" si="70"/>
        <v>32.81030788365414</v>
      </c>
      <c r="DY42" s="176">
        <f t="shared" ca="1" si="70"/>
        <v>32.81030788365414</v>
      </c>
    </row>
    <row r="43" spans="1:129" outlineLevel="1">
      <c r="C43" s="8" t="s">
        <v>6</v>
      </c>
      <c r="D43" s="5" t="s">
        <v>3</v>
      </c>
      <c r="F43" s="5" t="s">
        <v>267</v>
      </c>
      <c r="J43" s="7">
        <f>IF(_arpuP1=0,0,_p.repossessed*I$45)</f>
        <v>0</v>
      </c>
      <c r="K43" s="546">
        <f>IF(_arpuP1=0,0,_p.repossessed*J$45)</f>
        <v>0</v>
      </c>
      <c r="L43" s="7">
        <f t="shared" ref="L43:AO43" si="71">IF(_arpuP1=0,0,_p.repossessed*K$45)</f>
        <v>0</v>
      </c>
      <c r="M43" s="7">
        <f t="shared" si="71"/>
        <v>0</v>
      </c>
      <c r="N43" s="7">
        <f t="shared" si="71"/>
        <v>0</v>
      </c>
      <c r="O43" s="7">
        <f t="shared" si="71"/>
        <v>0</v>
      </c>
      <c r="P43" s="7">
        <f t="shared" si="71"/>
        <v>0</v>
      </c>
      <c r="Q43" s="7">
        <f t="shared" si="71"/>
        <v>0</v>
      </c>
      <c r="R43" s="7">
        <f t="shared" si="71"/>
        <v>0</v>
      </c>
      <c r="S43" s="7">
        <f t="shared" si="71"/>
        <v>0</v>
      </c>
      <c r="T43" s="7">
        <f t="shared" si="71"/>
        <v>0</v>
      </c>
      <c r="U43" s="7">
        <f t="shared" si="71"/>
        <v>0</v>
      </c>
      <c r="V43" s="7">
        <f t="shared" si="71"/>
        <v>0</v>
      </c>
      <c r="W43" s="7">
        <f t="shared" si="71"/>
        <v>0</v>
      </c>
      <c r="X43" s="7">
        <f t="shared" si="71"/>
        <v>0</v>
      </c>
      <c r="Y43" s="7">
        <f t="shared" si="71"/>
        <v>0</v>
      </c>
      <c r="Z43" s="7">
        <f t="shared" si="71"/>
        <v>0</v>
      </c>
      <c r="AA43" s="7">
        <f t="shared" si="71"/>
        <v>0</v>
      </c>
      <c r="AB43" s="7">
        <f t="shared" si="71"/>
        <v>0</v>
      </c>
      <c r="AC43" s="7">
        <f t="shared" si="71"/>
        <v>0</v>
      </c>
      <c r="AD43" s="7">
        <f t="shared" si="71"/>
        <v>0</v>
      </c>
      <c r="AE43" s="7">
        <f t="shared" si="71"/>
        <v>0</v>
      </c>
      <c r="AF43" s="7">
        <f t="shared" si="71"/>
        <v>0</v>
      </c>
      <c r="AG43" s="7">
        <f t="shared" si="71"/>
        <v>0</v>
      </c>
      <c r="AH43" s="7">
        <f t="shared" si="71"/>
        <v>0</v>
      </c>
      <c r="AI43" s="7">
        <f t="shared" si="71"/>
        <v>0</v>
      </c>
      <c r="AJ43" s="7">
        <f t="shared" si="71"/>
        <v>0</v>
      </c>
      <c r="AK43" s="7">
        <f t="shared" si="71"/>
        <v>0</v>
      </c>
      <c r="AL43" s="7">
        <f t="shared" si="71"/>
        <v>0</v>
      </c>
      <c r="AM43" s="7">
        <f t="shared" si="71"/>
        <v>0</v>
      </c>
      <c r="AN43" s="7">
        <f t="shared" si="71"/>
        <v>0</v>
      </c>
      <c r="AO43" s="7">
        <f t="shared" si="71"/>
        <v>0</v>
      </c>
      <c r="AP43" s="7">
        <f t="shared" ref="AP43:BU43" si="72">IF(_arpuP1=0,0,_p.repossessed*AO$45)</f>
        <v>0</v>
      </c>
      <c r="AQ43" s="7">
        <f t="shared" si="72"/>
        <v>0</v>
      </c>
      <c r="AR43" s="7">
        <f t="shared" si="72"/>
        <v>0</v>
      </c>
      <c r="AS43" s="7">
        <f t="shared" si="72"/>
        <v>0</v>
      </c>
      <c r="AT43" s="7">
        <f t="shared" si="72"/>
        <v>0</v>
      </c>
      <c r="AU43" s="7">
        <f t="shared" si="72"/>
        <v>0</v>
      </c>
      <c r="AV43" s="7">
        <f t="shared" si="72"/>
        <v>0</v>
      </c>
      <c r="AW43" s="7">
        <f t="shared" si="72"/>
        <v>0</v>
      </c>
      <c r="AX43" s="7">
        <f t="shared" si="72"/>
        <v>0</v>
      </c>
      <c r="AY43" s="7">
        <f t="shared" si="72"/>
        <v>0</v>
      </c>
      <c r="AZ43" s="7">
        <f t="shared" si="72"/>
        <v>0</v>
      </c>
      <c r="BA43" s="7">
        <f t="shared" si="72"/>
        <v>0</v>
      </c>
      <c r="BB43" s="7">
        <f t="shared" si="72"/>
        <v>0</v>
      </c>
      <c r="BC43" s="7">
        <f t="shared" si="72"/>
        <v>0</v>
      </c>
      <c r="BD43" s="7">
        <f t="shared" si="72"/>
        <v>0</v>
      </c>
      <c r="BE43" s="7">
        <f t="shared" si="72"/>
        <v>0</v>
      </c>
      <c r="BF43" s="7">
        <f t="shared" si="72"/>
        <v>0</v>
      </c>
      <c r="BG43" s="7">
        <f t="shared" si="72"/>
        <v>0</v>
      </c>
      <c r="BH43" s="7">
        <f t="shared" si="72"/>
        <v>0</v>
      </c>
      <c r="BI43" s="7">
        <f t="shared" si="72"/>
        <v>0</v>
      </c>
      <c r="BJ43" s="7">
        <f t="shared" si="72"/>
        <v>0</v>
      </c>
      <c r="BK43" s="7">
        <f t="shared" si="72"/>
        <v>0</v>
      </c>
      <c r="BL43" s="7">
        <f t="shared" si="72"/>
        <v>0</v>
      </c>
      <c r="BM43" s="7">
        <f t="shared" si="72"/>
        <v>0</v>
      </c>
      <c r="BN43" s="7">
        <f t="shared" si="72"/>
        <v>0</v>
      </c>
      <c r="BO43" s="7">
        <f t="shared" si="72"/>
        <v>0</v>
      </c>
      <c r="BP43" s="7">
        <f t="shared" si="72"/>
        <v>0</v>
      </c>
      <c r="BQ43" s="7">
        <f t="shared" si="72"/>
        <v>0</v>
      </c>
      <c r="BR43" s="7">
        <f t="shared" si="72"/>
        <v>0</v>
      </c>
      <c r="BS43" s="7">
        <f t="shared" si="72"/>
        <v>0</v>
      </c>
      <c r="BT43" s="7">
        <f t="shared" si="72"/>
        <v>0</v>
      </c>
      <c r="BU43" s="7">
        <f t="shared" si="72"/>
        <v>0</v>
      </c>
      <c r="BV43" s="7">
        <f t="shared" ref="BV43:CC43" si="73">IF(_arpuP1=0,0,_p.repossessed*BU$45)</f>
        <v>0</v>
      </c>
      <c r="BW43" s="7">
        <f t="shared" si="73"/>
        <v>0</v>
      </c>
      <c r="BX43" s="7">
        <f t="shared" si="73"/>
        <v>0</v>
      </c>
      <c r="BY43" s="7">
        <f t="shared" si="73"/>
        <v>0</v>
      </c>
      <c r="BZ43" s="7">
        <f t="shared" si="73"/>
        <v>0</v>
      </c>
      <c r="CA43" s="7">
        <f t="shared" si="73"/>
        <v>0</v>
      </c>
      <c r="CB43" s="7">
        <f t="shared" si="73"/>
        <v>0</v>
      </c>
      <c r="CC43" s="7">
        <f t="shared" si="73"/>
        <v>0</v>
      </c>
      <c r="CD43" s="7">
        <f t="shared" ref="CD43:DY43" si="74">IF(_arpuP1=0,0,_p.repossessed*CC$45)</f>
        <v>0</v>
      </c>
      <c r="CE43" s="7">
        <f t="shared" si="74"/>
        <v>0</v>
      </c>
      <c r="CF43" s="7">
        <f t="shared" si="74"/>
        <v>0</v>
      </c>
      <c r="CG43" s="7">
        <f t="shared" si="74"/>
        <v>0</v>
      </c>
      <c r="CH43" s="7">
        <f t="shared" si="74"/>
        <v>0</v>
      </c>
      <c r="CI43" s="7">
        <f t="shared" si="74"/>
        <v>0</v>
      </c>
      <c r="CJ43" s="7">
        <f t="shared" si="74"/>
        <v>0</v>
      </c>
      <c r="CK43" s="7">
        <f t="shared" si="74"/>
        <v>0</v>
      </c>
      <c r="CL43" s="7">
        <f t="shared" si="74"/>
        <v>0</v>
      </c>
      <c r="CM43" s="7">
        <f t="shared" si="74"/>
        <v>0</v>
      </c>
      <c r="CN43" s="7">
        <f t="shared" si="74"/>
        <v>0</v>
      </c>
      <c r="CO43" s="7">
        <f t="shared" si="74"/>
        <v>0</v>
      </c>
      <c r="CP43" s="7">
        <f t="shared" si="74"/>
        <v>0</v>
      </c>
      <c r="CQ43" s="7">
        <f t="shared" si="74"/>
        <v>0</v>
      </c>
      <c r="CR43" s="7">
        <f t="shared" si="74"/>
        <v>0</v>
      </c>
      <c r="CS43" s="7">
        <f t="shared" si="74"/>
        <v>0</v>
      </c>
      <c r="CT43" s="7">
        <f t="shared" si="74"/>
        <v>0</v>
      </c>
      <c r="CU43" s="7">
        <f t="shared" si="74"/>
        <v>0</v>
      </c>
      <c r="CV43" s="7">
        <f t="shared" si="74"/>
        <v>0</v>
      </c>
      <c r="CW43" s="7">
        <f t="shared" si="74"/>
        <v>0</v>
      </c>
      <c r="CX43" s="7">
        <f t="shared" si="74"/>
        <v>0</v>
      </c>
      <c r="CY43" s="7">
        <f t="shared" si="74"/>
        <v>0</v>
      </c>
      <c r="CZ43" s="7">
        <f t="shared" si="74"/>
        <v>0</v>
      </c>
      <c r="DA43" s="7">
        <f t="shared" si="74"/>
        <v>0</v>
      </c>
      <c r="DB43" s="7">
        <f t="shared" si="74"/>
        <v>0</v>
      </c>
      <c r="DC43" s="7">
        <f t="shared" si="74"/>
        <v>0</v>
      </c>
      <c r="DD43" s="7">
        <f t="shared" si="74"/>
        <v>0</v>
      </c>
      <c r="DE43" s="7">
        <f t="shared" si="74"/>
        <v>0</v>
      </c>
      <c r="DF43" s="7">
        <f t="shared" si="74"/>
        <v>0</v>
      </c>
      <c r="DG43" s="7">
        <f t="shared" si="74"/>
        <v>0</v>
      </c>
      <c r="DH43" s="7">
        <f t="shared" si="74"/>
        <v>0</v>
      </c>
      <c r="DI43" s="7">
        <f t="shared" si="74"/>
        <v>0</v>
      </c>
      <c r="DJ43" s="7">
        <f t="shared" si="74"/>
        <v>0</v>
      </c>
      <c r="DK43" s="7">
        <f t="shared" si="74"/>
        <v>0</v>
      </c>
      <c r="DL43" s="7">
        <f t="shared" si="74"/>
        <v>0</v>
      </c>
      <c r="DM43" s="7">
        <f t="shared" si="74"/>
        <v>0</v>
      </c>
      <c r="DN43" s="7">
        <f t="shared" si="74"/>
        <v>0</v>
      </c>
      <c r="DO43" s="7">
        <f t="shared" si="74"/>
        <v>0</v>
      </c>
      <c r="DP43" s="7">
        <f t="shared" si="74"/>
        <v>0</v>
      </c>
      <c r="DQ43" s="7">
        <f t="shared" si="74"/>
        <v>0</v>
      </c>
      <c r="DR43" s="7">
        <f t="shared" si="74"/>
        <v>0</v>
      </c>
      <c r="DS43" s="7">
        <f t="shared" si="74"/>
        <v>0</v>
      </c>
      <c r="DT43" s="7">
        <f t="shared" si="74"/>
        <v>0</v>
      </c>
      <c r="DU43" s="7">
        <f t="shared" si="74"/>
        <v>0</v>
      </c>
      <c r="DV43" s="7">
        <f t="shared" si="74"/>
        <v>0</v>
      </c>
      <c r="DW43" s="7">
        <f t="shared" si="74"/>
        <v>0</v>
      </c>
      <c r="DX43" s="7">
        <f t="shared" si="74"/>
        <v>0</v>
      </c>
      <c r="DY43" s="7">
        <f t="shared" si="74"/>
        <v>0</v>
      </c>
    </row>
    <row r="44" spans="1:129" outlineLevel="1">
      <c r="C44" s="8" t="s">
        <v>6</v>
      </c>
      <c r="D44" s="5" t="s">
        <v>1</v>
      </c>
      <c r="F44" s="5" t="s">
        <v>268</v>
      </c>
      <c r="G44" s="120"/>
      <c r="J44" s="31">
        <f>IF(_arpuP1=0,0,_p.lost*I$45)</f>
        <v>0</v>
      </c>
      <c r="K44" s="547">
        <f>IF(_arpuP1=0,0,_p.lost*J$45)</f>
        <v>0</v>
      </c>
      <c r="L44" s="31">
        <f t="shared" ref="L44:AO44" si="75">IF(_arpuP1=0,0,_p.lost*K$45)</f>
        <v>0</v>
      </c>
      <c r="M44" s="31">
        <f t="shared" si="75"/>
        <v>0</v>
      </c>
      <c r="N44" s="31">
        <f t="shared" si="75"/>
        <v>0</v>
      </c>
      <c r="O44" s="31">
        <f t="shared" si="75"/>
        <v>0</v>
      </c>
      <c r="P44" s="31">
        <f t="shared" si="75"/>
        <v>0</v>
      </c>
      <c r="Q44" s="31">
        <f t="shared" si="75"/>
        <v>0</v>
      </c>
      <c r="R44" s="31">
        <f t="shared" si="75"/>
        <v>0</v>
      </c>
      <c r="S44" s="31">
        <f t="shared" si="75"/>
        <v>0</v>
      </c>
      <c r="T44" s="31">
        <f t="shared" si="75"/>
        <v>0</v>
      </c>
      <c r="U44" s="31">
        <f t="shared" si="75"/>
        <v>0</v>
      </c>
      <c r="V44" s="31">
        <f t="shared" si="75"/>
        <v>0</v>
      </c>
      <c r="W44" s="31">
        <f t="shared" si="75"/>
        <v>0</v>
      </c>
      <c r="X44" s="31">
        <f t="shared" si="75"/>
        <v>0</v>
      </c>
      <c r="Y44" s="31">
        <f t="shared" si="75"/>
        <v>0</v>
      </c>
      <c r="Z44" s="31">
        <f t="shared" si="75"/>
        <v>0</v>
      </c>
      <c r="AA44" s="31">
        <f t="shared" si="75"/>
        <v>0</v>
      </c>
      <c r="AB44" s="31">
        <f t="shared" si="75"/>
        <v>0</v>
      </c>
      <c r="AC44" s="31">
        <f t="shared" si="75"/>
        <v>0</v>
      </c>
      <c r="AD44" s="31">
        <f t="shared" si="75"/>
        <v>0</v>
      </c>
      <c r="AE44" s="31">
        <f t="shared" si="75"/>
        <v>0</v>
      </c>
      <c r="AF44" s="31">
        <f t="shared" si="75"/>
        <v>0</v>
      </c>
      <c r="AG44" s="31">
        <f t="shared" si="75"/>
        <v>0</v>
      </c>
      <c r="AH44" s="31">
        <f t="shared" si="75"/>
        <v>0</v>
      </c>
      <c r="AI44" s="31">
        <f t="shared" si="75"/>
        <v>0</v>
      </c>
      <c r="AJ44" s="31">
        <f t="shared" si="75"/>
        <v>0</v>
      </c>
      <c r="AK44" s="31">
        <f t="shared" si="75"/>
        <v>0</v>
      </c>
      <c r="AL44" s="31">
        <f t="shared" si="75"/>
        <v>0</v>
      </c>
      <c r="AM44" s="31">
        <f t="shared" si="75"/>
        <v>0</v>
      </c>
      <c r="AN44" s="31">
        <f t="shared" si="75"/>
        <v>0</v>
      </c>
      <c r="AO44" s="31">
        <f t="shared" si="75"/>
        <v>0</v>
      </c>
      <c r="AP44" s="31">
        <f t="shared" ref="AP44:BU44" si="76">IF(_arpuP1=0,0,_p.lost*AO$45)</f>
        <v>0</v>
      </c>
      <c r="AQ44" s="31">
        <f t="shared" si="76"/>
        <v>0</v>
      </c>
      <c r="AR44" s="31">
        <f t="shared" si="76"/>
        <v>0</v>
      </c>
      <c r="AS44" s="31">
        <f t="shared" si="76"/>
        <v>0</v>
      </c>
      <c r="AT44" s="31">
        <f t="shared" si="76"/>
        <v>0</v>
      </c>
      <c r="AU44" s="31">
        <f t="shared" si="76"/>
        <v>0</v>
      </c>
      <c r="AV44" s="31">
        <f t="shared" si="76"/>
        <v>0</v>
      </c>
      <c r="AW44" s="31">
        <f t="shared" si="76"/>
        <v>0</v>
      </c>
      <c r="AX44" s="31">
        <f t="shared" si="76"/>
        <v>0</v>
      </c>
      <c r="AY44" s="31">
        <f t="shared" si="76"/>
        <v>0</v>
      </c>
      <c r="AZ44" s="31">
        <f t="shared" si="76"/>
        <v>0</v>
      </c>
      <c r="BA44" s="31">
        <f t="shared" si="76"/>
        <v>0</v>
      </c>
      <c r="BB44" s="31">
        <f t="shared" si="76"/>
        <v>0</v>
      </c>
      <c r="BC44" s="31">
        <f t="shared" si="76"/>
        <v>0</v>
      </c>
      <c r="BD44" s="31">
        <f t="shared" si="76"/>
        <v>0</v>
      </c>
      <c r="BE44" s="31">
        <f t="shared" si="76"/>
        <v>0</v>
      </c>
      <c r="BF44" s="31">
        <f t="shared" si="76"/>
        <v>0</v>
      </c>
      <c r="BG44" s="31">
        <f t="shared" si="76"/>
        <v>0</v>
      </c>
      <c r="BH44" s="31">
        <f t="shared" si="76"/>
        <v>0</v>
      </c>
      <c r="BI44" s="31">
        <f t="shared" si="76"/>
        <v>0</v>
      </c>
      <c r="BJ44" s="31">
        <f t="shared" si="76"/>
        <v>0</v>
      </c>
      <c r="BK44" s="31">
        <f t="shared" si="76"/>
        <v>0</v>
      </c>
      <c r="BL44" s="31">
        <f t="shared" si="76"/>
        <v>0</v>
      </c>
      <c r="BM44" s="31">
        <f t="shared" si="76"/>
        <v>0</v>
      </c>
      <c r="BN44" s="31">
        <f t="shared" si="76"/>
        <v>0</v>
      </c>
      <c r="BO44" s="31">
        <f t="shared" si="76"/>
        <v>0</v>
      </c>
      <c r="BP44" s="31">
        <f t="shared" si="76"/>
        <v>0</v>
      </c>
      <c r="BQ44" s="31">
        <f t="shared" si="76"/>
        <v>0</v>
      </c>
      <c r="BR44" s="31">
        <f t="shared" si="76"/>
        <v>0</v>
      </c>
      <c r="BS44" s="31">
        <f t="shared" si="76"/>
        <v>0</v>
      </c>
      <c r="BT44" s="31">
        <f t="shared" si="76"/>
        <v>0</v>
      </c>
      <c r="BU44" s="31">
        <f t="shared" si="76"/>
        <v>0</v>
      </c>
      <c r="BV44" s="31">
        <f t="shared" ref="BV44:CC44" si="77">IF(_arpuP1=0,0,_p.lost*BU$45)</f>
        <v>0</v>
      </c>
      <c r="BW44" s="31">
        <f t="shared" si="77"/>
        <v>0</v>
      </c>
      <c r="BX44" s="31">
        <f t="shared" si="77"/>
        <v>0</v>
      </c>
      <c r="BY44" s="31">
        <f t="shared" si="77"/>
        <v>0</v>
      </c>
      <c r="BZ44" s="31">
        <f t="shared" si="77"/>
        <v>0</v>
      </c>
      <c r="CA44" s="31">
        <f t="shared" si="77"/>
        <v>0</v>
      </c>
      <c r="CB44" s="31">
        <f t="shared" si="77"/>
        <v>0</v>
      </c>
      <c r="CC44" s="31">
        <f t="shared" si="77"/>
        <v>0</v>
      </c>
      <c r="CD44" s="31">
        <f t="shared" ref="CD44:DY44" si="78">IF(_arpuP1=0,0,_p.lost*CC$45)</f>
        <v>0</v>
      </c>
      <c r="CE44" s="31">
        <f t="shared" si="78"/>
        <v>0</v>
      </c>
      <c r="CF44" s="31">
        <f t="shared" si="78"/>
        <v>0</v>
      </c>
      <c r="CG44" s="31">
        <f t="shared" si="78"/>
        <v>0</v>
      </c>
      <c r="CH44" s="31">
        <f t="shared" si="78"/>
        <v>0</v>
      </c>
      <c r="CI44" s="31">
        <f t="shared" si="78"/>
        <v>0</v>
      </c>
      <c r="CJ44" s="31">
        <f t="shared" si="78"/>
        <v>0</v>
      </c>
      <c r="CK44" s="31">
        <f t="shared" si="78"/>
        <v>0</v>
      </c>
      <c r="CL44" s="31">
        <f t="shared" si="78"/>
        <v>0</v>
      </c>
      <c r="CM44" s="31">
        <f t="shared" si="78"/>
        <v>0</v>
      </c>
      <c r="CN44" s="31">
        <f t="shared" si="78"/>
        <v>0</v>
      </c>
      <c r="CO44" s="31">
        <f t="shared" si="78"/>
        <v>0</v>
      </c>
      <c r="CP44" s="31">
        <f t="shared" si="78"/>
        <v>0</v>
      </c>
      <c r="CQ44" s="31">
        <f t="shared" si="78"/>
        <v>0</v>
      </c>
      <c r="CR44" s="31">
        <f t="shared" si="78"/>
        <v>0</v>
      </c>
      <c r="CS44" s="31">
        <f t="shared" si="78"/>
        <v>0</v>
      </c>
      <c r="CT44" s="31">
        <f t="shared" si="78"/>
        <v>0</v>
      </c>
      <c r="CU44" s="31">
        <f t="shared" si="78"/>
        <v>0</v>
      </c>
      <c r="CV44" s="31">
        <f t="shared" si="78"/>
        <v>0</v>
      </c>
      <c r="CW44" s="31">
        <f t="shared" si="78"/>
        <v>0</v>
      </c>
      <c r="CX44" s="31">
        <f t="shared" si="78"/>
        <v>0</v>
      </c>
      <c r="CY44" s="31">
        <f t="shared" si="78"/>
        <v>0</v>
      </c>
      <c r="CZ44" s="31">
        <f t="shared" si="78"/>
        <v>0</v>
      </c>
      <c r="DA44" s="31">
        <f t="shared" si="78"/>
        <v>0</v>
      </c>
      <c r="DB44" s="31">
        <f t="shared" si="78"/>
        <v>0</v>
      </c>
      <c r="DC44" s="31">
        <f t="shared" si="78"/>
        <v>0</v>
      </c>
      <c r="DD44" s="31">
        <f t="shared" si="78"/>
        <v>0</v>
      </c>
      <c r="DE44" s="31">
        <f t="shared" si="78"/>
        <v>0</v>
      </c>
      <c r="DF44" s="31">
        <f t="shared" si="78"/>
        <v>0</v>
      </c>
      <c r="DG44" s="31">
        <f t="shared" si="78"/>
        <v>0</v>
      </c>
      <c r="DH44" s="31">
        <f t="shared" si="78"/>
        <v>0</v>
      </c>
      <c r="DI44" s="31">
        <f t="shared" si="78"/>
        <v>0</v>
      </c>
      <c r="DJ44" s="31">
        <f t="shared" si="78"/>
        <v>0</v>
      </c>
      <c r="DK44" s="31">
        <f t="shared" si="78"/>
        <v>0</v>
      </c>
      <c r="DL44" s="31">
        <f t="shared" si="78"/>
        <v>0</v>
      </c>
      <c r="DM44" s="31">
        <f t="shared" si="78"/>
        <v>0</v>
      </c>
      <c r="DN44" s="31">
        <f t="shared" si="78"/>
        <v>0</v>
      </c>
      <c r="DO44" s="31">
        <f t="shared" si="78"/>
        <v>0</v>
      </c>
      <c r="DP44" s="31">
        <f t="shared" si="78"/>
        <v>0</v>
      </c>
      <c r="DQ44" s="31">
        <f t="shared" si="78"/>
        <v>0</v>
      </c>
      <c r="DR44" s="31">
        <f t="shared" si="78"/>
        <v>0</v>
      </c>
      <c r="DS44" s="31">
        <f t="shared" si="78"/>
        <v>0</v>
      </c>
      <c r="DT44" s="31">
        <f t="shared" si="78"/>
        <v>0</v>
      </c>
      <c r="DU44" s="31">
        <f t="shared" si="78"/>
        <v>0</v>
      </c>
      <c r="DV44" s="31">
        <f t="shared" si="78"/>
        <v>0</v>
      </c>
      <c r="DW44" s="31">
        <f t="shared" si="78"/>
        <v>0</v>
      </c>
      <c r="DX44" s="31">
        <f t="shared" si="78"/>
        <v>0</v>
      </c>
      <c r="DY44" s="31">
        <f t="shared" si="78"/>
        <v>0</v>
      </c>
    </row>
    <row r="45" spans="1:129" outlineLevel="1">
      <c r="C45" s="55" t="s">
        <v>125</v>
      </c>
      <c r="D45" s="55"/>
      <c r="E45" s="55"/>
      <c r="F45" s="55" t="s">
        <v>269</v>
      </c>
      <c r="H45" s="220"/>
      <c r="I45" s="583">
        <f>'Model Assumptions'!G25</f>
        <v>0</v>
      </c>
      <c r="J45" s="117">
        <f ca="1">+_activeinstallationsBoPP1+_NewSalesP1+_RetainedSalesP1-_EndingContractP1-_RepossessedP1-_LostP1</f>
        <v>0</v>
      </c>
      <c r="K45" s="117">
        <f ca="1">+_activeinstallationsBoPP1+_NewSalesP1+_RetainedSalesP1-_EndingContractP1-_RepossessedP1-_LostP1</f>
        <v>0</v>
      </c>
      <c r="L45" s="117">
        <f ca="1">+_activeinstallationsBoPP1+_NewSalesP1+_RetainedSalesP1-_EndingContractP1-_RepossessedP1-_LostP1</f>
        <v>0</v>
      </c>
      <c r="M45" s="117">
        <f ca="1">+_activeinstallationsBoPP1+_NewSalesP1+_RetainedSalesP1-_EndingContractP1-_RepossessedP1-_LostP1</f>
        <v>0</v>
      </c>
      <c r="N45" s="117">
        <f t="shared" ref="N45:T45" ca="1" si="79">+_activeinstallationsBoPP1+_NewSalesP1+_RetainedSalesP1-_EndingContractP1-_RepossessedP1-_LostP1</f>
        <v>0</v>
      </c>
      <c r="O45" s="117">
        <f ca="1">+_activeinstallationsBoPP1+_NewSalesP1+_RetainedSalesP1-_EndingContractP1-_RepossessedP1-_LostP1</f>
        <v>0</v>
      </c>
      <c r="P45" s="117">
        <f t="shared" ca="1" si="79"/>
        <v>0</v>
      </c>
      <c r="Q45" s="117">
        <f t="shared" ca="1" si="79"/>
        <v>0</v>
      </c>
      <c r="R45" s="117">
        <f t="shared" ca="1" si="79"/>
        <v>0</v>
      </c>
      <c r="S45" s="117">
        <f t="shared" ca="1" si="79"/>
        <v>0</v>
      </c>
      <c r="T45" s="117">
        <f t="shared" ca="1" si="79"/>
        <v>0</v>
      </c>
      <c r="U45" s="117">
        <f ca="1">+_activeinstallationsBoPP1+_NewSalesP1+_RetainedSalesP1-_EndingContractP1-_RepossessedP1-_LostP1</f>
        <v>0</v>
      </c>
      <c r="V45" s="117">
        <f t="shared" ref="V45:AV45" ca="1" si="80">+_activeinstallationsBoPP1+_NewSalesP1+_RetainedSalesP1-_EndingContractP1-_RepossessedP1-_LostP1</f>
        <v>0</v>
      </c>
      <c r="W45" s="117">
        <f ca="1">+_activeinstallationsBoPP1+_NewSalesP1+_RetainedSalesP1-_EndingContractP1-_RepossessedP1-_LostP1</f>
        <v>0</v>
      </c>
      <c r="X45" s="117">
        <f t="shared" ca="1" si="80"/>
        <v>0</v>
      </c>
      <c r="Y45" s="117">
        <f t="shared" ca="1" si="80"/>
        <v>0</v>
      </c>
      <c r="Z45" s="117">
        <f t="shared" ca="1" si="80"/>
        <v>0</v>
      </c>
      <c r="AA45" s="117">
        <f t="shared" ca="1" si="80"/>
        <v>0</v>
      </c>
      <c r="AB45" s="117">
        <f t="shared" ca="1" si="80"/>
        <v>0</v>
      </c>
      <c r="AC45" s="117">
        <f t="shared" ca="1" si="80"/>
        <v>0</v>
      </c>
      <c r="AD45" s="117">
        <f t="shared" ca="1" si="80"/>
        <v>0</v>
      </c>
      <c r="AE45" s="117">
        <f t="shared" ca="1" si="80"/>
        <v>0</v>
      </c>
      <c r="AF45" s="117">
        <f t="shared" ca="1" si="80"/>
        <v>0</v>
      </c>
      <c r="AG45" s="117">
        <f t="shared" ca="1" si="80"/>
        <v>0</v>
      </c>
      <c r="AH45" s="117">
        <f t="shared" ca="1" si="80"/>
        <v>0</v>
      </c>
      <c r="AI45" s="117">
        <f t="shared" ca="1" si="80"/>
        <v>0</v>
      </c>
      <c r="AJ45" s="117">
        <f t="shared" ca="1" si="80"/>
        <v>0</v>
      </c>
      <c r="AK45" s="117">
        <f ca="1">+_activeinstallationsBoPP1+_NewSalesP1+_RetainedSalesP1-_EndingContractP1-_RepossessedP1-_LostP1</f>
        <v>0</v>
      </c>
      <c r="AL45" s="117">
        <f t="shared" ca="1" si="80"/>
        <v>0</v>
      </c>
      <c r="AM45" s="117">
        <f t="shared" ca="1" si="80"/>
        <v>0</v>
      </c>
      <c r="AN45" s="117">
        <f t="shared" ca="1" si="80"/>
        <v>0</v>
      </c>
      <c r="AO45" s="117">
        <f t="shared" ca="1" si="80"/>
        <v>0</v>
      </c>
      <c r="AP45" s="117">
        <f t="shared" ca="1" si="80"/>
        <v>0</v>
      </c>
      <c r="AQ45" s="117">
        <f t="shared" ca="1" si="80"/>
        <v>0</v>
      </c>
      <c r="AR45" s="117">
        <f t="shared" ca="1" si="80"/>
        <v>0</v>
      </c>
      <c r="AS45" s="117">
        <f t="shared" ca="1" si="80"/>
        <v>0</v>
      </c>
      <c r="AT45" s="117">
        <f t="shared" ca="1" si="80"/>
        <v>0</v>
      </c>
      <c r="AU45" s="117">
        <f t="shared" ca="1" si="80"/>
        <v>0</v>
      </c>
      <c r="AV45" s="117">
        <f t="shared" ca="1" si="80"/>
        <v>0</v>
      </c>
      <c r="AW45" s="117">
        <f t="shared" ref="AW45:DH45" ca="1" si="81">+_activeinstallationsBoPP1+_NewSalesP1+_RetainedSalesP1-_EndingContractP1-_RepossessedP1-_LostP1</f>
        <v>0</v>
      </c>
      <c r="AX45" s="117">
        <f t="shared" ca="1" si="81"/>
        <v>0</v>
      </c>
      <c r="AY45" s="117">
        <f t="shared" ca="1" si="81"/>
        <v>0</v>
      </c>
      <c r="AZ45" s="117">
        <f t="shared" ca="1" si="81"/>
        <v>0</v>
      </c>
      <c r="BA45" s="117">
        <f t="shared" ca="1" si="81"/>
        <v>0</v>
      </c>
      <c r="BB45" s="117">
        <f t="shared" ca="1" si="81"/>
        <v>0</v>
      </c>
      <c r="BC45" s="117">
        <f t="shared" ca="1" si="81"/>
        <v>0</v>
      </c>
      <c r="BD45" s="117">
        <f t="shared" ca="1" si="81"/>
        <v>0</v>
      </c>
      <c r="BE45" s="117">
        <f t="shared" ca="1" si="81"/>
        <v>0</v>
      </c>
      <c r="BF45" s="117">
        <f t="shared" ca="1" si="81"/>
        <v>0</v>
      </c>
      <c r="BG45" s="117">
        <f t="shared" ca="1" si="81"/>
        <v>0</v>
      </c>
      <c r="BH45" s="117">
        <f t="shared" ca="1" si="81"/>
        <v>0</v>
      </c>
      <c r="BI45" s="117">
        <f t="shared" ca="1" si="81"/>
        <v>0</v>
      </c>
      <c r="BJ45" s="117">
        <f t="shared" ca="1" si="81"/>
        <v>0</v>
      </c>
      <c r="BK45" s="117">
        <f t="shared" ca="1" si="81"/>
        <v>0</v>
      </c>
      <c r="BL45" s="117">
        <f t="shared" ca="1" si="81"/>
        <v>0</v>
      </c>
      <c r="BM45" s="117">
        <f t="shared" ca="1" si="81"/>
        <v>0</v>
      </c>
      <c r="BN45" s="117">
        <f t="shared" ca="1" si="81"/>
        <v>0</v>
      </c>
      <c r="BO45" s="117">
        <f t="shared" ca="1" si="81"/>
        <v>0</v>
      </c>
      <c r="BP45" s="117">
        <f t="shared" ca="1" si="81"/>
        <v>0</v>
      </c>
      <c r="BQ45" s="117">
        <f t="shared" ca="1" si="81"/>
        <v>0</v>
      </c>
      <c r="BR45" s="117">
        <f t="shared" ca="1" si="81"/>
        <v>0</v>
      </c>
      <c r="BS45" s="117">
        <f t="shared" ca="1" si="81"/>
        <v>0</v>
      </c>
      <c r="BT45" s="117">
        <f t="shared" ca="1" si="81"/>
        <v>0</v>
      </c>
      <c r="BU45" s="117">
        <f t="shared" ca="1" si="81"/>
        <v>0</v>
      </c>
      <c r="BV45" s="117">
        <f t="shared" ca="1" si="81"/>
        <v>0</v>
      </c>
      <c r="BW45" s="117">
        <f t="shared" ca="1" si="81"/>
        <v>0</v>
      </c>
      <c r="BX45" s="117">
        <f t="shared" ca="1" si="81"/>
        <v>0</v>
      </c>
      <c r="BY45" s="117">
        <f t="shared" ca="1" si="81"/>
        <v>0</v>
      </c>
      <c r="BZ45" s="117">
        <f t="shared" ca="1" si="81"/>
        <v>0</v>
      </c>
      <c r="CA45" s="117">
        <f t="shared" ca="1" si="81"/>
        <v>0</v>
      </c>
      <c r="CB45" s="117">
        <f t="shared" ca="1" si="81"/>
        <v>0</v>
      </c>
      <c r="CC45" s="117">
        <f t="shared" ca="1" si="81"/>
        <v>0</v>
      </c>
      <c r="CD45" s="117">
        <f t="shared" ca="1" si="81"/>
        <v>0</v>
      </c>
      <c r="CE45" s="117">
        <f t="shared" ca="1" si="81"/>
        <v>0</v>
      </c>
      <c r="CF45" s="117">
        <f t="shared" ca="1" si="81"/>
        <v>0</v>
      </c>
      <c r="CG45" s="117">
        <f t="shared" ca="1" si="81"/>
        <v>0</v>
      </c>
      <c r="CH45" s="117">
        <f t="shared" ca="1" si="81"/>
        <v>0</v>
      </c>
      <c r="CI45" s="117">
        <f t="shared" ca="1" si="81"/>
        <v>0</v>
      </c>
      <c r="CJ45" s="117">
        <f t="shared" ca="1" si="81"/>
        <v>0</v>
      </c>
      <c r="CK45" s="117">
        <f t="shared" ca="1" si="81"/>
        <v>0</v>
      </c>
      <c r="CL45" s="117">
        <f t="shared" ca="1" si="81"/>
        <v>0</v>
      </c>
      <c r="CM45" s="117">
        <f t="shared" ca="1" si="81"/>
        <v>0</v>
      </c>
      <c r="CN45" s="117">
        <f t="shared" ca="1" si="81"/>
        <v>0</v>
      </c>
      <c r="CO45" s="117">
        <f t="shared" ca="1" si="81"/>
        <v>0</v>
      </c>
      <c r="CP45" s="117">
        <f t="shared" ca="1" si="81"/>
        <v>0</v>
      </c>
      <c r="CQ45" s="117">
        <f t="shared" ca="1" si="81"/>
        <v>0</v>
      </c>
      <c r="CR45" s="117">
        <f t="shared" ca="1" si="81"/>
        <v>0</v>
      </c>
      <c r="CS45" s="117">
        <f t="shared" ca="1" si="81"/>
        <v>0</v>
      </c>
      <c r="CT45" s="117">
        <f t="shared" ca="1" si="81"/>
        <v>0</v>
      </c>
      <c r="CU45" s="117">
        <f t="shared" ca="1" si="81"/>
        <v>0</v>
      </c>
      <c r="CV45" s="117">
        <f t="shared" ca="1" si="81"/>
        <v>0</v>
      </c>
      <c r="CW45" s="117">
        <f t="shared" ca="1" si="81"/>
        <v>0</v>
      </c>
      <c r="CX45" s="117">
        <f t="shared" ca="1" si="81"/>
        <v>0</v>
      </c>
      <c r="CY45" s="117">
        <f t="shared" ca="1" si="81"/>
        <v>0</v>
      </c>
      <c r="CZ45" s="117">
        <f t="shared" ca="1" si="81"/>
        <v>0</v>
      </c>
      <c r="DA45" s="117">
        <f t="shared" ca="1" si="81"/>
        <v>0</v>
      </c>
      <c r="DB45" s="117">
        <f t="shared" ca="1" si="81"/>
        <v>0</v>
      </c>
      <c r="DC45" s="117">
        <f t="shared" ca="1" si="81"/>
        <v>0</v>
      </c>
      <c r="DD45" s="117">
        <f t="shared" ca="1" si="81"/>
        <v>0</v>
      </c>
      <c r="DE45" s="117">
        <f t="shared" ca="1" si="81"/>
        <v>0</v>
      </c>
      <c r="DF45" s="117">
        <f t="shared" ca="1" si="81"/>
        <v>0</v>
      </c>
      <c r="DG45" s="117">
        <f t="shared" ca="1" si="81"/>
        <v>0</v>
      </c>
      <c r="DH45" s="117">
        <f t="shared" ca="1" si="81"/>
        <v>0</v>
      </c>
      <c r="DI45" s="117">
        <f t="shared" ref="DI45:DY45" ca="1" si="82">+_activeinstallationsBoPP1+_NewSalesP1+_RetainedSalesP1-_EndingContractP1-_RepossessedP1-_LostP1</f>
        <v>0</v>
      </c>
      <c r="DJ45" s="117">
        <f t="shared" ca="1" si="82"/>
        <v>0</v>
      </c>
      <c r="DK45" s="117">
        <f t="shared" ca="1" si="82"/>
        <v>0</v>
      </c>
      <c r="DL45" s="117">
        <f t="shared" ca="1" si="82"/>
        <v>0</v>
      </c>
      <c r="DM45" s="117">
        <f t="shared" ca="1" si="82"/>
        <v>0</v>
      </c>
      <c r="DN45" s="117">
        <f t="shared" ca="1" si="82"/>
        <v>0</v>
      </c>
      <c r="DO45" s="117">
        <f t="shared" ca="1" si="82"/>
        <v>0</v>
      </c>
      <c r="DP45" s="117">
        <f t="shared" ca="1" si="82"/>
        <v>0</v>
      </c>
      <c r="DQ45" s="117">
        <f t="shared" ca="1" si="82"/>
        <v>0</v>
      </c>
      <c r="DR45" s="117">
        <f t="shared" ca="1" si="82"/>
        <v>0</v>
      </c>
      <c r="DS45" s="117">
        <f t="shared" ca="1" si="82"/>
        <v>0</v>
      </c>
      <c r="DT45" s="117">
        <f t="shared" ca="1" si="82"/>
        <v>0</v>
      </c>
      <c r="DU45" s="117">
        <f t="shared" ca="1" si="82"/>
        <v>0</v>
      </c>
      <c r="DV45" s="117">
        <f t="shared" ca="1" si="82"/>
        <v>0</v>
      </c>
      <c r="DW45" s="117">
        <f t="shared" ca="1" si="82"/>
        <v>0</v>
      </c>
      <c r="DX45" s="117">
        <f t="shared" ca="1" si="82"/>
        <v>0</v>
      </c>
      <c r="DY45" s="117">
        <f t="shared" ca="1" si="82"/>
        <v>0</v>
      </c>
    </row>
    <row r="46" spans="1:129" outlineLevel="1">
      <c r="J46" s="105"/>
      <c r="K46" s="7"/>
      <c r="L46" s="105"/>
      <c r="M46" s="7"/>
      <c r="N46" s="105"/>
      <c r="O46" s="7"/>
      <c r="P46" s="105"/>
      <c r="Q46" s="105"/>
      <c r="R46" s="7"/>
      <c r="S46" s="7"/>
      <c r="T46" s="7"/>
      <c r="U46" s="7"/>
      <c r="V46" s="7"/>
      <c r="W46" s="7"/>
      <c r="X46" s="100"/>
      <c r="Y46" s="7"/>
      <c r="Z46" s="7"/>
      <c r="AA46" s="7"/>
      <c r="AB46" s="7"/>
      <c r="AC46" s="7"/>
      <c r="AD46" s="7"/>
      <c r="AE46" s="7"/>
      <c r="AF46" s="7"/>
      <c r="AG46" s="7"/>
      <c r="AH46" s="7"/>
      <c r="AI46" s="7"/>
      <c r="AJ46" s="7"/>
      <c r="AK46" s="7"/>
      <c r="AL46" s="7"/>
      <c r="AM46" s="7"/>
      <c r="AN46" s="7"/>
      <c r="AO46" s="5"/>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row>
    <row r="47" spans="1:129" outlineLevel="1">
      <c r="D47" s="5" t="s">
        <v>81</v>
      </c>
      <c r="F47" s="5" t="s">
        <v>270</v>
      </c>
      <c r="J47" s="35">
        <f>SUM(J40:J41)</f>
        <v>10.199999999999999</v>
      </c>
      <c r="K47" s="35">
        <f t="shared" ref="K47:BV47" si="83">SUM(K40:K41)</f>
        <v>10.404</v>
      </c>
      <c r="L47" s="35">
        <f t="shared" si="83"/>
        <v>10.612080000000001</v>
      </c>
      <c r="M47" s="35">
        <f t="shared" si="83"/>
        <v>10.824321600000001</v>
      </c>
      <c r="N47" s="35">
        <f t="shared" si="83"/>
        <v>11.040808032000001</v>
      </c>
      <c r="O47" s="35">
        <f t="shared" si="83"/>
        <v>11.261624192640001</v>
      </c>
      <c r="P47" s="35">
        <f t="shared" si="83"/>
        <v>11.486856676492801</v>
      </c>
      <c r="Q47" s="35">
        <f t="shared" si="83"/>
        <v>11.716593810022657</v>
      </c>
      <c r="R47" s="35">
        <f t="shared" si="83"/>
        <v>11.95092568622311</v>
      </c>
      <c r="S47" s="35">
        <f t="shared" si="83"/>
        <v>12.189944199947572</v>
      </c>
      <c r="T47" s="35">
        <f t="shared" si="83"/>
        <v>12.433743083946524</v>
      </c>
      <c r="U47" s="35">
        <f t="shared" si="83"/>
        <v>12.682417945625454</v>
      </c>
      <c r="V47" s="35">
        <f t="shared" si="83"/>
        <v>12.936066304537963</v>
      </c>
      <c r="W47" s="35">
        <f t="shared" si="83"/>
        <v>13.194787630628722</v>
      </c>
      <c r="X47" s="35">
        <f t="shared" si="83"/>
        <v>13.458683383241297</v>
      </c>
      <c r="Y47" s="35">
        <f t="shared" si="83"/>
        <v>13.727857050906124</v>
      </c>
      <c r="Z47" s="35">
        <f t="shared" si="83"/>
        <v>14.002414191924247</v>
      </c>
      <c r="AA47" s="35">
        <f t="shared" si="83"/>
        <v>14.282462475762733</v>
      </c>
      <c r="AB47" s="35">
        <f t="shared" si="83"/>
        <v>14.568111725277987</v>
      </c>
      <c r="AC47" s="35">
        <f t="shared" si="83"/>
        <v>14.859473959783546</v>
      </c>
      <c r="AD47" s="35">
        <f t="shared" si="83"/>
        <v>15.156663438979217</v>
      </c>
      <c r="AE47" s="35">
        <f t="shared" si="83"/>
        <v>15.459796707758802</v>
      </c>
      <c r="AF47" s="35">
        <f t="shared" si="83"/>
        <v>15.768992641913979</v>
      </c>
      <c r="AG47" s="35">
        <f t="shared" si="83"/>
        <v>16.084372494752259</v>
      </c>
      <c r="AH47" s="35">
        <f t="shared" si="83"/>
        <v>16.406059944647303</v>
      </c>
      <c r="AI47" s="35">
        <f t="shared" si="83"/>
        <v>16.734181143540251</v>
      </c>
      <c r="AJ47" s="35">
        <f t="shared" si="83"/>
        <v>17.068864766411057</v>
      </c>
      <c r="AK47" s="35">
        <f t="shared" si="83"/>
        <v>17.410242061739279</v>
      </c>
      <c r="AL47" s="35">
        <f t="shared" si="83"/>
        <v>17.758446902974065</v>
      </c>
      <c r="AM47" s="35">
        <f t="shared" si="83"/>
        <v>18.113615841033546</v>
      </c>
      <c r="AN47" s="35">
        <f t="shared" si="83"/>
        <v>18.475888157854218</v>
      </c>
      <c r="AO47" s="35">
        <f t="shared" si="83"/>
        <v>18.845405921011302</v>
      </c>
      <c r="AP47" s="35">
        <f t="shared" si="83"/>
        <v>19.222314039431527</v>
      </c>
      <c r="AQ47" s="35">
        <f t="shared" si="83"/>
        <v>19.606760320220157</v>
      </c>
      <c r="AR47" s="35">
        <f t="shared" si="83"/>
        <v>19.998895526624562</v>
      </c>
      <c r="AS47" s="35">
        <f t="shared" si="83"/>
        <v>20.398873437157054</v>
      </c>
      <c r="AT47" s="35">
        <f t="shared" si="83"/>
        <v>20.806850905900195</v>
      </c>
      <c r="AU47" s="35">
        <f t="shared" si="83"/>
        <v>21.222987924018199</v>
      </c>
      <c r="AV47" s="35">
        <f t="shared" si="83"/>
        <v>21.647447682498562</v>
      </c>
      <c r="AW47" s="35">
        <f t="shared" si="83"/>
        <v>22.080396636148535</v>
      </c>
      <c r="AX47" s="35">
        <f t="shared" si="83"/>
        <v>22.522004568871505</v>
      </c>
      <c r="AY47" s="35">
        <f t="shared" si="83"/>
        <v>22.972444660248936</v>
      </c>
      <c r="AZ47" s="35">
        <f t="shared" si="83"/>
        <v>23.431893553453914</v>
      </c>
      <c r="BA47" s="35">
        <f t="shared" si="83"/>
        <v>23.900531424522992</v>
      </c>
      <c r="BB47" s="35">
        <f t="shared" si="83"/>
        <v>24.378542053013451</v>
      </c>
      <c r="BC47" s="35">
        <f t="shared" si="83"/>
        <v>24.866112894073719</v>
      </c>
      <c r="BD47" s="35">
        <f t="shared" si="83"/>
        <v>25.363435151955194</v>
      </c>
      <c r="BE47" s="35">
        <f t="shared" si="83"/>
        <v>25.8707038549943</v>
      </c>
      <c r="BF47" s="35">
        <f t="shared" si="83"/>
        <v>26.388117932094186</v>
      </c>
      <c r="BG47" s="35">
        <f t="shared" si="83"/>
        <v>26.915880290736069</v>
      </c>
      <c r="BH47" s="35">
        <f t="shared" si="83"/>
        <v>27.454197896550792</v>
      </c>
      <c r="BI47" s="35">
        <f t="shared" si="83"/>
        <v>28.003281854481809</v>
      </c>
      <c r="BJ47" s="35">
        <f t="shared" si="83"/>
        <v>28.563347491571445</v>
      </c>
      <c r="BK47" s="35">
        <f t="shared" si="83"/>
        <v>29.134614441402874</v>
      </c>
      <c r="BL47" s="35">
        <f t="shared" si="83"/>
        <v>29.717306730230931</v>
      </c>
      <c r="BM47" s="35">
        <f t="shared" si="83"/>
        <v>30.311652864835551</v>
      </c>
      <c r="BN47" s="35">
        <f t="shared" si="83"/>
        <v>30.917885922132264</v>
      </c>
      <c r="BO47" s="35">
        <f t="shared" si="83"/>
        <v>31.536243640574909</v>
      </c>
      <c r="BP47" s="35">
        <f t="shared" si="83"/>
        <v>32.166968513386408</v>
      </c>
      <c r="BQ47" s="35">
        <f t="shared" si="83"/>
        <v>32.81030788365414</v>
      </c>
      <c r="BR47" s="35">
        <f t="shared" si="83"/>
        <v>32.81030788365414</v>
      </c>
      <c r="BS47" s="35">
        <f t="shared" si="83"/>
        <v>32.81030788365414</v>
      </c>
      <c r="BT47" s="35">
        <f t="shared" si="83"/>
        <v>32.81030788365414</v>
      </c>
      <c r="BU47" s="35">
        <f t="shared" si="83"/>
        <v>32.81030788365414</v>
      </c>
      <c r="BV47" s="35">
        <f t="shared" si="83"/>
        <v>32.81030788365414</v>
      </c>
      <c r="BW47" s="35">
        <f t="shared" ref="BW47:CC47" si="84">SUM(BW40:BW41)</f>
        <v>32.81030788365414</v>
      </c>
      <c r="BX47" s="35">
        <f t="shared" si="84"/>
        <v>32.81030788365414</v>
      </c>
      <c r="BY47" s="35">
        <f t="shared" si="84"/>
        <v>32.81030788365414</v>
      </c>
      <c r="BZ47" s="35">
        <f t="shared" si="84"/>
        <v>32.81030788365414</v>
      </c>
      <c r="CA47" s="35">
        <f t="shared" si="84"/>
        <v>32.81030788365414</v>
      </c>
      <c r="CB47" s="35">
        <f t="shared" si="84"/>
        <v>32.81030788365414</v>
      </c>
      <c r="CC47" s="35">
        <f t="shared" si="84"/>
        <v>32.81030788365414</v>
      </c>
      <c r="CD47" s="35">
        <f t="shared" ref="CD47:DY47" si="85">SUM(CD40:CD41)</f>
        <v>32.81030788365414</v>
      </c>
      <c r="CE47" s="35">
        <f t="shared" si="85"/>
        <v>32.81030788365414</v>
      </c>
      <c r="CF47" s="35">
        <f t="shared" si="85"/>
        <v>32.81030788365414</v>
      </c>
      <c r="CG47" s="35">
        <f t="shared" si="85"/>
        <v>32.81030788365414</v>
      </c>
      <c r="CH47" s="35">
        <f t="shared" si="85"/>
        <v>32.81030788365414</v>
      </c>
      <c r="CI47" s="35">
        <f t="shared" si="85"/>
        <v>32.81030788365414</v>
      </c>
      <c r="CJ47" s="35">
        <f t="shared" si="85"/>
        <v>32.81030788365414</v>
      </c>
      <c r="CK47" s="35">
        <f t="shared" si="85"/>
        <v>32.81030788365414</v>
      </c>
      <c r="CL47" s="35">
        <f t="shared" si="85"/>
        <v>32.81030788365414</v>
      </c>
      <c r="CM47" s="35">
        <f t="shared" si="85"/>
        <v>32.81030788365414</v>
      </c>
      <c r="CN47" s="35">
        <f t="shared" si="85"/>
        <v>32.81030788365414</v>
      </c>
      <c r="CO47" s="35">
        <f t="shared" si="85"/>
        <v>32.81030788365414</v>
      </c>
      <c r="CP47" s="35">
        <f t="shared" si="85"/>
        <v>32.81030788365414</v>
      </c>
      <c r="CQ47" s="35">
        <f t="shared" si="85"/>
        <v>32.81030788365414</v>
      </c>
      <c r="CR47" s="35">
        <f t="shared" si="85"/>
        <v>32.81030788365414</v>
      </c>
      <c r="CS47" s="35">
        <f t="shared" si="85"/>
        <v>32.81030788365414</v>
      </c>
      <c r="CT47" s="35">
        <f t="shared" si="85"/>
        <v>32.81030788365414</v>
      </c>
      <c r="CU47" s="35">
        <f t="shared" si="85"/>
        <v>32.81030788365414</v>
      </c>
      <c r="CV47" s="35">
        <f t="shared" si="85"/>
        <v>32.81030788365414</v>
      </c>
      <c r="CW47" s="35">
        <f t="shared" si="85"/>
        <v>32.81030788365414</v>
      </c>
      <c r="CX47" s="35">
        <f t="shared" si="85"/>
        <v>32.81030788365414</v>
      </c>
      <c r="CY47" s="35">
        <f t="shared" si="85"/>
        <v>32.81030788365414</v>
      </c>
      <c r="CZ47" s="35">
        <f t="shared" si="85"/>
        <v>32.81030788365414</v>
      </c>
      <c r="DA47" s="35">
        <f t="shared" si="85"/>
        <v>32.81030788365414</v>
      </c>
      <c r="DB47" s="35">
        <f t="shared" si="85"/>
        <v>32.81030788365414</v>
      </c>
      <c r="DC47" s="35">
        <f t="shared" si="85"/>
        <v>32.81030788365414</v>
      </c>
      <c r="DD47" s="35">
        <f t="shared" si="85"/>
        <v>32.81030788365414</v>
      </c>
      <c r="DE47" s="35">
        <f t="shared" si="85"/>
        <v>32.81030788365414</v>
      </c>
      <c r="DF47" s="35">
        <f t="shared" si="85"/>
        <v>32.81030788365414</v>
      </c>
      <c r="DG47" s="35">
        <f t="shared" si="85"/>
        <v>32.81030788365414</v>
      </c>
      <c r="DH47" s="35">
        <f t="shared" si="85"/>
        <v>32.81030788365414</v>
      </c>
      <c r="DI47" s="35">
        <f t="shared" si="85"/>
        <v>32.81030788365414</v>
      </c>
      <c r="DJ47" s="35">
        <f t="shared" si="85"/>
        <v>32.81030788365414</v>
      </c>
      <c r="DK47" s="35">
        <f t="shared" si="85"/>
        <v>32.81030788365414</v>
      </c>
      <c r="DL47" s="35">
        <f t="shared" si="85"/>
        <v>32.81030788365414</v>
      </c>
      <c r="DM47" s="35">
        <f t="shared" si="85"/>
        <v>32.81030788365414</v>
      </c>
      <c r="DN47" s="35">
        <f t="shared" si="85"/>
        <v>32.81030788365414</v>
      </c>
      <c r="DO47" s="35">
        <f t="shared" si="85"/>
        <v>32.81030788365414</v>
      </c>
      <c r="DP47" s="35">
        <f t="shared" si="85"/>
        <v>32.81030788365414</v>
      </c>
      <c r="DQ47" s="35">
        <f t="shared" si="85"/>
        <v>32.81030788365414</v>
      </c>
      <c r="DR47" s="35">
        <f t="shared" si="85"/>
        <v>32.81030788365414</v>
      </c>
      <c r="DS47" s="35">
        <f t="shared" si="85"/>
        <v>32.81030788365414</v>
      </c>
      <c r="DT47" s="35">
        <f t="shared" si="85"/>
        <v>32.81030788365414</v>
      </c>
      <c r="DU47" s="35">
        <f t="shared" si="85"/>
        <v>32.81030788365414</v>
      </c>
      <c r="DV47" s="35">
        <f t="shared" si="85"/>
        <v>32.81030788365414</v>
      </c>
      <c r="DW47" s="35">
        <f t="shared" si="85"/>
        <v>32.81030788365414</v>
      </c>
      <c r="DX47" s="35">
        <f t="shared" si="85"/>
        <v>32.81030788365414</v>
      </c>
      <c r="DY47" s="35">
        <f t="shared" si="85"/>
        <v>32.81030788365414</v>
      </c>
    </row>
    <row r="48" spans="1:129" outlineLevel="1">
      <c r="D48" s="5" t="s">
        <v>105</v>
      </c>
      <c r="F48" s="5" t="s">
        <v>271</v>
      </c>
      <c r="H48" s="35"/>
      <c r="I48" s="444">
        <f>'Model Assumptions'!G27</f>
        <v>1000</v>
      </c>
      <c r="J48" s="35">
        <f>I48+J47</f>
        <v>1010.2</v>
      </c>
      <c r="K48" s="35">
        <f>J48+K47</f>
        <v>1020.604</v>
      </c>
      <c r="L48" s="35">
        <f t="shared" ref="L48:BV48" si="86">K48+L47</f>
        <v>1031.2160800000001</v>
      </c>
      <c r="M48" s="35">
        <f t="shared" si="86"/>
        <v>1042.0404016000002</v>
      </c>
      <c r="N48" s="35">
        <f t="shared" si="86"/>
        <v>1053.0812096320003</v>
      </c>
      <c r="O48" s="35">
        <f t="shared" si="86"/>
        <v>1064.3428338246404</v>
      </c>
      <c r="P48" s="35">
        <f t="shared" si="86"/>
        <v>1075.8296905011332</v>
      </c>
      <c r="Q48" s="35">
        <f t="shared" si="86"/>
        <v>1087.5462843111559</v>
      </c>
      <c r="R48" s="35">
        <f t="shared" si="86"/>
        <v>1099.4972099973791</v>
      </c>
      <c r="S48" s="35">
        <f t="shared" si="86"/>
        <v>1111.6871541973267</v>
      </c>
      <c r="T48" s="35">
        <f t="shared" si="86"/>
        <v>1124.1208972812733</v>
      </c>
      <c r="U48" s="35">
        <f t="shared" si="86"/>
        <v>1136.8033152268988</v>
      </c>
      <c r="V48" s="35">
        <f t="shared" si="86"/>
        <v>1149.7393815314367</v>
      </c>
      <c r="W48" s="35">
        <f t="shared" si="86"/>
        <v>1162.9341691620655</v>
      </c>
      <c r="X48" s="35">
        <f t="shared" si="86"/>
        <v>1176.3928525453068</v>
      </c>
      <c r="Y48" s="35">
        <f t="shared" si="86"/>
        <v>1190.1207095962129</v>
      </c>
      <c r="Z48" s="35">
        <f t="shared" si="86"/>
        <v>1204.1231237881373</v>
      </c>
      <c r="AA48" s="35">
        <f t="shared" si="86"/>
        <v>1218.4055862639</v>
      </c>
      <c r="AB48" s="35">
        <f t="shared" si="86"/>
        <v>1232.9736979891779</v>
      </c>
      <c r="AC48" s="35">
        <f t="shared" si="86"/>
        <v>1247.8331719489615</v>
      </c>
      <c r="AD48" s="35">
        <f t="shared" si="86"/>
        <v>1262.9898353879407</v>
      </c>
      <c r="AE48" s="35">
        <f t="shared" si="86"/>
        <v>1278.4496320956996</v>
      </c>
      <c r="AF48" s="35">
        <f t="shared" si="86"/>
        <v>1294.2186247376135</v>
      </c>
      <c r="AG48" s="35">
        <f t="shared" si="86"/>
        <v>1310.3029972323657</v>
      </c>
      <c r="AH48" s="35">
        <f t="shared" si="86"/>
        <v>1326.7090571770129</v>
      </c>
      <c r="AI48" s="35">
        <f t="shared" si="86"/>
        <v>1343.4432383205533</v>
      </c>
      <c r="AJ48" s="35">
        <f t="shared" si="86"/>
        <v>1360.5121030869643</v>
      </c>
      <c r="AK48" s="35">
        <f t="shared" si="86"/>
        <v>1377.9223451487037</v>
      </c>
      <c r="AL48" s="35">
        <f t="shared" si="86"/>
        <v>1395.6807920516778</v>
      </c>
      <c r="AM48" s="35">
        <f t="shared" si="86"/>
        <v>1413.7944078927114</v>
      </c>
      <c r="AN48" s="35">
        <f t="shared" si="86"/>
        <v>1432.2702960505655</v>
      </c>
      <c r="AO48" s="35">
        <f t="shared" si="86"/>
        <v>1451.1157019715768</v>
      </c>
      <c r="AP48" s="35">
        <f t="shared" si="86"/>
        <v>1470.3380160110082</v>
      </c>
      <c r="AQ48" s="35">
        <f t="shared" si="86"/>
        <v>1489.9447763312285</v>
      </c>
      <c r="AR48" s="35">
        <f t="shared" si="86"/>
        <v>1509.9436718578531</v>
      </c>
      <c r="AS48" s="35">
        <f t="shared" si="86"/>
        <v>1530.3425452950103</v>
      </c>
      <c r="AT48" s="35">
        <f t="shared" si="86"/>
        <v>1551.1493962009104</v>
      </c>
      <c r="AU48" s="35">
        <f t="shared" si="86"/>
        <v>1572.3723841249287</v>
      </c>
      <c r="AV48" s="35">
        <f t="shared" si="86"/>
        <v>1594.0198318074272</v>
      </c>
      <c r="AW48" s="35">
        <f t="shared" si="86"/>
        <v>1616.1002284435758</v>
      </c>
      <c r="AX48" s="35">
        <f t="shared" si="86"/>
        <v>1638.6222330124474</v>
      </c>
      <c r="AY48" s="35">
        <f t="shared" si="86"/>
        <v>1661.5946776726964</v>
      </c>
      <c r="AZ48" s="35">
        <f t="shared" si="86"/>
        <v>1685.0265712261503</v>
      </c>
      <c r="BA48" s="35">
        <f t="shared" si="86"/>
        <v>1708.9271026506733</v>
      </c>
      <c r="BB48" s="35">
        <f t="shared" si="86"/>
        <v>1733.3056447036868</v>
      </c>
      <c r="BC48" s="35">
        <f t="shared" si="86"/>
        <v>1758.1717575977605</v>
      </c>
      <c r="BD48" s="35">
        <f t="shared" si="86"/>
        <v>1783.5351927497156</v>
      </c>
      <c r="BE48" s="35">
        <f t="shared" si="86"/>
        <v>1809.4058966047098</v>
      </c>
      <c r="BF48" s="35">
        <f t="shared" si="86"/>
        <v>1835.7940145368041</v>
      </c>
      <c r="BG48" s="35">
        <f t="shared" si="86"/>
        <v>1862.7098948275402</v>
      </c>
      <c r="BH48" s="35">
        <f t="shared" si="86"/>
        <v>1890.164092724091</v>
      </c>
      <c r="BI48" s="35">
        <f t="shared" si="86"/>
        <v>1918.1673745785729</v>
      </c>
      <c r="BJ48" s="35">
        <f t="shared" si="86"/>
        <v>1946.7307220701443</v>
      </c>
      <c r="BK48" s="35">
        <f t="shared" si="86"/>
        <v>1975.8653365115472</v>
      </c>
      <c r="BL48" s="35">
        <f t="shared" si="86"/>
        <v>2005.5826432417782</v>
      </c>
      <c r="BM48" s="35">
        <f t="shared" si="86"/>
        <v>2035.8942961066139</v>
      </c>
      <c r="BN48" s="35">
        <f t="shared" si="86"/>
        <v>2066.8121820287461</v>
      </c>
      <c r="BO48" s="35">
        <f t="shared" si="86"/>
        <v>2098.3484256693209</v>
      </c>
      <c r="BP48" s="35">
        <f t="shared" si="86"/>
        <v>2130.5153941827075</v>
      </c>
      <c r="BQ48" s="35">
        <f t="shared" si="86"/>
        <v>2163.3257020663618</v>
      </c>
      <c r="BR48" s="35">
        <f t="shared" si="86"/>
        <v>2196.1360099500162</v>
      </c>
      <c r="BS48" s="35">
        <f t="shared" si="86"/>
        <v>2228.9463178336705</v>
      </c>
      <c r="BT48" s="35">
        <f t="shared" si="86"/>
        <v>2261.7566257173248</v>
      </c>
      <c r="BU48" s="35">
        <f t="shared" si="86"/>
        <v>2294.5669336009792</v>
      </c>
      <c r="BV48" s="35">
        <f t="shared" si="86"/>
        <v>2327.3772414846335</v>
      </c>
      <c r="BW48" s="35">
        <f t="shared" ref="BW48:CC48" si="87">BV48+BW47</f>
        <v>2360.1875493682878</v>
      </c>
      <c r="BX48" s="35">
        <f t="shared" si="87"/>
        <v>2392.9978572519422</v>
      </c>
      <c r="BY48" s="35">
        <f t="shared" si="87"/>
        <v>2425.8081651355965</v>
      </c>
      <c r="BZ48" s="35">
        <f t="shared" si="87"/>
        <v>2458.6184730192508</v>
      </c>
      <c r="CA48" s="35">
        <f t="shared" si="87"/>
        <v>2491.4287809029051</v>
      </c>
      <c r="CB48" s="35">
        <f t="shared" si="87"/>
        <v>2524.2390887865595</v>
      </c>
      <c r="CC48" s="35">
        <f t="shared" si="87"/>
        <v>2557.0493966702138</v>
      </c>
      <c r="CD48" s="35">
        <f t="shared" ref="CD48:DY48" si="88">CC48+CD47</f>
        <v>2589.8597045538681</v>
      </c>
      <c r="CE48" s="35">
        <f t="shared" si="88"/>
        <v>2622.6700124375225</v>
      </c>
      <c r="CF48" s="35">
        <f t="shared" si="88"/>
        <v>2655.4803203211768</v>
      </c>
      <c r="CG48" s="35">
        <f t="shared" si="88"/>
        <v>2688.2906282048311</v>
      </c>
      <c r="CH48" s="35">
        <f t="shared" si="88"/>
        <v>2721.1009360884855</v>
      </c>
      <c r="CI48" s="35">
        <f t="shared" si="88"/>
        <v>2753.9112439721398</v>
      </c>
      <c r="CJ48" s="35">
        <f t="shared" si="88"/>
        <v>2786.7215518557941</v>
      </c>
      <c r="CK48" s="35">
        <f t="shared" si="88"/>
        <v>2819.5318597394485</v>
      </c>
      <c r="CL48" s="35">
        <f t="shared" si="88"/>
        <v>2852.3421676231028</v>
      </c>
      <c r="CM48" s="35">
        <f t="shared" si="88"/>
        <v>2885.1524755067571</v>
      </c>
      <c r="CN48" s="35">
        <f t="shared" si="88"/>
        <v>2917.9627833904115</v>
      </c>
      <c r="CO48" s="35">
        <f t="shared" si="88"/>
        <v>2950.7730912740658</v>
      </c>
      <c r="CP48" s="35">
        <f t="shared" si="88"/>
        <v>2983.5833991577201</v>
      </c>
      <c r="CQ48" s="35">
        <f t="shared" si="88"/>
        <v>3016.3937070413745</v>
      </c>
      <c r="CR48" s="35">
        <f t="shared" si="88"/>
        <v>3049.2040149250288</v>
      </c>
      <c r="CS48" s="35">
        <f t="shared" si="88"/>
        <v>3082.0143228086831</v>
      </c>
      <c r="CT48" s="35">
        <f t="shared" si="88"/>
        <v>3114.8246306923375</v>
      </c>
      <c r="CU48" s="35">
        <f t="shared" si="88"/>
        <v>3147.6349385759918</v>
      </c>
      <c r="CV48" s="35">
        <f t="shared" si="88"/>
        <v>3180.4452464596461</v>
      </c>
      <c r="CW48" s="35">
        <f t="shared" si="88"/>
        <v>3213.2555543433004</v>
      </c>
      <c r="CX48" s="35">
        <f t="shared" si="88"/>
        <v>3246.0658622269548</v>
      </c>
      <c r="CY48" s="35">
        <f t="shared" si="88"/>
        <v>3278.8761701106091</v>
      </c>
      <c r="CZ48" s="35">
        <f t="shared" si="88"/>
        <v>3311.6864779942634</v>
      </c>
      <c r="DA48" s="35">
        <f t="shared" si="88"/>
        <v>3344.4967858779178</v>
      </c>
      <c r="DB48" s="35">
        <f t="shared" si="88"/>
        <v>3377.3070937615721</v>
      </c>
      <c r="DC48" s="35">
        <f t="shared" si="88"/>
        <v>3410.1174016452264</v>
      </c>
      <c r="DD48" s="35">
        <f t="shared" si="88"/>
        <v>3442.9277095288808</v>
      </c>
      <c r="DE48" s="35">
        <f t="shared" si="88"/>
        <v>3475.7380174125351</v>
      </c>
      <c r="DF48" s="35">
        <f t="shared" si="88"/>
        <v>3508.5483252961894</v>
      </c>
      <c r="DG48" s="35">
        <f t="shared" si="88"/>
        <v>3541.3586331798438</v>
      </c>
      <c r="DH48" s="35">
        <f t="shared" si="88"/>
        <v>3574.1689410634981</v>
      </c>
      <c r="DI48" s="35">
        <f t="shared" si="88"/>
        <v>3606.9792489471524</v>
      </c>
      <c r="DJ48" s="35">
        <f t="shared" si="88"/>
        <v>3639.7895568308068</v>
      </c>
      <c r="DK48" s="35">
        <f t="shared" si="88"/>
        <v>3672.5998647144611</v>
      </c>
      <c r="DL48" s="35">
        <f t="shared" si="88"/>
        <v>3705.4101725981154</v>
      </c>
      <c r="DM48" s="35">
        <f t="shared" si="88"/>
        <v>3738.2204804817698</v>
      </c>
      <c r="DN48" s="35">
        <f t="shared" si="88"/>
        <v>3771.0307883654241</v>
      </c>
      <c r="DO48" s="35">
        <f t="shared" si="88"/>
        <v>3803.8410962490784</v>
      </c>
      <c r="DP48" s="35">
        <f t="shared" si="88"/>
        <v>3836.6514041327328</v>
      </c>
      <c r="DQ48" s="35">
        <f t="shared" si="88"/>
        <v>3869.4617120163871</v>
      </c>
      <c r="DR48" s="35">
        <f t="shared" si="88"/>
        <v>3902.2720199000414</v>
      </c>
      <c r="DS48" s="35">
        <f t="shared" si="88"/>
        <v>3935.0823277836957</v>
      </c>
      <c r="DT48" s="35">
        <f t="shared" si="88"/>
        <v>3967.8926356673501</v>
      </c>
      <c r="DU48" s="35">
        <f t="shared" si="88"/>
        <v>4000.7029435510044</v>
      </c>
      <c r="DV48" s="35">
        <f t="shared" si="88"/>
        <v>4033.5132514346587</v>
      </c>
      <c r="DW48" s="35">
        <f t="shared" si="88"/>
        <v>4066.3235593183131</v>
      </c>
      <c r="DX48" s="35">
        <f t="shared" si="88"/>
        <v>4099.1338672019674</v>
      </c>
      <c r="DY48" s="35">
        <f t="shared" si="88"/>
        <v>4131.9441750856213</v>
      </c>
    </row>
    <row r="49" spans="2:129" outlineLevel="1">
      <c r="J49" s="91"/>
      <c r="K49" s="35"/>
      <c r="L49" s="91"/>
      <c r="M49" s="35"/>
      <c r="N49" s="91"/>
      <c r="O49" s="35"/>
      <c r="P49" s="91"/>
      <c r="Q49" s="91"/>
      <c r="R49" s="35"/>
      <c r="S49" s="35"/>
      <c r="T49" s="35"/>
      <c r="U49" s="35"/>
      <c r="V49" s="35"/>
      <c r="W49" s="35"/>
      <c r="X49" s="99"/>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row>
    <row r="50" spans="2:129" outlineLevel="1">
      <c r="B50" s="6" t="s">
        <v>250</v>
      </c>
      <c r="J50" s="11"/>
      <c r="K50" s="5"/>
      <c r="L50" s="11"/>
      <c r="M50" s="5"/>
      <c r="N50" s="11"/>
      <c r="O50" s="5"/>
      <c r="P50" s="11"/>
      <c r="Q50" s="11"/>
      <c r="R50" s="5"/>
      <c r="S50" s="5"/>
      <c r="T50" s="5"/>
      <c r="U50" s="5"/>
      <c r="V50" s="5"/>
      <c r="W50" s="5"/>
      <c r="X50" s="97"/>
      <c r="Y50" s="5"/>
      <c r="Z50" s="5"/>
      <c r="AA50" s="5"/>
      <c r="AB50" s="5"/>
      <c r="AC50" s="5"/>
      <c r="AD50" s="5"/>
      <c r="AE50" s="5"/>
      <c r="AF50" s="5"/>
      <c r="AG50" s="5"/>
      <c r="AH50" s="5"/>
      <c r="AI50" s="5"/>
      <c r="AJ50" s="5"/>
      <c r="AK50" s="5"/>
      <c r="AL50" s="5"/>
      <c r="AM50" s="5"/>
      <c r="AN50" s="5"/>
      <c r="AO50" s="5"/>
      <c r="AP50" s="5"/>
      <c r="AQ50" s="5"/>
      <c r="AR50" s="5"/>
      <c r="AS50" s="5"/>
      <c r="AT50" s="5"/>
      <c r="AU50" s="36"/>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row>
    <row r="51" spans="2:129" outlineLevel="1">
      <c r="C51" s="5" t="s">
        <v>4</v>
      </c>
      <c r="F51" s="5" t="s">
        <v>272</v>
      </c>
      <c r="J51" s="35">
        <f>+I57</f>
        <v>1000</v>
      </c>
      <c r="K51" s="35">
        <f ca="1">J57</f>
        <v>1025.5211346212902</v>
      </c>
      <c r="L51" s="35">
        <f ca="1">K57</f>
        <v>1052.8270578963677</v>
      </c>
      <c r="M51" s="35">
        <f t="shared" ref="M51:BW51" ca="1" si="89">L57</f>
        <v>1081.9407219386942</v>
      </c>
      <c r="N51" s="35">
        <f t="shared" ca="1" si="89"/>
        <v>1112.8856653405976</v>
      </c>
      <c r="O51" s="35">
        <f t="shared" ca="1" si="89"/>
        <v>1145.686023628482</v>
      </c>
      <c r="P51" s="35">
        <f t="shared" ca="1" si="89"/>
        <v>1180.3665399398876</v>
      </c>
      <c r="Q51" s="35">
        <f t="shared" ca="1" si="89"/>
        <v>1216.9525759267071</v>
      </c>
      <c r="R51" s="35">
        <f t="shared" ca="1" si="89"/>
        <v>1255.4701228889569</v>
      </c>
      <c r="S51" s="35">
        <f t="shared" ca="1" si="89"/>
        <v>1295.9458131435886</v>
      </c>
      <c r="T51" s="35">
        <f t="shared" ca="1" si="89"/>
        <v>1338.4069316329187</v>
      </c>
      <c r="U51" s="35">
        <f t="shared" ca="1" si="89"/>
        <v>1382.8814277773452</v>
      </c>
      <c r="V51" s="35">
        <f t="shared" ca="1" si="89"/>
        <v>1429.3979275771164</v>
      </c>
      <c r="W51" s="35">
        <f t="shared" ca="1" si="89"/>
        <v>1457.2018940671303</v>
      </c>
      <c r="X51" s="35">
        <f t="shared" ca="1" si="89"/>
        <v>1485.6876315286809</v>
      </c>
      <c r="Y51" s="35">
        <f t="shared" ca="1" si="89"/>
        <v>1514.8675184647814</v>
      </c>
      <c r="Z51" s="35">
        <f t="shared" ca="1" si="89"/>
        <v>1544.7541935176694</v>
      </c>
      <c r="AA51" s="35">
        <f t="shared" ca="1" si="89"/>
        <v>1575.3605605459006</v>
      </c>
      <c r="AB51" s="35">
        <f t="shared" ca="1" si="89"/>
        <v>1606.6997938042389</v>
      </c>
      <c r="AC51" s="35">
        <f t="shared" ca="1" si="89"/>
        <v>1638.7853432283905</v>
      </c>
      <c r="AD51" s="35">
        <f t="shared" ca="1" si="89"/>
        <v>1671.6309398266658</v>
      </c>
      <c r="AE51" s="35">
        <f t="shared" ca="1" si="89"/>
        <v>1705.2506011806904</v>
      </c>
      <c r="AF51" s="35">
        <f t="shared" ca="1" si="89"/>
        <v>1739.6586370573416</v>
      </c>
      <c r="AG51" s="35">
        <f t="shared" ca="1" si="89"/>
        <v>1774.8696551341166</v>
      </c>
      <c r="AH51" s="35">
        <f t="shared" ca="1" si="89"/>
        <v>1810.898566840192</v>
      </c>
      <c r="AI51" s="35">
        <f t="shared" ca="1" si="89"/>
        <v>1845.9183441253829</v>
      </c>
      <c r="AJ51" s="35">
        <f t="shared" ca="1" si="89"/>
        <v>1881.6609450950643</v>
      </c>
      <c r="AK51" s="35">
        <f t="shared" ca="1" si="89"/>
        <v>1918.1406019415383</v>
      </c>
      <c r="AL51" s="35">
        <f t="shared" ca="1" si="89"/>
        <v>1955.3718337437667</v>
      </c>
      <c r="AM51" s="35">
        <f t="shared" ca="1" si="89"/>
        <v>1993.3694521826767</v>
      </c>
      <c r="AN51" s="35">
        <f t="shared" ca="1" si="89"/>
        <v>2032.1485673709951</v>
      </c>
      <c r="AO51" s="35">
        <f t="shared" ca="1" si="89"/>
        <v>2071.7245937999041</v>
      </c>
      <c r="AP51" s="35">
        <f t="shared" ca="1" si="89"/>
        <v>2112.1132564048471</v>
      </c>
      <c r="AQ51" s="35">
        <f t="shared" ca="1" si="89"/>
        <v>2153.33059675287</v>
      </c>
      <c r="AR51" s="35">
        <f t="shared" ca="1" si="89"/>
        <v>2195.3929793539251</v>
      </c>
      <c r="AS51" s="35">
        <f t="shared" ca="1" si="89"/>
        <v>2238.3170980986124</v>
      </c>
      <c r="AT51" s="35">
        <f t="shared" ca="1" si="89"/>
        <v>2282.1199828248878</v>
      </c>
      <c r="AU51" s="35">
        <f t="shared" ca="1" si="89"/>
        <v>2326.6557118351134</v>
      </c>
      <c r="AV51" s="35">
        <f t="shared" ca="1" si="89"/>
        <v>2372.0941480672177</v>
      </c>
      <c r="AW51" s="35">
        <f t="shared" ca="1" si="89"/>
        <v>2418.4532257392211</v>
      </c>
      <c r="AX51" s="35">
        <f t="shared" ca="1" si="89"/>
        <v>2465.7512389527697</v>
      </c>
      <c r="AY51" s="35">
        <f t="shared" ca="1" si="89"/>
        <v>2514.0068488788124</v>
      </c>
      <c r="AZ51" s="35">
        <f t="shared" ca="1" si="89"/>
        <v>2563.2390910871181</v>
      </c>
      <c r="BA51" s="35">
        <f t="shared" ca="1" si="89"/>
        <v>2613.4673830224942</v>
      </c>
      <c r="BB51" s="35">
        <f t="shared" ca="1" si="89"/>
        <v>2664.7115316306526</v>
      </c>
      <c r="BC51" s="35">
        <f t="shared" ca="1" si="89"/>
        <v>2716.9917411367087</v>
      </c>
      <c r="BD51" s="35">
        <f t="shared" ca="1" si="89"/>
        <v>2770.3286209793632</v>
      </c>
      <c r="BE51" s="35">
        <f t="shared" ca="1" si="89"/>
        <v>2824.7431939038825</v>
      </c>
      <c r="BF51" s="35">
        <f t="shared" ca="1" si="89"/>
        <v>2880.2569042170544</v>
      </c>
      <c r="BG51" s="35">
        <f t="shared" ca="1" si="89"/>
        <v>2936.8771520581645</v>
      </c>
      <c r="BH51" s="35">
        <f t="shared" ca="1" si="89"/>
        <v>2994.6397358320255</v>
      </c>
      <c r="BI51" s="35">
        <f t="shared" ca="1" si="89"/>
        <v>3053.5674029475326</v>
      </c>
      <c r="BJ51" s="35">
        <f t="shared" ca="1" si="89"/>
        <v>3113.6833567548574</v>
      </c>
      <c r="BK51" s="35">
        <f t="shared" ca="1" si="89"/>
        <v>3175.0112656543415</v>
      </c>
      <c r="BL51" s="35">
        <f t="shared" ca="1" si="89"/>
        <v>3237.5752723876681</v>
      </c>
      <c r="BM51" s="35">
        <f t="shared" ca="1" si="89"/>
        <v>3301.4000035149556</v>
      </c>
      <c r="BN51" s="35">
        <f t="shared" ca="1" si="89"/>
        <v>3366.5105790814896</v>
      </c>
      <c r="BO51" s="35">
        <f t="shared" ca="1" si="89"/>
        <v>3432.9326224778883</v>
      </c>
      <c r="BP51" s="35">
        <f t="shared" ca="1" si="89"/>
        <v>3500.6922704975636</v>
      </c>
      <c r="BQ51" s="35">
        <f t="shared" ca="1" si="89"/>
        <v>3569.8161835954274</v>
      </c>
      <c r="BR51" s="35">
        <f t="shared" ca="1" si="89"/>
        <v>3640.3315563518659</v>
      </c>
      <c r="BS51" s="35">
        <f t="shared" ca="1" si="89"/>
        <v>3705.7027836026668</v>
      </c>
      <c r="BT51" s="35">
        <f t="shared" ca="1" si="89"/>
        <v>3765.8937351353857</v>
      </c>
      <c r="BU51" s="35">
        <f t="shared" ca="1" si="89"/>
        <v>3820.8656824382915</v>
      </c>
      <c r="BV51" s="35">
        <f t="shared" ca="1" si="89"/>
        <v>3870.5784736593941</v>
      </c>
      <c r="BW51" s="35">
        <f t="shared" ca="1" si="89"/>
        <v>3914.9905116273339</v>
      </c>
      <c r="BX51" s="35">
        <f t="shared" ref="BX51:CC51" ca="1" si="90">BW57</f>
        <v>3954.0587313678252</v>
      </c>
      <c r="BY51" s="35">
        <f t="shared" ca="1" si="90"/>
        <v>3987.7385771061868</v>
      </c>
      <c r="BZ51" s="35">
        <f t="shared" ca="1" si="90"/>
        <v>4015.9839787463447</v>
      </c>
      <c r="CA51" s="35">
        <f t="shared" ca="1" si="90"/>
        <v>4038.7473278164648</v>
      </c>
      <c r="CB51" s="35">
        <f t="shared" ca="1" si="90"/>
        <v>4055.9794528711759</v>
      </c>
      <c r="CC51" s="35">
        <f t="shared" ca="1" si="90"/>
        <v>4067.6295943401365</v>
      </c>
      <c r="CD51" s="35">
        <f t="shared" ref="CD51:DY51" ca="1" si="91">CC57</f>
        <v>4073.6453788125013</v>
      </c>
      <c r="CE51" s="35">
        <f t="shared" ca="1" si="91"/>
        <v>4079.2075399243663</v>
      </c>
      <c r="CF51" s="35">
        <f t="shared" ca="1" si="91"/>
        <v>4084.3128516892116</v>
      </c>
      <c r="CG51" s="35">
        <f t="shared" ca="1" si="91"/>
        <v>4088.9578580457874</v>
      </c>
      <c r="CH51" s="35">
        <f t="shared" ca="1" si="91"/>
        <v>4093.1389770023657</v>
      </c>
      <c r="CI51" s="35">
        <f t="shared" ca="1" si="91"/>
        <v>4096.8524986862167</v>
      </c>
      <c r="CJ51" s="35">
        <f t="shared" ca="1" si="91"/>
        <v>4100.0945833484047</v>
      </c>
      <c r="CK51" s="35">
        <f t="shared" ca="1" si="91"/>
        <v>4102.86125932305</v>
      </c>
      <c r="CL51" s="35">
        <f t="shared" ca="1" si="91"/>
        <v>4105.1484209402097</v>
      </c>
      <c r="CM51" s="35">
        <f t="shared" ca="1" si="91"/>
        <v>4106.9518263915052</v>
      </c>
      <c r="CN51" s="35">
        <f t="shared" ca="1" si="91"/>
        <v>4108.2670955475987</v>
      </c>
      <c r="CO51" s="35">
        <f t="shared" ca="1" si="91"/>
        <v>4109.08970772663</v>
      </c>
      <c r="CP51" s="35">
        <f t="shared" ca="1" si="91"/>
        <v>4109.4149994126592</v>
      </c>
      <c r="CQ51" s="35">
        <f t="shared" ca="1" si="91"/>
        <v>4109.7021619937559</v>
      </c>
      <c r="CR51" s="35">
        <f t="shared" ca="1" si="91"/>
        <v>4109.9508887295196</v>
      </c>
      <c r="CS51" s="35">
        <f t="shared" ca="1" si="91"/>
        <v>4110.1608526940145</v>
      </c>
      <c r="CT51" s="35">
        <f t="shared" ca="1" si="91"/>
        <v>4110.3317160048728</v>
      </c>
      <c r="CU51" s="35">
        <f t="shared" ca="1" si="91"/>
        <v>4110.4631296483531</v>
      </c>
      <c r="CV51" s="35">
        <f t="shared" ca="1" si="91"/>
        <v>4110.5547333004424</v>
      </c>
      <c r="CW51" s="35">
        <f t="shared" ca="1" si="91"/>
        <v>4110.606155143957</v>
      </c>
      <c r="CX51" s="35">
        <f t="shared" ca="1" si="91"/>
        <v>4110.6170116815401</v>
      </c>
      <c r="CY51" s="35">
        <f t="shared" ca="1" si="91"/>
        <v>4110.5869075445016</v>
      </c>
      <c r="CZ51" s="35">
        <f t="shared" ca="1" si="91"/>
        <v>4110.5154352974032</v>
      </c>
      <c r="DA51" s="35">
        <f t="shared" ca="1" si="91"/>
        <v>4110.4021752383169</v>
      </c>
      <c r="DB51" s="35">
        <f t="shared" ca="1" si="91"/>
        <v>4110.2466951946726</v>
      </c>
      <c r="DC51" s="35">
        <f t="shared" ca="1" si="91"/>
        <v>4110.0896785789155</v>
      </c>
      <c r="DD51" s="35">
        <f t="shared" ca="1" si="91"/>
        <v>4109.9310797707003</v>
      </c>
      <c r="DE51" s="35">
        <f t="shared" ca="1" si="91"/>
        <v>4109.7708515447794</v>
      </c>
      <c r="DF51" s="35">
        <f t="shared" ca="1" si="91"/>
        <v>4109.6089458872148</v>
      </c>
      <c r="DG51" s="35">
        <f t="shared" ca="1" si="91"/>
        <v>4109.4453139780417</v>
      </c>
      <c r="DH51" s="35">
        <f t="shared" ca="1" si="91"/>
        <v>4109.2799061736159</v>
      </c>
      <c r="DI51" s="35">
        <f t="shared" ca="1" si="91"/>
        <v>4109.1126719886015</v>
      </c>
      <c r="DJ51" s="35">
        <f t="shared" ca="1" si="91"/>
        <v>4108.9435600776324</v>
      </c>
      <c r="DK51" s="35">
        <f t="shared" ca="1" si="91"/>
        <v>4108.7725182166114</v>
      </c>
      <c r="DL51" s="35">
        <f t="shared" ca="1" si="91"/>
        <v>4108.5994932836556</v>
      </c>
      <c r="DM51" s="35">
        <f t="shared" ca="1" si="91"/>
        <v>4108.424431239674</v>
      </c>
      <c r="DN51" s="35">
        <f t="shared" ca="1" si="91"/>
        <v>4108.2472771085704</v>
      </c>
      <c r="DO51" s="35">
        <f t="shared" ca="1" si="91"/>
        <v>4108.0716205041908</v>
      </c>
      <c r="DP51" s="35">
        <f t="shared" ca="1" si="91"/>
        <v>4107.8974410455567</v>
      </c>
      <c r="DQ51" s="35">
        <f t="shared" ca="1" si="91"/>
        <v>4107.7247183728059</v>
      </c>
      <c r="DR51" s="35">
        <f t="shared" ca="1" si="91"/>
        <v>4107.5534322179028</v>
      </c>
      <c r="DS51" s="35">
        <f t="shared" ca="1" si="91"/>
        <v>4107.3835624014919</v>
      </c>
      <c r="DT51" s="35">
        <f t="shared" ca="1" si="91"/>
        <v>4107.2150888297274</v>
      </c>
      <c r="DU51" s="35">
        <f t="shared" ca="1" si="91"/>
        <v>4107.0479914910939</v>
      </c>
      <c r="DV51" s="35">
        <f t="shared" ca="1" si="91"/>
        <v>4106.8822504532072</v>
      </c>
      <c r="DW51" s="35">
        <f t="shared" ca="1" si="91"/>
        <v>4106.7178458596063</v>
      </c>
      <c r="DX51" s="35">
        <f t="shared" ca="1" si="91"/>
        <v>4106.5547579265276</v>
      </c>
      <c r="DY51" s="35">
        <f t="shared" ca="1" si="91"/>
        <v>4106.3929669396575</v>
      </c>
    </row>
    <row r="52" spans="2:129" outlineLevel="1">
      <c r="C52" s="79" t="s">
        <v>5</v>
      </c>
      <c r="D52" s="55" t="s">
        <v>314</v>
      </c>
      <c r="E52" s="55"/>
      <c r="F52" s="55" t="s">
        <v>273</v>
      </c>
      <c r="G52" s="55"/>
      <c r="H52" s="55"/>
      <c r="I52" s="55"/>
      <c r="J52" s="137">
        <f>+J14</f>
        <v>102</v>
      </c>
      <c r="K52" s="137">
        <f>+K14</f>
        <v>104.04</v>
      </c>
      <c r="L52" s="137">
        <f t="shared" ref="L52:AO52" si="92">+L14</f>
        <v>106.1208</v>
      </c>
      <c r="M52" s="137">
        <f t="shared" si="92"/>
        <v>108.243216</v>
      </c>
      <c r="N52" s="137">
        <f t="shared" si="92"/>
        <v>110.40808032000001</v>
      </c>
      <c r="O52" s="137">
        <f t="shared" si="92"/>
        <v>112.61624192640001</v>
      </c>
      <c r="P52" s="137">
        <f t="shared" si="92"/>
        <v>114.868566764928</v>
      </c>
      <c r="Q52" s="137">
        <f t="shared" si="92"/>
        <v>117.16593810022657</v>
      </c>
      <c r="R52" s="118">
        <f t="shared" si="92"/>
        <v>119.5092568622311</v>
      </c>
      <c r="S52" s="118">
        <f t="shared" si="92"/>
        <v>121.89944199947573</v>
      </c>
      <c r="T52" s="118">
        <f t="shared" si="92"/>
        <v>124.33743083946524</v>
      </c>
      <c r="U52" s="118">
        <f t="shared" si="92"/>
        <v>126.82417945625456</v>
      </c>
      <c r="V52" s="118">
        <f t="shared" si="92"/>
        <v>129.36066304537965</v>
      </c>
      <c r="W52" s="118">
        <f t="shared" si="92"/>
        <v>131.94787630628724</v>
      </c>
      <c r="X52" s="118">
        <f t="shared" si="92"/>
        <v>134.58683383241299</v>
      </c>
      <c r="Y52" s="118">
        <f t="shared" si="92"/>
        <v>137.27857050906127</v>
      </c>
      <c r="Z52" s="118">
        <f t="shared" si="92"/>
        <v>140.02414191924251</v>
      </c>
      <c r="AA52" s="118">
        <f t="shared" si="92"/>
        <v>142.82462475762736</v>
      </c>
      <c r="AB52" s="118">
        <f t="shared" si="92"/>
        <v>145.6811172527799</v>
      </c>
      <c r="AC52" s="118">
        <f t="shared" si="92"/>
        <v>148.59473959783551</v>
      </c>
      <c r="AD52" s="118">
        <f t="shared" si="92"/>
        <v>151.56663438979223</v>
      </c>
      <c r="AE52" s="118">
        <f t="shared" si="92"/>
        <v>154.59796707758807</v>
      </c>
      <c r="AF52" s="118">
        <f t="shared" si="92"/>
        <v>157.68992641913982</v>
      </c>
      <c r="AG52" s="118">
        <f t="shared" si="92"/>
        <v>160.84372494752262</v>
      </c>
      <c r="AH52" s="118">
        <f t="shared" si="92"/>
        <v>164.06059944647308</v>
      </c>
      <c r="AI52" s="118">
        <f t="shared" si="92"/>
        <v>167.34181143540255</v>
      </c>
      <c r="AJ52" s="118">
        <f t="shared" si="92"/>
        <v>170.68864766411059</v>
      </c>
      <c r="AK52" s="118">
        <f t="shared" si="92"/>
        <v>174.1024206173928</v>
      </c>
      <c r="AL52" s="118">
        <f t="shared" si="92"/>
        <v>177.58446902974066</v>
      </c>
      <c r="AM52" s="118">
        <f t="shared" si="92"/>
        <v>181.13615841033547</v>
      </c>
      <c r="AN52" s="118">
        <f t="shared" si="92"/>
        <v>184.75888157854217</v>
      </c>
      <c r="AO52" s="118">
        <f t="shared" si="92"/>
        <v>188.45405921011303</v>
      </c>
      <c r="AP52" s="118">
        <f t="shared" ref="AP52:BU52" si="93">+AP14</f>
        <v>192.22314039431529</v>
      </c>
      <c r="AQ52" s="118">
        <f t="shared" si="93"/>
        <v>196.06760320220161</v>
      </c>
      <c r="AR52" s="118">
        <f t="shared" si="93"/>
        <v>199.98895526624565</v>
      </c>
      <c r="AS52" s="118">
        <f t="shared" si="93"/>
        <v>203.98873437157056</v>
      </c>
      <c r="AT52" s="118">
        <f t="shared" si="93"/>
        <v>208.06850905900197</v>
      </c>
      <c r="AU52" s="118">
        <f t="shared" si="93"/>
        <v>212.22987924018202</v>
      </c>
      <c r="AV52" s="118">
        <f t="shared" si="93"/>
        <v>216.47447682498566</v>
      </c>
      <c r="AW52" s="118">
        <f t="shared" si="93"/>
        <v>220.80396636148538</v>
      </c>
      <c r="AX52" s="118">
        <f t="shared" si="93"/>
        <v>225.22004568871509</v>
      </c>
      <c r="AY52" s="118">
        <f t="shared" si="93"/>
        <v>229.72444660248939</v>
      </c>
      <c r="AZ52" s="118">
        <f t="shared" si="93"/>
        <v>234.31893553453918</v>
      </c>
      <c r="BA52" s="118">
        <f t="shared" si="93"/>
        <v>239.00531424522995</v>
      </c>
      <c r="BB52" s="118">
        <f t="shared" si="93"/>
        <v>243.78542053013456</v>
      </c>
      <c r="BC52" s="118">
        <f t="shared" si="93"/>
        <v>248.66112894073726</v>
      </c>
      <c r="BD52" s="118">
        <f t="shared" si="93"/>
        <v>253.63435151955201</v>
      </c>
      <c r="BE52" s="118">
        <f t="shared" si="93"/>
        <v>258.70703854994304</v>
      </c>
      <c r="BF52" s="118">
        <f t="shared" si="93"/>
        <v>263.8811793209419</v>
      </c>
      <c r="BG52" s="118">
        <f t="shared" si="93"/>
        <v>269.15880290736072</v>
      </c>
      <c r="BH52" s="118">
        <f t="shared" si="93"/>
        <v>274.54197896550795</v>
      </c>
      <c r="BI52" s="118">
        <f t="shared" si="93"/>
        <v>280.0328185448181</v>
      </c>
      <c r="BJ52" s="118">
        <f t="shared" si="93"/>
        <v>285.63347491571449</v>
      </c>
      <c r="BK52" s="118">
        <f t="shared" si="93"/>
        <v>291.3461444140288</v>
      </c>
      <c r="BL52" s="118">
        <f t="shared" si="93"/>
        <v>297.17306730230939</v>
      </c>
      <c r="BM52" s="118">
        <f t="shared" si="93"/>
        <v>303.1165286483556</v>
      </c>
      <c r="BN52" s="118">
        <f t="shared" si="93"/>
        <v>309.17885922132274</v>
      </c>
      <c r="BO52" s="118">
        <f t="shared" si="93"/>
        <v>315.36243640574918</v>
      </c>
      <c r="BP52" s="118">
        <f t="shared" si="93"/>
        <v>321.66968513386416</v>
      </c>
      <c r="BQ52" s="118">
        <f t="shared" si="93"/>
        <v>328.10307883654144</v>
      </c>
      <c r="BR52" s="118">
        <f t="shared" si="93"/>
        <v>328.10307883654144</v>
      </c>
      <c r="BS52" s="118">
        <f t="shared" si="93"/>
        <v>328.10307883654144</v>
      </c>
      <c r="BT52" s="118">
        <f t="shared" si="93"/>
        <v>328.10307883654144</v>
      </c>
      <c r="BU52" s="118">
        <f t="shared" si="93"/>
        <v>328.10307883654144</v>
      </c>
      <c r="BV52" s="118">
        <f t="shared" ref="BV52:CC52" si="94">+BV14</f>
        <v>328.10307883654144</v>
      </c>
      <c r="BW52" s="118">
        <f t="shared" si="94"/>
        <v>328.10307883654144</v>
      </c>
      <c r="BX52" s="118">
        <f t="shared" si="94"/>
        <v>328.10307883654144</v>
      </c>
      <c r="BY52" s="118">
        <f t="shared" si="94"/>
        <v>328.10307883654144</v>
      </c>
      <c r="BZ52" s="118">
        <f t="shared" si="94"/>
        <v>328.10307883654144</v>
      </c>
      <c r="CA52" s="118">
        <f t="shared" si="94"/>
        <v>328.10307883654144</v>
      </c>
      <c r="CB52" s="118">
        <f t="shared" si="94"/>
        <v>328.10307883654144</v>
      </c>
      <c r="CC52" s="118">
        <f t="shared" si="94"/>
        <v>328.10307883654144</v>
      </c>
      <c r="CD52" s="118">
        <f t="shared" ref="CD52:DY52" si="95">+CD14</f>
        <v>328.10307883654144</v>
      </c>
      <c r="CE52" s="118">
        <f t="shared" si="95"/>
        <v>328.10307883654144</v>
      </c>
      <c r="CF52" s="118">
        <f t="shared" si="95"/>
        <v>328.10307883654144</v>
      </c>
      <c r="CG52" s="118">
        <f t="shared" si="95"/>
        <v>328.10307883654144</v>
      </c>
      <c r="CH52" s="118">
        <f t="shared" si="95"/>
        <v>328.10307883654144</v>
      </c>
      <c r="CI52" s="118">
        <f t="shared" si="95"/>
        <v>328.10307883654144</v>
      </c>
      <c r="CJ52" s="118">
        <f t="shared" si="95"/>
        <v>328.10307883654144</v>
      </c>
      <c r="CK52" s="118">
        <f t="shared" si="95"/>
        <v>328.10307883654144</v>
      </c>
      <c r="CL52" s="118">
        <f t="shared" si="95"/>
        <v>328.10307883654144</v>
      </c>
      <c r="CM52" s="118">
        <f t="shared" si="95"/>
        <v>328.10307883654144</v>
      </c>
      <c r="CN52" s="118">
        <f t="shared" si="95"/>
        <v>328.10307883654144</v>
      </c>
      <c r="CO52" s="118">
        <f t="shared" si="95"/>
        <v>328.10307883654144</v>
      </c>
      <c r="CP52" s="118">
        <f t="shared" si="95"/>
        <v>328.10307883654144</v>
      </c>
      <c r="CQ52" s="118">
        <f t="shared" si="95"/>
        <v>328.10307883654144</v>
      </c>
      <c r="CR52" s="118">
        <f t="shared" si="95"/>
        <v>328.10307883654144</v>
      </c>
      <c r="CS52" s="118">
        <f t="shared" si="95"/>
        <v>328.10307883654144</v>
      </c>
      <c r="CT52" s="118">
        <f t="shared" si="95"/>
        <v>328.10307883654144</v>
      </c>
      <c r="CU52" s="118">
        <f t="shared" si="95"/>
        <v>328.10307883654144</v>
      </c>
      <c r="CV52" s="118">
        <f t="shared" si="95"/>
        <v>328.10307883654144</v>
      </c>
      <c r="CW52" s="118">
        <f t="shared" si="95"/>
        <v>328.10307883654144</v>
      </c>
      <c r="CX52" s="118">
        <f t="shared" si="95"/>
        <v>328.10307883654144</v>
      </c>
      <c r="CY52" s="118">
        <f t="shared" si="95"/>
        <v>328.10307883654144</v>
      </c>
      <c r="CZ52" s="118">
        <f t="shared" si="95"/>
        <v>328.10307883654144</v>
      </c>
      <c r="DA52" s="118">
        <f t="shared" si="95"/>
        <v>328.10307883654144</v>
      </c>
      <c r="DB52" s="118">
        <f t="shared" si="95"/>
        <v>328.10307883654144</v>
      </c>
      <c r="DC52" s="118">
        <f t="shared" si="95"/>
        <v>328.10307883654144</v>
      </c>
      <c r="DD52" s="118">
        <f t="shared" si="95"/>
        <v>328.10307883654144</v>
      </c>
      <c r="DE52" s="118">
        <f t="shared" si="95"/>
        <v>328.10307883654144</v>
      </c>
      <c r="DF52" s="118">
        <f t="shared" si="95"/>
        <v>328.10307883654144</v>
      </c>
      <c r="DG52" s="118">
        <f t="shared" si="95"/>
        <v>328.10307883654144</v>
      </c>
      <c r="DH52" s="118">
        <f t="shared" si="95"/>
        <v>328.10307883654144</v>
      </c>
      <c r="DI52" s="118">
        <f t="shared" si="95"/>
        <v>328.10307883654144</v>
      </c>
      <c r="DJ52" s="118">
        <f t="shared" si="95"/>
        <v>328.10307883654144</v>
      </c>
      <c r="DK52" s="118">
        <f t="shared" si="95"/>
        <v>328.10307883654144</v>
      </c>
      <c r="DL52" s="118">
        <f t="shared" si="95"/>
        <v>328.10307883654144</v>
      </c>
      <c r="DM52" s="118">
        <f t="shared" si="95"/>
        <v>328.10307883654144</v>
      </c>
      <c r="DN52" s="118">
        <f t="shared" si="95"/>
        <v>328.10307883654144</v>
      </c>
      <c r="DO52" s="118">
        <f t="shared" si="95"/>
        <v>328.10307883654144</v>
      </c>
      <c r="DP52" s="118">
        <f t="shared" si="95"/>
        <v>328.10307883654144</v>
      </c>
      <c r="DQ52" s="118">
        <f t="shared" si="95"/>
        <v>328.10307883654144</v>
      </c>
      <c r="DR52" s="118">
        <f t="shared" si="95"/>
        <v>328.10307883654144</v>
      </c>
      <c r="DS52" s="118">
        <f t="shared" si="95"/>
        <v>328.10307883654144</v>
      </c>
      <c r="DT52" s="118">
        <f t="shared" si="95"/>
        <v>328.10307883654144</v>
      </c>
      <c r="DU52" s="118">
        <f t="shared" si="95"/>
        <v>328.10307883654144</v>
      </c>
      <c r="DV52" s="118">
        <f t="shared" si="95"/>
        <v>328.10307883654144</v>
      </c>
      <c r="DW52" s="118">
        <f t="shared" si="95"/>
        <v>328.10307883654144</v>
      </c>
      <c r="DX52" s="118">
        <f t="shared" si="95"/>
        <v>328.10307883654144</v>
      </c>
      <c r="DY52" s="118">
        <f t="shared" si="95"/>
        <v>328.10307883654144</v>
      </c>
    </row>
    <row r="53" spans="2:129" outlineLevel="1">
      <c r="C53" s="8" t="s">
        <v>5</v>
      </c>
      <c r="D53" s="5" t="s">
        <v>0</v>
      </c>
      <c r="F53" s="5" t="s">
        <v>274</v>
      </c>
      <c r="G53" s="62" t="s">
        <v>642</v>
      </c>
      <c r="J53" s="176">
        <f t="shared" ref="J53:AO53" ca="1" si="96">IF(_arpuP2=0,0,J54*_RetentionRate)</f>
        <v>7.3865405976344096</v>
      </c>
      <c r="K53" s="176">
        <f t="shared" ca="1" si="96"/>
        <v>7.3865405976344096</v>
      </c>
      <c r="L53" s="176">
        <f t="shared" ca="1" si="96"/>
        <v>7.3865405976344096</v>
      </c>
      <c r="M53" s="176">
        <f t="shared" ca="1" si="96"/>
        <v>7.3865405976344096</v>
      </c>
      <c r="N53" s="176">
        <f t="shared" ca="1" si="96"/>
        <v>7.3865405976344096</v>
      </c>
      <c r="O53" s="176">
        <f t="shared" ca="1" si="96"/>
        <v>7.3865405976344096</v>
      </c>
      <c r="P53" s="176">
        <f t="shared" ca="1" si="96"/>
        <v>7.3865405976344096</v>
      </c>
      <c r="Q53" s="176">
        <f t="shared" ca="1" si="96"/>
        <v>7.3865405976344096</v>
      </c>
      <c r="R53" s="176">
        <f t="shared" ca="1" si="96"/>
        <v>7.3865405976344096</v>
      </c>
      <c r="S53" s="176">
        <f t="shared" ca="1" si="96"/>
        <v>7.3865405976344096</v>
      </c>
      <c r="T53" s="176">
        <f t="shared" ca="1" si="96"/>
        <v>7.3865405976344096</v>
      </c>
      <c r="U53" s="176">
        <f t="shared" ca="1" si="96"/>
        <v>7.3865405976344096</v>
      </c>
      <c r="V53" s="176">
        <f t="shared" ca="1" si="96"/>
        <v>9.6958574755105325</v>
      </c>
      <c r="W53" s="176">
        <f t="shared" ca="1" si="96"/>
        <v>9.876679989340623</v>
      </c>
      <c r="X53" s="176">
        <f t="shared" ca="1" si="96"/>
        <v>10.061118953447316</v>
      </c>
      <c r="Y53" s="176">
        <f t="shared" ca="1" si="96"/>
        <v>10.249246696836142</v>
      </c>
      <c r="Z53" s="176">
        <f t="shared" ca="1" si="96"/>
        <v>10.441136995092744</v>
      </c>
      <c r="AA53" s="176">
        <f t="shared" ca="1" si="96"/>
        <v>10.636865099314479</v>
      </c>
      <c r="AB53" s="176">
        <f t="shared" ca="1" si="96"/>
        <v>10.836507765620649</v>
      </c>
      <c r="AC53" s="176">
        <f t="shared" ca="1" si="96"/>
        <v>11.040143285252942</v>
      </c>
      <c r="AD53" s="176">
        <f t="shared" ca="1" si="96"/>
        <v>11.24785151527788</v>
      </c>
      <c r="AE53" s="176">
        <f t="shared" ca="1" si="96"/>
        <v>11.45971390990332</v>
      </c>
      <c r="AF53" s="176">
        <f t="shared" ca="1" si="96"/>
        <v>11.675813552421266</v>
      </c>
      <c r="AG53" s="176">
        <f t="shared" ca="1" si="96"/>
        <v>11.89623518778957</v>
      </c>
      <c r="AH53" s="176">
        <f t="shared" ca="1" si="96"/>
        <v>12.325759610320054</v>
      </c>
      <c r="AI53" s="176">
        <f t="shared" ca="1" si="96"/>
        <v>12.571114113829704</v>
      </c>
      <c r="AJ53" s="176">
        <f t="shared" ca="1" si="96"/>
        <v>12.821375707409548</v>
      </c>
      <c r="AK53" s="176">
        <f t="shared" ca="1" si="96"/>
        <v>13.076642532860994</v>
      </c>
      <c r="AL53" s="176">
        <f t="shared" ca="1" si="96"/>
        <v>13.337014694821463</v>
      </c>
      <c r="AM53" s="176">
        <f t="shared" ca="1" si="96"/>
        <v>13.602594300021146</v>
      </c>
      <c r="AN53" s="176">
        <f t="shared" ca="1" si="96"/>
        <v>13.873485497324817</v>
      </c>
      <c r="AO53" s="176">
        <f t="shared" ca="1" si="96"/>
        <v>14.149794518574566</v>
      </c>
      <c r="AP53" s="176">
        <f t="shared" ref="AP53:BU53" ca="1" si="97">IF(_arpuP2=0,0,AP54*_RetentionRate)</f>
        <v>14.431629720249308</v>
      </c>
      <c r="AQ53" s="176">
        <f t="shared" ca="1" si="97"/>
        <v>14.719101625957544</v>
      </c>
      <c r="AR53" s="176">
        <f t="shared" ca="1" si="97"/>
        <v>15.012322969779945</v>
      </c>
      <c r="AS53" s="176">
        <f t="shared" ca="1" si="97"/>
        <v>15.311408740478795</v>
      </c>
      <c r="AT53" s="176">
        <f t="shared" ca="1" si="97"/>
        <v>15.634620024503068</v>
      </c>
      <c r="AU53" s="176">
        <f t="shared" ca="1" si="97"/>
        <v>15.947209543302973</v>
      </c>
      <c r="AV53" s="176">
        <f t="shared" ca="1" si="97"/>
        <v>16.266050852478873</v>
      </c>
      <c r="AW53" s="176">
        <f t="shared" ca="1" si="97"/>
        <v>16.591268987838294</v>
      </c>
      <c r="AX53" s="176">
        <f t="shared" ca="1" si="97"/>
        <v>16.922991485904902</v>
      </c>
      <c r="AY53" s="176">
        <f t="shared" ca="1" si="97"/>
        <v>17.261348433932845</v>
      </c>
      <c r="AZ53" s="176">
        <f t="shared" ca="1" si="97"/>
        <v>17.606472520921344</v>
      </c>
      <c r="BA53" s="176">
        <f t="shared" ca="1" si="97"/>
        <v>17.958499089649617</v>
      </c>
      <c r="BB53" s="176">
        <f t="shared" ca="1" si="97"/>
        <v>18.317566189752451</v>
      </c>
      <c r="BC53" s="176">
        <f t="shared" ca="1" si="97"/>
        <v>18.683814631857341</v>
      </c>
      <c r="BD53" s="176">
        <f t="shared" ca="1" si="97"/>
        <v>19.057388042804334</v>
      </c>
      <c r="BE53" s="176">
        <f t="shared" ca="1" si="97"/>
        <v>19.438432921970261</v>
      </c>
      <c r="BF53" s="176">
        <f t="shared" ca="1" si="97"/>
        <v>19.828706937517932</v>
      </c>
      <c r="BG53" s="176">
        <f t="shared" ca="1" si="97"/>
        <v>20.225271956990916</v>
      </c>
      <c r="BH53" s="176">
        <f t="shared" ca="1" si="97"/>
        <v>20.629768276853362</v>
      </c>
      <c r="BI53" s="176">
        <f t="shared" ca="1" si="97"/>
        <v>21.042354523113058</v>
      </c>
      <c r="BJ53" s="176">
        <f t="shared" ca="1" si="97"/>
        <v>21.463192494297942</v>
      </c>
      <c r="BK53" s="176">
        <f t="shared" ca="1" si="97"/>
        <v>21.892447224906533</v>
      </c>
      <c r="BL53" s="176">
        <f t="shared" ca="1" si="97"/>
        <v>22.330287050127289</v>
      </c>
      <c r="BM53" s="176">
        <f t="shared" ca="1" si="97"/>
        <v>22.77688367185246</v>
      </c>
      <c r="BN53" s="176">
        <f t="shared" ca="1" si="97"/>
        <v>23.232412226012134</v>
      </c>
      <c r="BO53" s="176">
        <f t="shared" ca="1" si="97"/>
        <v>23.697051351255009</v>
      </c>
      <c r="BP53" s="176">
        <f t="shared" ca="1" si="97"/>
        <v>24.170983259002735</v>
      </c>
      <c r="BQ53" s="176">
        <f t="shared" ca="1" si="97"/>
        <v>24.654393804905414</v>
      </c>
      <c r="BR53" s="176">
        <f t="shared" ca="1" si="97"/>
        <v>25.147615113580255</v>
      </c>
      <c r="BS53" s="176">
        <f t="shared" ca="1" si="97"/>
        <v>25.650566607532905</v>
      </c>
      <c r="BT53" s="176">
        <f t="shared" ca="1" si="97"/>
        <v>26.163577131364619</v>
      </c>
      <c r="BU53" s="176">
        <f t="shared" ca="1" si="97"/>
        <v>26.686847865672952</v>
      </c>
      <c r="BV53" s="176">
        <f t="shared" ref="BV53:DA53" ca="1" si="98">IF(_arpuP2=0,0,BV54*_RetentionRate)</f>
        <v>27.220584014667466</v>
      </c>
      <c r="BW53" s="176">
        <f t="shared" ca="1" si="98"/>
        <v>27.764994886641865</v>
      </c>
      <c r="BX53" s="176">
        <f t="shared" ca="1" si="98"/>
        <v>28.320293976055758</v>
      </c>
      <c r="BY53" s="176">
        <f t="shared" ca="1" si="98"/>
        <v>28.886699047257924</v>
      </c>
      <c r="BZ53" s="176">
        <f t="shared" ca="1" si="98"/>
        <v>29.464432219884131</v>
      </c>
      <c r="CA53" s="176">
        <f t="shared" ca="1" si="98"/>
        <v>30.053720055962863</v>
      </c>
      <c r="CB53" s="176">
        <f t="shared" ca="1" si="98"/>
        <v>30.654793648763174</v>
      </c>
      <c r="CC53" s="176">
        <f t="shared" ca="1" si="98"/>
        <v>31.267888713419481</v>
      </c>
      <c r="CD53" s="176">
        <f t="shared" ca="1" si="98"/>
        <v>31.311607104061224</v>
      </c>
      <c r="CE53" s="176">
        <f t="shared" ca="1" si="98"/>
        <v>31.356187963605887</v>
      </c>
      <c r="CF53" s="176">
        <f t="shared" ca="1" si="98"/>
        <v>31.401660440341448</v>
      </c>
      <c r="CG53" s="176">
        <f t="shared" ca="1" si="98"/>
        <v>31.44804236661172</v>
      </c>
      <c r="CH53" s="176">
        <f t="shared" ca="1" si="98"/>
        <v>31.495351931407392</v>
      </c>
      <c r="CI53" s="176">
        <f t="shared" ca="1" si="98"/>
        <v>31.543607687498987</v>
      </c>
      <c r="CJ53" s="176">
        <f t="shared" ca="1" si="98"/>
        <v>31.592828558712405</v>
      </c>
      <c r="CK53" s="176">
        <f t="shared" ca="1" si="98"/>
        <v>31.643033847350097</v>
      </c>
      <c r="CL53" s="176">
        <f t="shared" ca="1" si="98"/>
        <v>31.694243241760542</v>
      </c>
      <c r="CM53" s="176">
        <f t="shared" ca="1" si="98"/>
        <v>31.746476824059187</v>
      </c>
      <c r="CN53" s="176">
        <f t="shared" ca="1" si="98"/>
        <v>31.79975507800382</v>
      </c>
      <c r="CO53" s="176">
        <f t="shared" ca="1" si="98"/>
        <v>31.854098897027331</v>
      </c>
      <c r="CP53" s="176">
        <f t="shared" ca="1" si="98"/>
        <v>31.857974029035393</v>
      </c>
      <c r="CQ53" s="176">
        <f t="shared" ca="1" si="98"/>
        <v>31.86192560898224</v>
      </c>
      <c r="CR53" s="176">
        <f t="shared" ca="1" si="98"/>
        <v>31.86595622052803</v>
      </c>
      <c r="CS53" s="176">
        <f t="shared" ca="1" si="98"/>
        <v>31.870067444304734</v>
      </c>
      <c r="CT53" s="176">
        <f t="shared" ca="1" si="98"/>
        <v>31.874260892556972</v>
      </c>
      <c r="CU53" s="176">
        <f t="shared" ca="1" si="98"/>
        <v>31.878538209774248</v>
      </c>
      <c r="CV53" s="176">
        <f t="shared" ca="1" si="98"/>
        <v>31.882901073335876</v>
      </c>
      <c r="CW53" s="176">
        <f t="shared" ca="1" si="98"/>
        <v>31.88735119416873</v>
      </c>
      <c r="CX53" s="176">
        <f t="shared" ca="1" si="98"/>
        <v>31.891890317418252</v>
      </c>
      <c r="CY53" s="176">
        <f t="shared" ca="1" si="98"/>
        <v>31.896520223132757</v>
      </c>
      <c r="CZ53" s="176">
        <f t="shared" ca="1" si="98"/>
        <v>31.901242726961556</v>
      </c>
      <c r="DA53" s="176">
        <f t="shared" ca="1" si="98"/>
        <v>31.906059680866925</v>
      </c>
      <c r="DB53" s="176">
        <f t="shared" ref="DB53:DY53" ca="1" si="99">IF(_arpuP2=0,0,DB54*_RetentionRate)</f>
        <v>31.906403166705715</v>
      </c>
      <c r="DC53" s="176">
        <f t="shared" ca="1" si="99"/>
        <v>31.906753428774138</v>
      </c>
      <c r="DD53" s="176">
        <f t="shared" ca="1" si="99"/>
        <v>31.907110696083933</v>
      </c>
      <c r="DE53" s="176">
        <f t="shared" ca="1" si="99"/>
        <v>31.90747510873992</v>
      </c>
      <c r="DF53" s="176">
        <f t="shared" ca="1" si="99"/>
        <v>31.907846809649033</v>
      </c>
      <c r="DG53" s="176">
        <f t="shared" ca="1" si="99"/>
        <v>31.90822594457633</v>
      </c>
      <c r="DH53" s="176">
        <f t="shared" ca="1" si="99"/>
        <v>31.908612662202167</v>
      </c>
      <c r="DI53" s="176">
        <f t="shared" ca="1" si="99"/>
        <v>31.909007114180522</v>
      </c>
      <c r="DJ53" s="176">
        <f t="shared" ca="1" si="99"/>
        <v>31.909409455198443</v>
      </c>
      <c r="DK53" s="176">
        <f t="shared" ca="1" si="99"/>
        <v>31.909819843036725</v>
      </c>
      <c r="DL53" s="176">
        <f t="shared" ca="1" si="99"/>
        <v>31.910238438631776</v>
      </c>
      <c r="DM53" s="176">
        <f t="shared" ca="1" si="99"/>
        <v>31.910665406138719</v>
      </c>
      <c r="DN53" s="176">
        <f t="shared" ca="1" si="99"/>
        <v>31.910695852203833</v>
      </c>
      <c r="DO53" s="176">
        <f t="shared" ca="1" si="99"/>
        <v>31.910726898903693</v>
      </c>
      <c r="DP53" s="176">
        <f t="shared" ca="1" si="99"/>
        <v>31.910758566537545</v>
      </c>
      <c r="DQ53" s="176">
        <f t="shared" ca="1" si="99"/>
        <v>31.910790867524078</v>
      </c>
      <c r="DR53" s="176">
        <f t="shared" ca="1" si="99"/>
        <v>31.910823814530342</v>
      </c>
      <c r="DS53" s="176">
        <f t="shared" ca="1" si="99"/>
        <v>31.910857420476731</v>
      </c>
      <c r="DT53" s="176">
        <f t="shared" ca="1" si="99"/>
        <v>31.910891698542056</v>
      </c>
      <c r="DU53" s="176">
        <f t="shared" ca="1" si="99"/>
        <v>31.910926662168677</v>
      </c>
      <c r="DV53" s="176">
        <f t="shared" ca="1" si="99"/>
        <v>31.910962325067828</v>
      </c>
      <c r="DW53" s="176">
        <f t="shared" ca="1" si="99"/>
        <v>31.910998701224969</v>
      </c>
      <c r="DX53" s="176">
        <f t="shared" ca="1" si="99"/>
        <v>31.91103580490525</v>
      </c>
      <c r="DY53" s="176">
        <f t="shared" ca="1" si="99"/>
        <v>31.911073650659137</v>
      </c>
    </row>
    <row r="54" spans="2:129" outlineLevel="1">
      <c r="C54" s="8" t="s">
        <v>6</v>
      </c>
      <c r="D54" s="5" t="s">
        <v>2</v>
      </c>
      <c r="F54" s="5" t="s">
        <v>275</v>
      </c>
      <c r="G54" s="62" t="s">
        <v>643</v>
      </c>
      <c r="J54" s="33">
        <f ca="1">IF(_arpuP2=0,J52,+IF(J3&gt;_NrInstallmentsP2,SUM(OFFSET(J54,-2,-_NrInstallmentsP2),OFFSET(J54,-1,-_NrInstallmentsP2))*(1-_Churn)^_NrInstallmentsP2,0))+IF(J$3-1&lt;_NrInstallmentsP2,$J51/_NrInstallmentsP2*(1-_Churn)^_NrInstallmentsP2,0)</f>
        <v>73.865405976344093</v>
      </c>
      <c r="K54" s="33">
        <f t="shared" ref="K54:AO54" ca="1" si="100">IF(_arpuP2=0,K52,+IF(K3&gt;_NrInstallmentsP2,SUM(OFFSET(K54,-2,-_NrInstallmentsP2),OFFSET(K54,-1,-_NrInstallmentsP2))*(1-_Churn)^_NrInstallmentsP2,0))+IF(K$3-1&lt;_NrInstallmentsP2,$J51/_NrInstallmentsP2*(1-_Churn)^_NrInstallmentsP2,0)</f>
        <v>73.865405976344093</v>
      </c>
      <c r="L54" s="33">
        <f t="shared" ca="1" si="100"/>
        <v>73.865405976344093</v>
      </c>
      <c r="M54" s="33">
        <f t="shared" ca="1" si="100"/>
        <v>73.865405976344093</v>
      </c>
      <c r="N54" s="33">
        <f t="shared" ca="1" si="100"/>
        <v>73.865405976344093</v>
      </c>
      <c r="O54" s="33">
        <f t="shared" ca="1" si="100"/>
        <v>73.865405976344093</v>
      </c>
      <c r="P54" s="33">
        <f t="shared" ca="1" si="100"/>
        <v>73.865405976344093</v>
      </c>
      <c r="Q54" s="33">
        <f t="shared" ca="1" si="100"/>
        <v>73.865405976344093</v>
      </c>
      <c r="R54" s="33">
        <f t="shared" ca="1" si="100"/>
        <v>73.865405976344093</v>
      </c>
      <c r="S54" s="33">
        <f t="shared" ca="1" si="100"/>
        <v>73.865405976344093</v>
      </c>
      <c r="T54" s="33">
        <f t="shared" ca="1" si="100"/>
        <v>73.865405976344093</v>
      </c>
      <c r="U54" s="33">
        <f t="shared" ca="1" si="100"/>
        <v>73.865405976344093</v>
      </c>
      <c r="V54" s="33">
        <f t="shared" ca="1" si="100"/>
        <v>96.958574755105317</v>
      </c>
      <c r="W54" s="33">
        <f t="shared" ca="1" si="100"/>
        <v>98.76679989340623</v>
      </c>
      <c r="X54" s="33">
        <f t="shared" ca="1" si="100"/>
        <v>100.61118953447316</v>
      </c>
      <c r="Y54" s="33">
        <f t="shared" ca="1" si="100"/>
        <v>102.49246696836141</v>
      </c>
      <c r="Z54" s="33">
        <f t="shared" ca="1" si="100"/>
        <v>104.41136995092744</v>
      </c>
      <c r="AA54" s="33">
        <f t="shared" ca="1" si="100"/>
        <v>106.36865099314478</v>
      </c>
      <c r="AB54" s="33">
        <f t="shared" ca="1" si="100"/>
        <v>108.36507765620648</v>
      </c>
      <c r="AC54" s="33">
        <f t="shared" ca="1" si="100"/>
        <v>110.40143285252941</v>
      </c>
      <c r="AD54" s="33">
        <f t="shared" ca="1" si="100"/>
        <v>112.47851515277878</v>
      </c>
      <c r="AE54" s="33">
        <f t="shared" ca="1" si="100"/>
        <v>114.59713909903319</v>
      </c>
      <c r="AF54" s="33">
        <f t="shared" ca="1" si="100"/>
        <v>116.75813552421265</v>
      </c>
      <c r="AG54" s="33">
        <f t="shared" ca="1" si="100"/>
        <v>118.96235187789568</v>
      </c>
      <c r="AH54" s="33">
        <f t="shared" ca="1" si="100"/>
        <v>123.25759610320053</v>
      </c>
      <c r="AI54" s="33">
        <f t="shared" ca="1" si="100"/>
        <v>125.71114113829704</v>
      </c>
      <c r="AJ54" s="33">
        <f t="shared" ca="1" si="100"/>
        <v>128.21375707409547</v>
      </c>
      <c r="AK54" s="33">
        <f t="shared" ca="1" si="100"/>
        <v>130.76642532860993</v>
      </c>
      <c r="AL54" s="33">
        <f t="shared" ca="1" si="100"/>
        <v>133.37014694821463</v>
      </c>
      <c r="AM54" s="33">
        <f t="shared" ca="1" si="100"/>
        <v>136.02594300021144</v>
      </c>
      <c r="AN54" s="33">
        <f t="shared" ca="1" si="100"/>
        <v>138.73485497324816</v>
      </c>
      <c r="AO54" s="33">
        <f t="shared" ca="1" si="100"/>
        <v>141.49794518574566</v>
      </c>
      <c r="AP54" s="33">
        <f t="shared" ref="AP54:BU54" ca="1" si="101">IF(_arpuP2=0,AP52,+IF(AP3&gt;_NrInstallmentsP2,SUM(OFFSET(AP54,-2,-_NrInstallmentsP2),OFFSET(AP54,-1,-_NrInstallmentsP2))*(1-_Churn)^_NrInstallmentsP2,0))+IF(AP$3-1&lt;_NrInstallmentsP2,$J51/_NrInstallmentsP2*(1-_Churn)^_NrInstallmentsP2,0)</f>
        <v>144.31629720249308</v>
      </c>
      <c r="AQ54" s="33">
        <f t="shared" ca="1" si="101"/>
        <v>147.19101625957543</v>
      </c>
      <c r="AR54" s="33">
        <f t="shared" ca="1" si="101"/>
        <v>150.12322969779945</v>
      </c>
      <c r="AS54" s="33">
        <f t="shared" ca="1" si="101"/>
        <v>153.11408740478794</v>
      </c>
      <c r="AT54" s="33">
        <f t="shared" ca="1" si="101"/>
        <v>156.34620024503067</v>
      </c>
      <c r="AU54" s="33">
        <f t="shared" ca="1" si="101"/>
        <v>159.47209543302972</v>
      </c>
      <c r="AV54" s="33">
        <f t="shared" ca="1" si="101"/>
        <v>162.66050852478872</v>
      </c>
      <c r="AW54" s="33">
        <f t="shared" ca="1" si="101"/>
        <v>165.91268987838293</v>
      </c>
      <c r="AX54" s="33">
        <f t="shared" ca="1" si="101"/>
        <v>169.22991485904902</v>
      </c>
      <c r="AY54" s="33">
        <f t="shared" ca="1" si="101"/>
        <v>172.61348433932844</v>
      </c>
      <c r="AZ54" s="33">
        <f t="shared" ca="1" si="101"/>
        <v>176.06472520921344</v>
      </c>
      <c r="BA54" s="33">
        <f t="shared" ca="1" si="101"/>
        <v>179.58499089649615</v>
      </c>
      <c r="BB54" s="33">
        <f t="shared" ca="1" si="101"/>
        <v>183.17566189752449</v>
      </c>
      <c r="BC54" s="33">
        <f t="shared" ca="1" si="101"/>
        <v>186.83814631857342</v>
      </c>
      <c r="BD54" s="33">
        <f t="shared" ca="1" si="101"/>
        <v>190.57388042804334</v>
      </c>
      <c r="BE54" s="33">
        <f t="shared" ca="1" si="101"/>
        <v>194.38432921970261</v>
      </c>
      <c r="BF54" s="33">
        <f t="shared" ca="1" si="101"/>
        <v>198.2870693751793</v>
      </c>
      <c r="BG54" s="33">
        <f t="shared" ca="1" si="101"/>
        <v>202.25271956990915</v>
      </c>
      <c r="BH54" s="33">
        <f t="shared" ca="1" si="101"/>
        <v>206.2976827685336</v>
      </c>
      <c r="BI54" s="33">
        <f t="shared" ca="1" si="101"/>
        <v>210.42354523113056</v>
      </c>
      <c r="BJ54" s="33">
        <f t="shared" ca="1" si="101"/>
        <v>214.63192494297942</v>
      </c>
      <c r="BK54" s="33">
        <f t="shared" ca="1" si="101"/>
        <v>218.9244722490653</v>
      </c>
      <c r="BL54" s="33">
        <f t="shared" ca="1" si="101"/>
        <v>223.30287050127288</v>
      </c>
      <c r="BM54" s="33">
        <f t="shared" ca="1" si="101"/>
        <v>227.76883671852457</v>
      </c>
      <c r="BN54" s="33">
        <f t="shared" ca="1" si="101"/>
        <v>232.32412226012133</v>
      </c>
      <c r="BO54" s="33">
        <f t="shared" ca="1" si="101"/>
        <v>236.97051351255007</v>
      </c>
      <c r="BP54" s="33">
        <f t="shared" ca="1" si="101"/>
        <v>241.70983259002733</v>
      </c>
      <c r="BQ54" s="33">
        <f t="shared" ca="1" si="101"/>
        <v>246.54393804905413</v>
      </c>
      <c r="BR54" s="33">
        <f t="shared" ca="1" si="101"/>
        <v>251.47615113580252</v>
      </c>
      <c r="BS54" s="33">
        <f t="shared" ca="1" si="101"/>
        <v>256.50566607532903</v>
      </c>
      <c r="BT54" s="33">
        <f t="shared" ca="1" si="101"/>
        <v>261.63577131364616</v>
      </c>
      <c r="BU54" s="33">
        <f t="shared" ca="1" si="101"/>
        <v>266.86847865672951</v>
      </c>
      <c r="BV54" s="33">
        <f t="shared" ref="BV54:DA54" ca="1" si="102">IF(_arpuP2=0,BV52,+IF(BV3&gt;_NrInstallmentsP2,SUM(OFFSET(BV54,-2,-_NrInstallmentsP2),OFFSET(BV54,-1,-_NrInstallmentsP2))*(1-_Churn)^_NrInstallmentsP2,0))+IF(BV$3-1&lt;_NrInstallmentsP2,$J51/_NrInstallmentsP2*(1-_Churn)^_NrInstallmentsP2,0)</f>
        <v>272.20584014667463</v>
      </c>
      <c r="BW54" s="33">
        <f t="shared" ca="1" si="102"/>
        <v>277.64994886641864</v>
      </c>
      <c r="BX54" s="33">
        <f t="shared" ca="1" si="102"/>
        <v>283.20293976055757</v>
      </c>
      <c r="BY54" s="33">
        <f t="shared" ca="1" si="102"/>
        <v>288.86699047257923</v>
      </c>
      <c r="BZ54" s="33">
        <f t="shared" ca="1" si="102"/>
        <v>294.64432219884128</v>
      </c>
      <c r="CA54" s="33">
        <f t="shared" ca="1" si="102"/>
        <v>300.53720055962862</v>
      </c>
      <c r="CB54" s="33">
        <f t="shared" ca="1" si="102"/>
        <v>306.54793648763172</v>
      </c>
      <c r="CC54" s="33">
        <f t="shared" ca="1" si="102"/>
        <v>312.67888713419478</v>
      </c>
      <c r="CD54" s="33">
        <f t="shared" ca="1" si="102"/>
        <v>313.11607104061221</v>
      </c>
      <c r="CE54" s="33">
        <f t="shared" ca="1" si="102"/>
        <v>313.56187963605885</v>
      </c>
      <c r="CF54" s="33">
        <f t="shared" ca="1" si="102"/>
        <v>314.01660440341448</v>
      </c>
      <c r="CG54" s="33">
        <f t="shared" ca="1" si="102"/>
        <v>314.48042366611719</v>
      </c>
      <c r="CH54" s="33">
        <f t="shared" ca="1" si="102"/>
        <v>314.9535193140739</v>
      </c>
      <c r="CI54" s="33">
        <f t="shared" ca="1" si="102"/>
        <v>315.43607687498985</v>
      </c>
      <c r="CJ54" s="33">
        <f t="shared" ca="1" si="102"/>
        <v>315.92828558712404</v>
      </c>
      <c r="CK54" s="33">
        <f t="shared" ca="1" si="102"/>
        <v>316.43033847350097</v>
      </c>
      <c r="CL54" s="33">
        <f t="shared" ca="1" si="102"/>
        <v>316.9424324176054</v>
      </c>
      <c r="CM54" s="33">
        <f t="shared" ca="1" si="102"/>
        <v>317.46476824059187</v>
      </c>
      <c r="CN54" s="33">
        <f t="shared" ca="1" si="102"/>
        <v>317.99755078003818</v>
      </c>
      <c r="CO54" s="33">
        <f t="shared" ca="1" si="102"/>
        <v>318.5409889702733</v>
      </c>
      <c r="CP54" s="33">
        <f t="shared" ca="1" si="102"/>
        <v>318.57974029035393</v>
      </c>
      <c r="CQ54" s="33">
        <f t="shared" ca="1" si="102"/>
        <v>318.61925608982239</v>
      </c>
      <c r="CR54" s="33">
        <f t="shared" ca="1" si="102"/>
        <v>318.65956220528028</v>
      </c>
      <c r="CS54" s="33">
        <f t="shared" ca="1" si="102"/>
        <v>318.70067444304732</v>
      </c>
      <c r="CT54" s="33">
        <f t="shared" ca="1" si="102"/>
        <v>318.7426089255697</v>
      </c>
      <c r="CU54" s="33">
        <f t="shared" ca="1" si="102"/>
        <v>318.78538209774246</v>
      </c>
      <c r="CV54" s="33">
        <f t="shared" ca="1" si="102"/>
        <v>318.82901073335876</v>
      </c>
      <c r="CW54" s="33">
        <f t="shared" ca="1" si="102"/>
        <v>318.8735119416873</v>
      </c>
      <c r="CX54" s="33">
        <f t="shared" ca="1" si="102"/>
        <v>318.9189031741825</v>
      </c>
      <c r="CY54" s="33">
        <f t="shared" ca="1" si="102"/>
        <v>318.96520223132757</v>
      </c>
      <c r="CZ54" s="33">
        <f t="shared" ca="1" si="102"/>
        <v>319.01242726961556</v>
      </c>
      <c r="DA54" s="33">
        <f t="shared" ca="1" si="102"/>
        <v>319.06059680866923</v>
      </c>
      <c r="DB54" s="33">
        <f t="shared" ref="DB54:DY54" ca="1" si="103">IF(_arpuP2=0,DB52,+IF(DB3&gt;_NrInstallmentsP2,SUM(OFFSET(DB54,-2,-_NrInstallmentsP2),OFFSET(DB54,-1,-_NrInstallmentsP2))*(1-_Churn)^_NrInstallmentsP2,0))+IF(DB$3-1&lt;_NrInstallmentsP2,$J51/_NrInstallmentsP2*(1-_Churn)^_NrInstallmentsP2,0)</f>
        <v>319.06403166705712</v>
      </c>
      <c r="DC54" s="33">
        <f t="shared" ca="1" si="103"/>
        <v>319.06753428774135</v>
      </c>
      <c r="DD54" s="33">
        <f t="shared" ca="1" si="103"/>
        <v>319.0711069608393</v>
      </c>
      <c r="DE54" s="33">
        <f t="shared" ca="1" si="103"/>
        <v>319.07475108739919</v>
      </c>
      <c r="DF54" s="33">
        <f t="shared" ca="1" si="103"/>
        <v>319.07846809649033</v>
      </c>
      <c r="DG54" s="33">
        <f t="shared" ca="1" si="103"/>
        <v>319.08225944576327</v>
      </c>
      <c r="DH54" s="33">
        <f t="shared" ca="1" si="103"/>
        <v>319.08612662202165</v>
      </c>
      <c r="DI54" s="33">
        <f t="shared" ca="1" si="103"/>
        <v>319.0900711418052</v>
      </c>
      <c r="DJ54" s="33">
        <f t="shared" ca="1" si="103"/>
        <v>319.09409455198443</v>
      </c>
      <c r="DK54" s="33">
        <f t="shared" ca="1" si="103"/>
        <v>319.09819843036723</v>
      </c>
      <c r="DL54" s="33">
        <f t="shared" ca="1" si="103"/>
        <v>319.10238438631774</v>
      </c>
      <c r="DM54" s="33">
        <f t="shared" ca="1" si="103"/>
        <v>319.10665406138719</v>
      </c>
      <c r="DN54" s="33">
        <f t="shared" ca="1" si="103"/>
        <v>319.10695852203833</v>
      </c>
      <c r="DO54" s="33">
        <f t="shared" ca="1" si="103"/>
        <v>319.10726898903692</v>
      </c>
      <c r="DP54" s="33">
        <f t="shared" ca="1" si="103"/>
        <v>319.10758566537544</v>
      </c>
      <c r="DQ54" s="33">
        <f t="shared" ca="1" si="103"/>
        <v>319.10790867524076</v>
      </c>
      <c r="DR54" s="33">
        <f t="shared" ca="1" si="103"/>
        <v>319.1082381453034</v>
      </c>
      <c r="DS54" s="33">
        <f t="shared" ca="1" si="103"/>
        <v>319.10857420476731</v>
      </c>
      <c r="DT54" s="33">
        <f t="shared" ca="1" si="103"/>
        <v>319.10891698542054</v>
      </c>
      <c r="DU54" s="33">
        <f t="shared" ca="1" si="103"/>
        <v>319.10926662168674</v>
      </c>
      <c r="DV54" s="33">
        <f t="shared" ca="1" si="103"/>
        <v>319.10962325067828</v>
      </c>
      <c r="DW54" s="33">
        <f t="shared" ca="1" si="103"/>
        <v>319.10998701224969</v>
      </c>
      <c r="DX54" s="33">
        <f t="shared" ca="1" si="103"/>
        <v>319.11035804905248</v>
      </c>
      <c r="DY54" s="33">
        <f t="shared" ca="1" si="103"/>
        <v>319.11073650659137</v>
      </c>
    </row>
    <row r="55" spans="2:129" outlineLevel="1">
      <c r="C55" s="8" t="s">
        <v>6</v>
      </c>
      <c r="D55" s="5" t="s">
        <v>3</v>
      </c>
      <c r="F55" s="5" t="s">
        <v>276</v>
      </c>
      <c r="J55" s="33">
        <f>IF(_arpuP2=0,0,_p.repossessed*I$57)</f>
        <v>6</v>
      </c>
      <c r="K55" s="33">
        <f ca="1">IF(_arpuP2=0,0,_p.repossessed*J$57)</f>
        <v>6.1531268077277419</v>
      </c>
      <c r="L55" s="33">
        <f ca="1">IF(_arpuP2=0,0,_p.repossessed*K$57)</f>
        <v>6.3169623473782064</v>
      </c>
      <c r="M55" s="33">
        <f ca="1">IF(_arpuP2=0,0,_p.repossessed*L$57)</f>
        <v>6.4916443316321653</v>
      </c>
      <c r="N55" s="33">
        <f ca="1">IF(_arpuP2=0,0,_p.repossessed*M$57)</f>
        <v>6.6773139920435858</v>
      </c>
      <c r="O55" s="33">
        <f t="shared" ref="O55:AO55" ca="1" si="104">IF(_arpuP2=0,0,_p.repossessed*N$57)</f>
        <v>6.8741161417708918</v>
      </c>
      <c r="P55" s="33">
        <f t="shared" ca="1" si="104"/>
        <v>7.0821992396393254</v>
      </c>
      <c r="Q55" s="33">
        <f t="shared" ca="1" si="104"/>
        <v>7.3017154555602426</v>
      </c>
      <c r="R55" s="33">
        <f t="shared" ca="1" si="104"/>
        <v>7.5328207373337417</v>
      </c>
      <c r="S55" s="33">
        <f t="shared" ca="1" si="104"/>
        <v>7.7756748788615315</v>
      </c>
      <c r="T55" s="33">
        <f t="shared" ca="1" si="104"/>
        <v>8.0304415897975119</v>
      </c>
      <c r="U55" s="33">
        <f t="shared" ca="1" si="104"/>
        <v>8.2972885666640703</v>
      </c>
      <c r="V55" s="33">
        <f t="shared" ca="1" si="104"/>
        <v>8.5763875654626993</v>
      </c>
      <c r="W55" s="33">
        <f t="shared" ca="1" si="104"/>
        <v>8.7432113644027822</v>
      </c>
      <c r="X55" s="33">
        <f t="shared" ca="1" si="104"/>
        <v>8.9141257891720862</v>
      </c>
      <c r="Y55" s="33">
        <f t="shared" ca="1" si="104"/>
        <v>9.0892051107886882</v>
      </c>
      <c r="Z55" s="33">
        <f t="shared" ca="1" si="104"/>
        <v>9.268525161106016</v>
      </c>
      <c r="AA55" s="33">
        <f t="shared" ca="1" si="104"/>
        <v>9.4521633632754032</v>
      </c>
      <c r="AB55" s="33">
        <f t="shared" ca="1" si="104"/>
        <v>9.6401987628254329</v>
      </c>
      <c r="AC55" s="33">
        <f t="shared" ca="1" si="104"/>
        <v>9.8327120593703441</v>
      </c>
      <c r="AD55" s="33">
        <f t="shared" ca="1" si="104"/>
        <v>10.029785638959995</v>
      </c>
      <c r="AE55" s="33">
        <f t="shared" ca="1" si="104"/>
        <v>10.231503607084143</v>
      </c>
      <c r="AF55" s="33">
        <f t="shared" ca="1" si="104"/>
        <v>10.437951822344051</v>
      </c>
      <c r="AG55" s="33">
        <f t="shared" ca="1" si="104"/>
        <v>10.649217930804699</v>
      </c>
      <c r="AH55" s="33">
        <f t="shared" ca="1" si="104"/>
        <v>10.865391401041151</v>
      </c>
      <c r="AI55" s="33">
        <f t="shared" ca="1" si="104"/>
        <v>11.075510064752297</v>
      </c>
      <c r="AJ55" s="33">
        <f t="shared" ca="1" si="104"/>
        <v>11.289965670570385</v>
      </c>
      <c r="AK55" s="33">
        <f t="shared" ca="1" si="104"/>
        <v>11.50884361164923</v>
      </c>
      <c r="AL55" s="33">
        <f t="shared" ca="1" si="104"/>
        <v>11.732231002462601</v>
      </c>
      <c r="AM55" s="33">
        <f t="shared" ca="1" si="104"/>
        <v>11.960216713096061</v>
      </c>
      <c r="AN55" s="33">
        <f t="shared" ca="1" si="104"/>
        <v>12.192891404225971</v>
      </c>
      <c r="AO55" s="33">
        <f t="shared" ca="1" si="104"/>
        <v>12.430347562799426</v>
      </c>
      <c r="AP55" s="33">
        <f t="shared" ref="AP55:BU55" ca="1" si="105">IF(_arpuP2=0,0,_p.repossessed*AO$57)</f>
        <v>12.672679538429083</v>
      </c>
      <c r="AQ55" s="33">
        <f t="shared" ca="1" si="105"/>
        <v>12.91998358051722</v>
      </c>
      <c r="AR55" s="33">
        <f t="shared" ca="1" si="105"/>
        <v>13.17235787612355</v>
      </c>
      <c r="AS55" s="33">
        <f t="shared" ca="1" si="105"/>
        <v>13.429902588591675</v>
      </c>
      <c r="AT55" s="33">
        <f t="shared" ca="1" si="105"/>
        <v>13.692719896949328</v>
      </c>
      <c r="AU55" s="33">
        <f t="shared" ca="1" si="105"/>
        <v>13.959934271010681</v>
      </c>
      <c r="AV55" s="33">
        <f t="shared" ca="1" si="105"/>
        <v>14.232564888403306</v>
      </c>
      <c r="AW55" s="33">
        <f t="shared" ca="1" si="105"/>
        <v>14.510719354435327</v>
      </c>
      <c r="AX55" s="33">
        <f t="shared" ca="1" si="105"/>
        <v>14.794507433716618</v>
      </c>
      <c r="AY55" s="33">
        <f t="shared" ca="1" si="105"/>
        <v>15.084041093272875</v>
      </c>
      <c r="AZ55" s="33">
        <f t="shared" ca="1" si="105"/>
        <v>15.37943454652271</v>
      </c>
      <c r="BA55" s="33">
        <f t="shared" ca="1" si="105"/>
        <v>15.680804298134966</v>
      </c>
      <c r="BB55" s="33">
        <f t="shared" ca="1" si="105"/>
        <v>15.988269189783916</v>
      </c>
      <c r="BC55" s="33">
        <f t="shared" ca="1" si="105"/>
        <v>16.301950446820253</v>
      </c>
      <c r="BD55" s="33">
        <f t="shared" ca="1" si="105"/>
        <v>16.621971725876179</v>
      </c>
      <c r="BE55" s="33">
        <f t="shared" ca="1" si="105"/>
        <v>16.948459163423294</v>
      </c>
      <c r="BF55" s="33">
        <f t="shared" ca="1" si="105"/>
        <v>17.281541425302326</v>
      </c>
      <c r="BG55" s="33">
        <f t="shared" ca="1" si="105"/>
        <v>17.621262912348989</v>
      </c>
      <c r="BH55" s="33">
        <f t="shared" ca="1" si="105"/>
        <v>17.967838414992155</v>
      </c>
      <c r="BI55" s="33">
        <f t="shared" ca="1" si="105"/>
        <v>18.321404417685198</v>
      </c>
      <c r="BJ55" s="33">
        <f t="shared" ca="1" si="105"/>
        <v>18.682100140529144</v>
      </c>
      <c r="BK55" s="33">
        <f t="shared" ca="1" si="105"/>
        <v>19.050067593926048</v>
      </c>
      <c r="BL55" s="33">
        <f t="shared" ca="1" si="105"/>
        <v>19.425451634326009</v>
      </c>
      <c r="BM55" s="33">
        <f t="shared" ca="1" si="105"/>
        <v>19.808400021089735</v>
      </c>
      <c r="BN55" s="33">
        <f t="shared" ca="1" si="105"/>
        <v>20.199063474488938</v>
      </c>
      <c r="BO55" s="33">
        <f t="shared" ca="1" si="105"/>
        <v>20.59759573486733</v>
      </c>
      <c r="BP55" s="33">
        <f t="shared" ca="1" si="105"/>
        <v>21.004153622985381</v>
      </c>
      <c r="BQ55" s="33">
        <f t="shared" ca="1" si="105"/>
        <v>21.418897101572565</v>
      </c>
      <c r="BR55" s="33">
        <f t="shared" ca="1" si="105"/>
        <v>21.841989338111194</v>
      </c>
      <c r="BS55" s="33">
        <f t="shared" ca="1" si="105"/>
        <v>22.234216701616003</v>
      </c>
      <c r="BT55" s="33">
        <f t="shared" ca="1" si="105"/>
        <v>22.595362410812314</v>
      </c>
      <c r="BU55" s="33">
        <f t="shared" ca="1" si="105"/>
        <v>22.925194094629749</v>
      </c>
      <c r="BV55" s="33">
        <f t="shared" ref="BV55:CC55" ca="1" si="106">IF(_arpuP2=0,0,_p.repossessed*BU$57)</f>
        <v>23.223470841956367</v>
      </c>
      <c r="BW55" s="33">
        <f t="shared" ca="1" si="106"/>
        <v>23.489943069764003</v>
      </c>
      <c r="BX55" s="33">
        <f t="shared" ca="1" si="106"/>
        <v>23.724352388206952</v>
      </c>
      <c r="BY55" s="33">
        <f t="shared" ca="1" si="106"/>
        <v>23.926431462637122</v>
      </c>
      <c r="BZ55" s="33">
        <f t="shared" ca="1" si="106"/>
        <v>24.095903872478068</v>
      </c>
      <c r="CA55" s="33">
        <f t="shared" ca="1" si="106"/>
        <v>24.232483966898791</v>
      </c>
      <c r="CB55" s="33">
        <f t="shared" ca="1" si="106"/>
        <v>24.335876717227055</v>
      </c>
      <c r="CC55" s="33">
        <f t="shared" ca="1" si="106"/>
        <v>24.405777566040818</v>
      </c>
      <c r="CD55" s="33">
        <f t="shared" ref="CD55:DY55" ca="1" si="107">IF(_arpuP2=0,0,_p.repossessed*CC$57)</f>
        <v>24.44187227287501</v>
      </c>
      <c r="CE55" s="33">
        <f t="shared" ca="1" si="107"/>
        <v>24.475245239546197</v>
      </c>
      <c r="CF55" s="33">
        <f t="shared" ca="1" si="107"/>
        <v>24.50587711013527</v>
      </c>
      <c r="CG55" s="33">
        <f t="shared" ca="1" si="107"/>
        <v>24.533747148274724</v>
      </c>
      <c r="CH55" s="33">
        <f t="shared" ca="1" si="107"/>
        <v>24.558833862014193</v>
      </c>
      <c r="CI55" s="33">
        <f t="shared" ca="1" si="107"/>
        <v>24.5811149921173</v>
      </c>
      <c r="CJ55" s="33">
        <f t="shared" ca="1" si="107"/>
        <v>24.600567500090428</v>
      </c>
      <c r="CK55" s="33">
        <f t="shared" ca="1" si="107"/>
        <v>24.617167555938302</v>
      </c>
      <c r="CL55" s="33">
        <f t="shared" ca="1" si="107"/>
        <v>24.630890525641259</v>
      </c>
      <c r="CM55" s="33">
        <f t="shared" ca="1" si="107"/>
        <v>24.64171095834903</v>
      </c>
      <c r="CN55" s="33">
        <f t="shared" ca="1" si="107"/>
        <v>24.649602573285591</v>
      </c>
      <c r="CO55" s="33">
        <f t="shared" ca="1" si="107"/>
        <v>24.654538246359781</v>
      </c>
      <c r="CP55" s="33">
        <f t="shared" ca="1" si="107"/>
        <v>24.656489996475955</v>
      </c>
      <c r="CQ55" s="33">
        <f t="shared" ca="1" si="107"/>
        <v>24.658212971962534</v>
      </c>
      <c r="CR55" s="33">
        <f t="shared" ca="1" si="107"/>
        <v>24.659705332377118</v>
      </c>
      <c r="CS55" s="33">
        <f t="shared" ca="1" si="107"/>
        <v>24.660965116164089</v>
      </c>
      <c r="CT55" s="33">
        <f t="shared" ca="1" si="107"/>
        <v>24.661990296029238</v>
      </c>
      <c r="CU55" s="33">
        <f t="shared" ca="1" si="107"/>
        <v>24.662778777890118</v>
      </c>
      <c r="CV55" s="33">
        <f t="shared" ca="1" si="107"/>
        <v>24.663328399802655</v>
      </c>
      <c r="CW55" s="33">
        <f t="shared" ca="1" si="107"/>
        <v>24.663636930863742</v>
      </c>
      <c r="CX55" s="33">
        <f t="shared" ca="1" si="107"/>
        <v>24.66370207008924</v>
      </c>
      <c r="CY55" s="33">
        <f t="shared" ca="1" si="107"/>
        <v>24.663521445267012</v>
      </c>
      <c r="CZ55" s="33">
        <f t="shared" ca="1" si="107"/>
        <v>24.663092611784421</v>
      </c>
      <c r="DA55" s="33">
        <f t="shared" ca="1" si="107"/>
        <v>24.662413051429901</v>
      </c>
      <c r="DB55" s="33">
        <f t="shared" ca="1" si="107"/>
        <v>24.661480171168037</v>
      </c>
      <c r="DC55" s="33">
        <f t="shared" ca="1" si="107"/>
        <v>24.660538071473493</v>
      </c>
      <c r="DD55" s="33">
        <f t="shared" ca="1" si="107"/>
        <v>24.659586478624202</v>
      </c>
      <c r="DE55" s="33">
        <f t="shared" ca="1" si="107"/>
        <v>24.658625109268677</v>
      </c>
      <c r="DF55" s="33">
        <f t="shared" ca="1" si="107"/>
        <v>24.657653675323289</v>
      </c>
      <c r="DG55" s="33">
        <f t="shared" ca="1" si="107"/>
        <v>24.656671883868249</v>
      </c>
      <c r="DH55" s="33">
        <f t="shared" ca="1" si="107"/>
        <v>24.655679437041695</v>
      </c>
      <c r="DI55" s="33">
        <f t="shared" ca="1" si="107"/>
        <v>24.654676031931608</v>
      </c>
      <c r="DJ55" s="33">
        <f t="shared" ca="1" si="107"/>
        <v>24.653661360465794</v>
      </c>
      <c r="DK55" s="33">
        <f t="shared" ca="1" si="107"/>
        <v>24.65263510929967</v>
      </c>
      <c r="DL55" s="33">
        <f t="shared" ca="1" si="107"/>
        <v>24.651596959701934</v>
      </c>
      <c r="DM55" s="33">
        <f t="shared" ca="1" si="107"/>
        <v>24.650546587438043</v>
      </c>
      <c r="DN55" s="33">
        <f t="shared" ca="1" si="107"/>
        <v>24.649483662651424</v>
      </c>
      <c r="DO55" s="33">
        <f t="shared" ca="1" si="107"/>
        <v>24.648429723025146</v>
      </c>
      <c r="DP55" s="33">
        <f t="shared" ca="1" si="107"/>
        <v>24.647384646273341</v>
      </c>
      <c r="DQ55" s="33">
        <f t="shared" ca="1" si="107"/>
        <v>24.646348310236835</v>
      </c>
      <c r="DR55" s="33">
        <f t="shared" ca="1" si="107"/>
        <v>24.645320593307417</v>
      </c>
      <c r="DS55" s="33">
        <f t="shared" ca="1" si="107"/>
        <v>24.644301374408951</v>
      </c>
      <c r="DT55" s="33">
        <f t="shared" ca="1" si="107"/>
        <v>24.643290532978366</v>
      </c>
      <c r="DU55" s="33">
        <f t="shared" ca="1" si="107"/>
        <v>24.642287948946564</v>
      </c>
      <c r="DV55" s="33">
        <f t="shared" ca="1" si="107"/>
        <v>24.641293502719243</v>
      </c>
      <c r="DW55" s="33">
        <f t="shared" ca="1" si="107"/>
        <v>24.64030707515764</v>
      </c>
      <c r="DX55" s="33">
        <f t="shared" ca="1" si="107"/>
        <v>24.639328547559167</v>
      </c>
      <c r="DY55" s="33">
        <f t="shared" ca="1" si="107"/>
        <v>24.638357801637945</v>
      </c>
    </row>
    <row r="56" spans="2:129" outlineLevel="1">
      <c r="C56" s="8" t="s">
        <v>6</v>
      </c>
      <c r="D56" s="5" t="s">
        <v>1</v>
      </c>
      <c r="F56" s="5" t="s">
        <v>277</v>
      </c>
      <c r="G56" s="120"/>
      <c r="J56" s="33">
        <f>IF(_arpuP2=0,0,_p.lost*I$57)</f>
        <v>4</v>
      </c>
      <c r="K56" s="33">
        <f ca="1">IF(_arpuP2=0,0,_p.lost*J$57)</f>
        <v>4.102084538485161</v>
      </c>
      <c r="L56" s="33">
        <f t="shared" ref="L56:AO56" ca="1" si="108">IF(_arpuP2=0,0,_p.lost*K$57)</f>
        <v>4.2113082315854706</v>
      </c>
      <c r="M56" s="33">
        <f t="shared" ca="1" si="108"/>
        <v>4.3277628877547771</v>
      </c>
      <c r="N56" s="33">
        <f t="shared" ca="1" si="108"/>
        <v>4.4515426613623905</v>
      </c>
      <c r="O56" s="33">
        <f t="shared" ca="1" si="108"/>
        <v>4.5827440945139282</v>
      </c>
      <c r="P56" s="33">
        <f t="shared" ca="1" si="108"/>
        <v>4.7214661597595509</v>
      </c>
      <c r="Q56" s="33">
        <f t="shared" ca="1" si="108"/>
        <v>4.867810303706829</v>
      </c>
      <c r="R56" s="33">
        <f t="shared" ca="1" si="108"/>
        <v>5.0218804915558275</v>
      </c>
      <c r="S56" s="33">
        <f t="shared" ca="1" si="108"/>
        <v>5.1837832525743543</v>
      </c>
      <c r="T56" s="33">
        <f t="shared" ca="1" si="108"/>
        <v>5.3536277265316752</v>
      </c>
      <c r="U56" s="33">
        <f t="shared" ca="1" si="108"/>
        <v>5.5315257111093805</v>
      </c>
      <c r="V56" s="33">
        <f t="shared" ca="1" si="108"/>
        <v>5.7175917103084659</v>
      </c>
      <c r="W56" s="33">
        <f t="shared" ca="1" si="108"/>
        <v>5.8288075762685212</v>
      </c>
      <c r="X56" s="33">
        <f t="shared" ca="1" si="108"/>
        <v>5.9427505261147235</v>
      </c>
      <c r="Y56" s="33">
        <f t="shared" ca="1" si="108"/>
        <v>6.0594700738591252</v>
      </c>
      <c r="Z56" s="33">
        <f t="shared" ca="1" si="108"/>
        <v>6.1790167740706776</v>
      </c>
      <c r="AA56" s="33">
        <f t="shared" ca="1" si="108"/>
        <v>6.3014422421836027</v>
      </c>
      <c r="AB56" s="33">
        <f t="shared" ca="1" si="108"/>
        <v>6.4267991752169555</v>
      </c>
      <c r="AC56" s="33">
        <f t="shared" ca="1" si="108"/>
        <v>6.5551413729135621</v>
      </c>
      <c r="AD56" s="33">
        <f t="shared" ca="1" si="108"/>
        <v>6.6865237593066631</v>
      </c>
      <c r="AE56" s="33">
        <f t="shared" ca="1" si="108"/>
        <v>6.821002404722762</v>
      </c>
      <c r="AF56" s="33">
        <f t="shared" ca="1" si="108"/>
        <v>6.9586345482293668</v>
      </c>
      <c r="AG56" s="33">
        <f t="shared" ca="1" si="108"/>
        <v>7.0994786205364662</v>
      </c>
      <c r="AH56" s="33">
        <f t="shared" ca="1" si="108"/>
        <v>7.2435942673607681</v>
      </c>
      <c r="AI56" s="33">
        <f t="shared" ca="1" si="108"/>
        <v>7.3836733765015312</v>
      </c>
      <c r="AJ56" s="33">
        <f t="shared" ca="1" si="108"/>
        <v>7.5266437803802573</v>
      </c>
      <c r="AK56" s="33">
        <f t="shared" ca="1" si="108"/>
        <v>7.6725624077661534</v>
      </c>
      <c r="AL56" s="33">
        <f t="shared" ca="1" si="108"/>
        <v>7.8214873349750667</v>
      </c>
      <c r="AM56" s="33">
        <f t="shared" ca="1" si="108"/>
        <v>7.9734778087307072</v>
      </c>
      <c r="AN56" s="33">
        <f t="shared" ca="1" si="108"/>
        <v>8.1285942694839814</v>
      </c>
      <c r="AO56" s="33">
        <f t="shared" ca="1" si="108"/>
        <v>8.2868983751996161</v>
      </c>
      <c r="AP56" s="33">
        <f t="shared" ref="AP56:BU56" ca="1" si="109">IF(_arpuP2=0,0,_p.lost*AO$57)</f>
        <v>8.4484530256193882</v>
      </c>
      <c r="AQ56" s="33">
        <f t="shared" ca="1" si="109"/>
        <v>8.6133223870114808</v>
      </c>
      <c r="AR56" s="33">
        <f t="shared" ca="1" si="109"/>
        <v>8.7815719174157003</v>
      </c>
      <c r="AS56" s="33">
        <f t="shared" ca="1" si="109"/>
        <v>8.9532683923944489</v>
      </c>
      <c r="AT56" s="33">
        <f t="shared" ca="1" si="109"/>
        <v>9.1284799312995517</v>
      </c>
      <c r="AU56" s="33">
        <f t="shared" ca="1" si="109"/>
        <v>9.3066228473404529</v>
      </c>
      <c r="AV56" s="33">
        <f t="shared" ca="1" si="109"/>
        <v>9.488376592268871</v>
      </c>
      <c r="AW56" s="33">
        <f t="shared" ca="1" si="109"/>
        <v>9.6738129029568842</v>
      </c>
      <c r="AX56" s="33">
        <f t="shared" ca="1" si="109"/>
        <v>9.8630049558110784</v>
      </c>
      <c r="AY56" s="33">
        <f t="shared" ca="1" si="109"/>
        <v>10.056027395515249</v>
      </c>
      <c r="AZ56" s="33">
        <f t="shared" ca="1" si="109"/>
        <v>10.252956364348472</v>
      </c>
      <c r="BA56" s="33">
        <f t="shared" ca="1" si="109"/>
        <v>10.453869532089977</v>
      </c>
      <c r="BB56" s="33">
        <f t="shared" ca="1" si="109"/>
        <v>10.658846126522612</v>
      </c>
      <c r="BC56" s="33">
        <f t="shared" ca="1" si="109"/>
        <v>10.867966964546834</v>
      </c>
      <c r="BD56" s="33">
        <f t="shared" ca="1" si="109"/>
        <v>11.081314483917453</v>
      </c>
      <c r="BE56" s="33">
        <f t="shared" ca="1" si="109"/>
        <v>11.29897277561553</v>
      </c>
      <c r="BF56" s="33">
        <f t="shared" ca="1" si="109"/>
        <v>11.521027616868217</v>
      </c>
      <c r="BG56" s="33">
        <f t="shared" ca="1" si="109"/>
        <v>11.747508608232659</v>
      </c>
      <c r="BH56" s="33">
        <f t="shared" ca="1" si="109"/>
        <v>11.978558943328101</v>
      </c>
      <c r="BI56" s="33">
        <f t="shared" ca="1" si="109"/>
        <v>12.214269611790131</v>
      </c>
      <c r="BJ56" s="33">
        <f t="shared" ca="1" si="109"/>
        <v>12.454733427019431</v>
      </c>
      <c r="BK56" s="33">
        <f t="shared" ca="1" si="109"/>
        <v>12.700045062617367</v>
      </c>
      <c r="BL56" s="33">
        <f t="shared" ca="1" si="109"/>
        <v>12.950301089550672</v>
      </c>
      <c r="BM56" s="33">
        <f t="shared" ca="1" si="109"/>
        <v>13.205600014059822</v>
      </c>
      <c r="BN56" s="33">
        <f t="shared" ca="1" si="109"/>
        <v>13.466042316325959</v>
      </c>
      <c r="BO56" s="33">
        <f t="shared" ca="1" si="109"/>
        <v>13.731730489911554</v>
      </c>
      <c r="BP56" s="33">
        <f t="shared" ca="1" si="109"/>
        <v>14.002769081990255</v>
      </c>
      <c r="BQ56" s="33">
        <f t="shared" ca="1" si="109"/>
        <v>14.279264734381711</v>
      </c>
      <c r="BR56" s="33">
        <f t="shared" ca="1" si="109"/>
        <v>14.561326225407464</v>
      </c>
      <c r="BS56" s="33">
        <f t="shared" ca="1" si="109"/>
        <v>14.822811134410667</v>
      </c>
      <c r="BT56" s="33">
        <f t="shared" ca="1" si="109"/>
        <v>15.063574940541542</v>
      </c>
      <c r="BU56" s="33">
        <f t="shared" ca="1" si="109"/>
        <v>15.283462729753166</v>
      </c>
      <c r="BV56" s="33">
        <f t="shared" ref="BV56:CC56" ca="1" si="110">IF(_arpuP2=0,0,_p.lost*BU$57)</f>
        <v>15.482313894637578</v>
      </c>
      <c r="BW56" s="33">
        <f t="shared" ca="1" si="110"/>
        <v>15.659962046509337</v>
      </c>
      <c r="BX56" s="33">
        <f t="shared" ca="1" si="110"/>
        <v>15.816234925471301</v>
      </c>
      <c r="BY56" s="33">
        <f t="shared" ca="1" si="110"/>
        <v>15.950954308424748</v>
      </c>
      <c r="BZ56" s="33">
        <f t="shared" ca="1" si="110"/>
        <v>16.063935914985379</v>
      </c>
      <c r="CA56" s="33">
        <f t="shared" ca="1" si="110"/>
        <v>16.154989311265858</v>
      </c>
      <c r="CB56" s="33">
        <f t="shared" ca="1" si="110"/>
        <v>16.223917811484704</v>
      </c>
      <c r="CC56" s="33">
        <f t="shared" ca="1" si="110"/>
        <v>16.270518377360546</v>
      </c>
      <c r="CD56" s="33">
        <f t="shared" ref="CD56:DY56" ca="1" si="111">IF(_arpuP2=0,0,_p.lost*CC$57)</f>
        <v>16.294581515250005</v>
      </c>
      <c r="CE56" s="33">
        <f t="shared" ca="1" si="111"/>
        <v>16.316830159697467</v>
      </c>
      <c r="CF56" s="33">
        <f t="shared" ca="1" si="111"/>
        <v>16.337251406756845</v>
      </c>
      <c r="CG56" s="33">
        <f t="shared" ca="1" si="111"/>
        <v>16.355831432183148</v>
      </c>
      <c r="CH56" s="33">
        <f t="shared" ca="1" si="111"/>
        <v>16.372555908009463</v>
      </c>
      <c r="CI56" s="33">
        <f t="shared" ca="1" si="111"/>
        <v>16.387409994744868</v>
      </c>
      <c r="CJ56" s="33">
        <f t="shared" ca="1" si="111"/>
        <v>16.400378333393618</v>
      </c>
      <c r="CK56" s="33">
        <f t="shared" ca="1" si="111"/>
        <v>16.4114450372922</v>
      </c>
      <c r="CL56" s="33">
        <f t="shared" ca="1" si="111"/>
        <v>16.420593683760838</v>
      </c>
      <c r="CM56" s="33">
        <f t="shared" ca="1" si="111"/>
        <v>16.42780730556602</v>
      </c>
      <c r="CN56" s="33">
        <f t="shared" ca="1" si="111"/>
        <v>16.433068382190395</v>
      </c>
      <c r="CO56" s="33">
        <f t="shared" ca="1" si="111"/>
        <v>16.436358830906521</v>
      </c>
      <c r="CP56" s="33">
        <f t="shared" ca="1" si="111"/>
        <v>16.437659997650638</v>
      </c>
      <c r="CQ56" s="33">
        <f t="shared" ca="1" si="111"/>
        <v>16.438808647975023</v>
      </c>
      <c r="CR56" s="33">
        <f t="shared" ca="1" si="111"/>
        <v>16.439803554918079</v>
      </c>
      <c r="CS56" s="33">
        <f t="shared" ca="1" si="111"/>
        <v>16.440643410776058</v>
      </c>
      <c r="CT56" s="33">
        <f t="shared" ca="1" si="111"/>
        <v>16.441326864019491</v>
      </c>
      <c r="CU56" s="33">
        <f t="shared" ca="1" si="111"/>
        <v>16.441852518593414</v>
      </c>
      <c r="CV56" s="33">
        <f t="shared" ca="1" si="111"/>
        <v>16.442218933201769</v>
      </c>
      <c r="CW56" s="33">
        <f t="shared" ca="1" si="111"/>
        <v>16.442424620575828</v>
      </c>
      <c r="CX56" s="33">
        <f t="shared" ca="1" si="111"/>
        <v>16.442468046726162</v>
      </c>
      <c r="CY56" s="33">
        <f t="shared" ca="1" si="111"/>
        <v>16.442347630178006</v>
      </c>
      <c r="CZ56" s="33">
        <f t="shared" ca="1" si="111"/>
        <v>16.442061741189612</v>
      </c>
      <c r="DA56" s="33">
        <f t="shared" ca="1" si="111"/>
        <v>16.441608700953267</v>
      </c>
      <c r="DB56" s="33">
        <f t="shared" ca="1" si="111"/>
        <v>16.44098678077869</v>
      </c>
      <c r="DC56" s="33">
        <f t="shared" ca="1" si="111"/>
        <v>16.440358714315661</v>
      </c>
      <c r="DD56" s="33">
        <f t="shared" ca="1" si="111"/>
        <v>16.439724319082803</v>
      </c>
      <c r="DE56" s="33">
        <f t="shared" ca="1" si="111"/>
        <v>16.439083406179119</v>
      </c>
      <c r="DF56" s="33">
        <f t="shared" ca="1" si="111"/>
        <v>16.438435783548858</v>
      </c>
      <c r="DG56" s="33">
        <f t="shared" ca="1" si="111"/>
        <v>16.437781255912167</v>
      </c>
      <c r="DH56" s="33">
        <f t="shared" ca="1" si="111"/>
        <v>16.437119624694464</v>
      </c>
      <c r="DI56" s="33">
        <f t="shared" ca="1" si="111"/>
        <v>16.436450687954405</v>
      </c>
      <c r="DJ56" s="33">
        <f t="shared" ca="1" si="111"/>
        <v>16.435774240310529</v>
      </c>
      <c r="DK56" s="33">
        <f t="shared" ca="1" si="111"/>
        <v>16.435090072866444</v>
      </c>
      <c r="DL56" s="33">
        <f t="shared" ca="1" si="111"/>
        <v>16.434397973134622</v>
      </c>
      <c r="DM56" s="33">
        <f t="shared" ca="1" si="111"/>
        <v>16.433697724958698</v>
      </c>
      <c r="DN56" s="33">
        <f t="shared" ca="1" si="111"/>
        <v>16.432989108434281</v>
      </c>
      <c r="DO56" s="33">
        <f t="shared" ca="1" si="111"/>
        <v>16.432286482016764</v>
      </c>
      <c r="DP56" s="33">
        <f t="shared" ca="1" si="111"/>
        <v>16.431589764182227</v>
      </c>
      <c r="DQ56" s="33">
        <f t="shared" ca="1" si="111"/>
        <v>16.430898873491223</v>
      </c>
      <c r="DR56" s="33">
        <f t="shared" ca="1" si="111"/>
        <v>16.43021372887161</v>
      </c>
      <c r="DS56" s="33">
        <f t="shared" ca="1" si="111"/>
        <v>16.429534249605968</v>
      </c>
      <c r="DT56" s="33">
        <f t="shared" ca="1" si="111"/>
        <v>16.428860355318911</v>
      </c>
      <c r="DU56" s="33">
        <f t="shared" ca="1" si="111"/>
        <v>16.428191965964377</v>
      </c>
      <c r="DV56" s="33">
        <f t="shared" ca="1" si="111"/>
        <v>16.427529001812829</v>
      </c>
      <c r="DW56" s="33">
        <f t="shared" ca="1" si="111"/>
        <v>16.426871383438424</v>
      </c>
      <c r="DX56" s="33">
        <f t="shared" ca="1" si="111"/>
        <v>16.426219031706111</v>
      </c>
      <c r="DY56" s="33">
        <f t="shared" ca="1" si="111"/>
        <v>16.425571867758631</v>
      </c>
    </row>
    <row r="57" spans="2:129" outlineLevel="1">
      <c r="C57" s="55" t="s">
        <v>125</v>
      </c>
      <c r="D57" s="55"/>
      <c r="E57" s="55"/>
      <c r="F57" s="55" t="s">
        <v>278</v>
      </c>
      <c r="H57" s="221"/>
      <c r="I57" s="582">
        <f>'Model Assumptions'!H25</f>
        <v>1000</v>
      </c>
      <c r="J57" s="118">
        <f ca="1">+_activeinstallationsBoPP2+_NewSalesP2+_RetainedSalesP2-_EndingContractP2-_RepossessedP2-_LostP2</f>
        <v>1025.5211346212902</v>
      </c>
      <c r="K57" s="118">
        <f t="shared" ref="K57:R57" ca="1" si="112">+_activeinstallationsBoPP2+_NewSalesP2+_RetainedSalesP2-_EndingContractP2-_RepossessedP2-_LostP2</f>
        <v>1052.8270578963677</v>
      </c>
      <c r="L57" s="118">
        <f t="shared" ca="1" si="112"/>
        <v>1081.9407219386942</v>
      </c>
      <c r="M57" s="118">
        <f t="shared" ca="1" si="112"/>
        <v>1112.8856653405976</v>
      </c>
      <c r="N57" s="118">
        <f t="shared" ca="1" si="112"/>
        <v>1145.686023628482</v>
      </c>
      <c r="O57" s="118">
        <f t="shared" ca="1" si="112"/>
        <v>1180.3665399398876</v>
      </c>
      <c r="P57" s="118">
        <f t="shared" ca="1" si="112"/>
        <v>1216.9525759267071</v>
      </c>
      <c r="Q57" s="118">
        <f t="shared" ca="1" si="112"/>
        <v>1255.4701228889569</v>
      </c>
      <c r="R57" s="118">
        <f t="shared" ca="1" si="112"/>
        <v>1295.9458131435886</v>
      </c>
      <c r="S57" s="118">
        <f t="shared" ref="S57:AW57" ca="1" si="113">+_activeinstallationsBoPP2+_NewSalesP2+_RetainedSalesP2-_EndingContractP2-_RepossessedP2-_LostP2</f>
        <v>1338.4069316329187</v>
      </c>
      <c r="T57" s="118">
        <f t="shared" ca="1" si="113"/>
        <v>1382.8814277773452</v>
      </c>
      <c r="U57" s="118">
        <f t="shared" ca="1" si="113"/>
        <v>1429.3979275771164</v>
      </c>
      <c r="V57" s="118">
        <f ca="1">+_activeinstallationsBoPP2+_NewSalesP2+_RetainedSalesP2-_EndingContractP2-_RepossessedP2-_LostP2</f>
        <v>1457.2018940671303</v>
      </c>
      <c r="W57" s="118">
        <f t="shared" ca="1" si="113"/>
        <v>1485.6876315286809</v>
      </c>
      <c r="X57" s="118">
        <f t="shared" ca="1" si="113"/>
        <v>1514.8675184647814</v>
      </c>
      <c r="Y57" s="118">
        <f t="shared" ca="1" si="113"/>
        <v>1544.7541935176694</v>
      </c>
      <c r="Z57" s="118">
        <f t="shared" ca="1" si="113"/>
        <v>1575.3605605459006</v>
      </c>
      <c r="AA57" s="118">
        <f t="shared" ca="1" si="113"/>
        <v>1606.6997938042389</v>
      </c>
      <c r="AB57" s="118">
        <f t="shared" ca="1" si="113"/>
        <v>1638.7853432283905</v>
      </c>
      <c r="AC57" s="118">
        <f t="shared" ca="1" si="113"/>
        <v>1671.6309398266658</v>
      </c>
      <c r="AD57" s="118">
        <f t="shared" ca="1" si="113"/>
        <v>1705.2506011806904</v>
      </c>
      <c r="AE57" s="118">
        <f t="shared" ca="1" si="113"/>
        <v>1739.6586370573416</v>
      </c>
      <c r="AF57" s="118">
        <f t="shared" ca="1" si="113"/>
        <v>1774.8696551341166</v>
      </c>
      <c r="AG57" s="118">
        <f t="shared" ca="1" si="113"/>
        <v>1810.898566840192</v>
      </c>
      <c r="AH57" s="118">
        <f t="shared" ca="1" si="113"/>
        <v>1845.9183441253829</v>
      </c>
      <c r="AI57" s="118">
        <f t="shared" ca="1" si="113"/>
        <v>1881.6609450950643</v>
      </c>
      <c r="AJ57" s="118">
        <f t="shared" ca="1" si="113"/>
        <v>1918.1406019415383</v>
      </c>
      <c r="AK57" s="118">
        <f t="shared" ca="1" si="113"/>
        <v>1955.3718337437667</v>
      </c>
      <c r="AL57" s="118">
        <f t="shared" ca="1" si="113"/>
        <v>1993.3694521826767</v>
      </c>
      <c r="AM57" s="118">
        <f t="shared" ca="1" si="113"/>
        <v>2032.1485673709951</v>
      </c>
      <c r="AN57" s="118">
        <f t="shared" ca="1" si="113"/>
        <v>2071.7245937999041</v>
      </c>
      <c r="AO57" s="118">
        <f t="shared" ca="1" si="113"/>
        <v>2112.1132564048471</v>
      </c>
      <c r="AP57" s="118">
        <f t="shared" ca="1" si="113"/>
        <v>2153.33059675287</v>
      </c>
      <c r="AQ57" s="118">
        <f t="shared" ca="1" si="113"/>
        <v>2195.3929793539251</v>
      </c>
      <c r="AR57" s="118">
        <f t="shared" ca="1" si="113"/>
        <v>2238.3170980986124</v>
      </c>
      <c r="AS57" s="118">
        <f t="shared" ca="1" si="113"/>
        <v>2282.1199828248878</v>
      </c>
      <c r="AT57" s="118">
        <f t="shared" ca="1" si="113"/>
        <v>2326.6557118351134</v>
      </c>
      <c r="AU57" s="118">
        <f t="shared" ca="1" si="113"/>
        <v>2372.0941480672177</v>
      </c>
      <c r="AV57" s="118">
        <f t="shared" ca="1" si="113"/>
        <v>2418.4532257392211</v>
      </c>
      <c r="AW57" s="118">
        <f t="shared" ca="1" si="113"/>
        <v>2465.7512389527697</v>
      </c>
      <c r="AX57" s="118">
        <f t="shared" ref="AX57:DI57" ca="1" si="114">+_activeinstallationsBoPP2+_NewSalesP2+_RetainedSalesP2-_EndingContractP2-_RepossessedP2-_LostP2</f>
        <v>2514.0068488788124</v>
      </c>
      <c r="AY57" s="118">
        <f t="shared" ca="1" si="114"/>
        <v>2563.2390910871181</v>
      </c>
      <c r="AZ57" s="118">
        <f t="shared" ca="1" si="114"/>
        <v>2613.4673830224942</v>
      </c>
      <c r="BA57" s="118">
        <f t="shared" ca="1" si="114"/>
        <v>2664.7115316306526</v>
      </c>
      <c r="BB57" s="118">
        <f t="shared" ca="1" si="114"/>
        <v>2716.9917411367087</v>
      </c>
      <c r="BC57" s="118">
        <f t="shared" ca="1" si="114"/>
        <v>2770.3286209793632</v>
      </c>
      <c r="BD57" s="118">
        <f t="shared" ca="1" si="114"/>
        <v>2824.7431939038825</v>
      </c>
      <c r="BE57" s="118">
        <f t="shared" ca="1" si="114"/>
        <v>2880.2569042170544</v>
      </c>
      <c r="BF57" s="118">
        <f t="shared" ca="1" si="114"/>
        <v>2936.8771520581645</v>
      </c>
      <c r="BG57" s="118">
        <f t="shared" ca="1" si="114"/>
        <v>2994.6397358320255</v>
      </c>
      <c r="BH57" s="118">
        <f t="shared" ca="1" si="114"/>
        <v>3053.5674029475326</v>
      </c>
      <c r="BI57" s="118">
        <f t="shared" ca="1" si="114"/>
        <v>3113.6833567548574</v>
      </c>
      <c r="BJ57" s="118">
        <f t="shared" ca="1" si="114"/>
        <v>3175.0112656543415</v>
      </c>
      <c r="BK57" s="118">
        <f t="shared" ca="1" si="114"/>
        <v>3237.5752723876681</v>
      </c>
      <c r="BL57" s="118">
        <f t="shared" ca="1" si="114"/>
        <v>3301.4000035149556</v>
      </c>
      <c r="BM57" s="118">
        <f t="shared" ca="1" si="114"/>
        <v>3366.5105790814896</v>
      </c>
      <c r="BN57" s="118">
        <f t="shared" ca="1" si="114"/>
        <v>3432.9326224778883</v>
      </c>
      <c r="BO57" s="118">
        <f t="shared" ca="1" si="114"/>
        <v>3500.6922704975636</v>
      </c>
      <c r="BP57" s="118">
        <f t="shared" ca="1" si="114"/>
        <v>3569.8161835954274</v>
      </c>
      <c r="BQ57" s="118">
        <f t="shared" ca="1" si="114"/>
        <v>3640.3315563518659</v>
      </c>
      <c r="BR57" s="118">
        <f t="shared" ca="1" si="114"/>
        <v>3705.7027836026668</v>
      </c>
      <c r="BS57" s="118">
        <f t="shared" ca="1" si="114"/>
        <v>3765.8937351353857</v>
      </c>
      <c r="BT57" s="118">
        <f t="shared" ca="1" si="114"/>
        <v>3820.8656824382915</v>
      </c>
      <c r="BU57" s="118">
        <f t="shared" ca="1" si="114"/>
        <v>3870.5784736593941</v>
      </c>
      <c r="BV57" s="118">
        <f t="shared" ca="1" si="114"/>
        <v>3914.9905116273339</v>
      </c>
      <c r="BW57" s="118">
        <f t="shared" ca="1" si="114"/>
        <v>3954.0587313678252</v>
      </c>
      <c r="BX57" s="118">
        <f t="shared" ca="1" si="114"/>
        <v>3987.7385771061868</v>
      </c>
      <c r="BY57" s="118">
        <f t="shared" ca="1" si="114"/>
        <v>4015.9839787463447</v>
      </c>
      <c r="BZ57" s="118">
        <f t="shared" ca="1" si="114"/>
        <v>4038.7473278164648</v>
      </c>
      <c r="CA57" s="118">
        <f t="shared" ca="1" si="114"/>
        <v>4055.9794528711759</v>
      </c>
      <c r="CB57" s="118">
        <f t="shared" ca="1" si="114"/>
        <v>4067.6295943401365</v>
      </c>
      <c r="CC57" s="118">
        <f t="shared" ca="1" si="114"/>
        <v>4073.6453788125013</v>
      </c>
      <c r="CD57" s="118">
        <f t="shared" ca="1" si="114"/>
        <v>4079.2075399243663</v>
      </c>
      <c r="CE57" s="118">
        <f t="shared" ca="1" si="114"/>
        <v>4084.3128516892116</v>
      </c>
      <c r="CF57" s="118">
        <f t="shared" ca="1" si="114"/>
        <v>4088.9578580457874</v>
      </c>
      <c r="CG57" s="118">
        <f t="shared" ca="1" si="114"/>
        <v>4093.1389770023657</v>
      </c>
      <c r="CH57" s="118">
        <f t="shared" ca="1" si="114"/>
        <v>4096.8524986862167</v>
      </c>
      <c r="CI57" s="118">
        <f t="shared" ca="1" si="114"/>
        <v>4100.0945833484047</v>
      </c>
      <c r="CJ57" s="118">
        <f t="shared" ca="1" si="114"/>
        <v>4102.86125932305</v>
      </c>
      <c r="CK57" s="118">
        <f t="shared" ca="1" si="114"/>
        <v>4105.1484209402097</v>
      </c>
      <c r="CL57" s="118">
        <f t="shared" ca="1" si="114"/>
        <v>4106.9518263915052</v>
      </c>
      <c r="CM57" s="118">
        <f t="shared" ca="1" si="114"/>
        <v>4108.2670955475987</v>
      </c>
      <c r="CN57" s="118">
        <f t="shared" ca="1" si="114"/>
        <v>4109.08970772663</v>
      </c>
      <c r="CO57" s="118">
        <f t="shared" ca="1" si="114"/>
        <v>4109.4149994126592</v>
      </c>
      <c r="CP57" s="118">
        <f t="shared" ca="1" si="114"/>
        <v>4109.7021619937559</v>
      </c>
      <c r="CQ57" s="118">
        <f t="shared" ca="1" si="114"/>
        <v>4109.9508887295196</v>
      </c>
      <c r="CR57" s="118">
        <f t="shared" ca="1" si="114"/>
        <v>4110.1608526940145</v>
      </c>
      <c r="CS57" s="118">
        <f t="shared" ca="1" si="114"/>
        <v>4110.3317160048728</v>
      </c>
      <c r="CT57" s="118">
        <f t="shared" ca="1" si="114"/>
        <v>4110.4631296483531</v>
      </c>
      <c r="CU57" s="118">
        <f t="shared" ca="1" si="114"/>
        <v>4110.5547333004424</v>
      </c>
      <c r="CV57" s="118">
        <f t="shared" ca="1" si="114"/>
        <v>4110.606155143957</v>
      </c>
      <c r="CW57" s="118">
        <f t="shared" ca="1" si="114"/>
        <v>4110.6170116815401</v>
      </c>
      <c r="CX57" s="118">
        <f t="shared" ca="1" si="114"/>
        <v>4110.5869075445016</v>
      </c>
      <c r="CY57" s="118">
        <f t="shared" ca="1" si="114"/>
        <v>4110.5154352974032</v>
      </c>
      <c r="CZ57" s="118">
        <f t="shared" ca="1" si="114"/>
        <v>4110.4021752383169</v>
      </c>
      <c r="DA57" s="118">
        <f t="shared" ca="1" si="114"/>
        <v>4110.2466951946726</v>
      </c>
      <c r="DB57" s="118">
        <f t="shared" ca="1" si="114"/>
        <v>4110.0896785789155</v>
      </c>
      <c r="DC57" s="118">
        <f t="shared" ca="1" si="114"/>
        <v>4109.9310797707003</v>
      </c>
      <c r="DD57" s="118">
        <f t="shared" ca="1" si="114"/>
        <v>4109.7708515447794</v>
      </c>
      <c r="DE57" s="118">
        <f t="shared" ca="1" si="114"/>
        <v>4109.6089458872148</v>
      </c>
      <c r="DF57" s="118">
        <f t="shared" ca="1" si="114"/>
        <v>4109.4453139780417</v>
      </c>
      <c r="DG57" s="118">
        <f t="shared" ca="1" si="114"/>
        <v>4109.2799061736159</v>
      </c>
      <c r="DH57" s="118">
        <f t="shared" ca="1" si="114"/>
        <v>4109.1126719886015</v>
      </c>
      <c r="DI57" s="118">
        <f t="shared" ca="1" si="114"/>
        <v>4108.9435600776324</v>
      </c>
      <c r="DJ57" s="118">
        <f t="shared" ref="DJ57:DY57" ca="1" si="115">+_activeinstallationsBoPP2+_NewSalesP2+_RetainedSalesP2-_EndingContractP2-_RepossessedP2-_LostP2</f>
        <v>4108.7725182166114</v>
      </c>
      <c r="DK57" s="118">
        <f t="shared" ca="1" si="115"/>
        <v>4108.5994932836556</v>
      </c>
      <c r="DL57" s="118">
        <f t="shared" ca="1" si="115"/>
        <v>4108.424431239674</v>
      </c>
      <c r="DM57" s="118">
        <f t="shared" ca="1" si="115"/>
        <v>4108.2472771085704</v>
      </c>
      <c r="DN57" s="118">
        <f t="shared" ca="1" si="115"/>
        <v>4108.0716205041908</v>
      </c>
      <c r="DO57" s="118">
        <f t="shared" ca="1" si="115"/>
        <v>4107.8974410455567</v>
      </c>
      <c r="DP57" s="118">
        <f t="shared" ca="1" si="115"/>
        <v>4107.7247183728059</v>
      </c>
      <c r="DQ57" s="118">
        <f t="shared" ca="1" si="115"/>
        <v>4107.5534322179028</v>
      </c>
      <c r="DR57" s="118">
        <f t="shared" ca="1" si="115"/>
        <v>4107.3835624014919</v>
      </c>
      <c r="DS57" s="118">
        <f t="shared" ca="1" si="115"/>
        <v>4107.2150888297274</v>
      </c>
      <c r="DT57" s="118">
        <f t="shared" ca="1" si="115"/>
        <v>4107.0479914910939</v>
      </c>
      <c r="DU57" s="118">
        <f t="shared" ca="1" si="115"/>
        <v>4106.8822504532072</v>
      </c>
      <c r="DV57" s="118">
        <f t="shared" ca="1" si="115"/>
        <v>4106.7178458596063</v>
      </c>
      <c r="DW57" s="118">
        <f t="shared" ca="1" si="115"/>
        <v>4106.5547579265276</v>
      </c>
      <c r="DX57" s="118">
        <f t="shared" ca="1" si="115"/>
        <v>4106.3929669396575</v>
      </c>
      <c r="DY57" s="118">
        <f t="shared" ca="1" si="115"/>
        <v>4106.232453250871</v>
      </c>
    </row>
    <row r="58" spans="2:129" outlineLevel="1">
      <c r="J58" s="11"/>
      <c r="K58" s="5"/>
      <c r="L58" s="11"/>
      <c r="M58" s="5"/>
      <c r="N58" s="11"/>
      <c r="O58" s="5"/>
      <c r="P58" s="11"/>
      <c r="Q58" s="11"/>
      <c r="R58" s="5"/>
      <c r="S58" s="5"/>
      <c r="T58" s="5"/>
      <c r="U58" s="5"/>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row>
    <row r="59" spans="2:129" outlineLevel="1">
      <c r="D59" s="5" t="s">
        <v>81</v>
      </c>
      <c r="F59" s="5" t="s">
        <v>279</v>
      </c>
      <c r="J59" s="35">
        <f ca="1">SUM(J52:J53)</f>
        <v>109.38654059763441</v>
      </c>
      <c r="K59" s="35">
        <f t="shared" ref="K59:R59" ca="1" si="116">SUM(K52:K53)</f>
        <v>111.42654059763441</v>
      </c>
      <c r="L59" s="35">
        <f t="shared" ca="1" si="116"/>
        <v>113.50734059763441</v>
      </c>
      <c r="M59" s="35">
        <f t="shared" ca="1" si="116"/>
        <v>115.62975659763441</v>
      </c>
      <c r="N59" s="35">
        <f t="shared" ca="1" si="116"/>
        <v>117.79462091763442</v>
      </c>
      <c r="O59" s="35">
        <f t="shared" ca="1" si="116"/>
        <v>120.00278252403442</v>
      </c>
      <c r="P59" s="35">
        <f t="shared" ca="1" si="116"/>
        <v>122.25510736256241</v>
      </c>
      <c r="Q59" s="35">
        <f t="shared" ca="1" si="116"/>
        <v>124.55247869786098</v>
      </c>
      <c r="R59" s="35">
        <f t="shared" ca="1" si="116"/>
        <v>126.89579745986551</v>
      </c>
      <c r="S59" s="35">
        <f t="shared" ref="S59:CC59" ca="1" si="117">SUM(S52:S53)</f>
        <v>129.28598259711015</v>
      </c>
      <c r="T59" s="35">
        <f t="shared" ca="1" si="117"/>
        <v>131.72397143709966</v>
      </c>
      <c r="U59" s="35">
        <f t="shared" ca="1" si="117"/>
        <v>134.21072005388896</v>
      </c>
      <c r="V59" s="35">
        <f t="shared" ca="1" si="117"/>
        <v>139.05652052089019</v>
      </c>
      <c r="W59" s="35">
        <f t="shared" ca="1" si="117"/>
        <v>141.82455629562787</v>
      </c>
      <c r="X59" s="35">
        <f t="shared" ca="1" si="117"/>
        <v>144.6479527858603</v>
      </c>
      <c r="Y59" s="35">
        <f t="shared" ca="1" si="117"/>
        <v>147.52781720589741</v>
      </c>
      <c r="Z59" s="35">
        <f t="shared" ca="1" si="117"/>
        <v>150.46527891433524</v>
      </c>
      <c r="AA59" s="35">
        <f t="shared" ca="1" si="117"/>
        <v>153.46148985694185</v>
      </c>
      <c r="AB59" s="35">
        <f t="shared" ca="1" si="117"/>
        <v>156.51762501840054</v>
      </c>
      <c r="AC59" s="35">
        <f t="shared" ca="1" si="117"/>
        <v>159.63488288308847</v>
      </c>
      <c r="AD59" s="35">
        <f t="shared" ca="1" si="117"/>
        <v>162.81448590507011</v>
      </c>
      <c r="AE59" s="35">
        <f t="shared" ca="1" si="117"/>
        <v>166.05768098749138</v>
      </c>
      <c r="AF59" s="35">
        <f t="shared" ca="1" si="117"/>
        <v>169.36573997156108</v>
      </c>
      <c r="AG59" s="35">
        <f t="shared" ca="1" si="117"/>
        <v>172.73996013531217</v>
      </c>
      <c r="AH59" s="35">
        <f t="shared" ca="1" si="117"/>
        <v>176.38635905679314</v>
      </c>
      <c r="AI59" s="35">
        <f t="shared" ca="1" si="117"/>
        <v>179.91292554923226</v>
      </c>
      <c r="AJ59" s="35">
        <f t="shared" ca="1" si="117"/>
        <v>183.51002337152013</v>
      </c>
      <c r="AK59" s="35">
        <f t="shared" ca="1" si="117"/>
        <v>187.1790631502538</v>
      </c>
      <c r="AL59" s="35">
        <f t="shared" ca="1" si="117"/>
        <v>190.92148372456211</v>
      </c>
      <c r="AM59" s="35">
        <f t="shared" ca="1" si="117"/>
        <v>194.73875271035661</v>
      </c>
      <c r="AN59" s="35">
        <f t="shared" ca="1" si="117"/>
        <v>198.63236707586699</v>
      </c>
      <c r="AO59" s="35">
        <f t="shared" ca="1" si="117"/>
        <v>202.6038537286876</v>
      </c>
      <c r="AP59" s="35">
        <f t="shared" ca="1" si="117"/>
        <v>206.6547701145646</v>
      </c>
      <c r="AQ59" s="35">
        <f t="shared" ca="1" si="117"/>
        <v>210.78670482815915</v>
      </c>
      <c r="AR59" s="35">
        <f t="shared" ca="1" si="117"/>
        <v>215.0012782360256</v>
      </c>
      <c r="AS59" s="35">
        <f t="shared" ca="1" si="117"/>
        <v>219.30014311204934</v>
      </c>
      <c r="AT59" s="35">
        <f t="shared" ca="1" si="117"/>
        <v>223.70312908350505</v>
      </c>
      <c r="AU59" s="35">
        <f t="shared" ca="1" si="117"/>
        <v>228.17708878348498</v>
      </c>
      <c r="AV59" s="35">
        <f t="shared" ca="1" si="117"/>
        <v>232.74052767746454</v>
      </c>
      <c r="AW59" s="35">
        <f t="shared" ca="1" si="117"/>
        <v>237.39523534932368</v>
      </c>
      <c r="AX59" s="35">
        <f t="shared" ca="1" si="117"/>
        <v>242.14303717461999</v>
      </c>
      <c r="AY59" s="35">
        <f t="shared" ca="1" si="117"/>
        <v>246.98579503642225</v>
      </c>
      <c r="AZ59" s="35">
        <f t="shared" ca="1" si="117"/>
        <v>251.92540805546054</v>
      </c>
      <c r="BA59" s="35">
        <f t="shared" ca="1" si="117"/>
        <v>256.96381333487955</v>
      </c>
      <c r="BB59" s="35">
        <f t="shared" ca="1" si="117"/>
        <v>262.10298671988699</v>
      </c>
      <c r="BC59" s="35">
        <f t="shared" ca="1" si="117"/>
        <v>267.34494357259462</v>
      </c>
      <c r="BD59" s="35">
        <f t="shared" ca="1" si="117"/>
        <v>272.69173956235636</v>
      </c>
      <c r="BE59" s="35">
        <f t="shared" ca="1" si="117"/>
        <v>278.14547147191331</v>
      </c>
      <c r="BF59" s="35">
        <f t="shared" ca="1" si="117"/>
        <v>283.70988625845985</v>
      </c>
      <c r="BG59" s="35">
        <f t="shared" ca="1" si="117"/>
        <v>289.38407486435165</v>
      </c>
      <c r="BH59" s="35">
        <f t="shared" ca="1" si="117"/>
        <v>295.17174724236133</v>
      </c>
      <c r="BI59" s="35">
        <f t="shared" ca="1" si="117"/>
        <v>301.07517306793113</v>
      </c>
      <c r="BJ59" s="35">
        <f t="shared" ca="1" si="117"/>
        <v>307.0966674100124</v>
      </c>
      <c r="BK59" s="35">
        <f t="shared" ca="1" si="117"/>
        <v>313.2385916389353</v>
      </c>
      <c r="BL59" s="35">
        <f t="shared" ca="1" si="117"/>
        <v>319.5033543524367</v>
      </c>
      <c r="BM59" s="35">
        <f t="shared" ca="1" si="117"/>
        <v>325.89341232020809</v>
      </c>
      <c r="BN59" s="35">
        <f t="shared" ca="1" si="117"/>
        <v>332.41127144733485</v>
      </c>
      <c r="BO59" s="35">
        <f t="shared" ca="1" si="117"/>
        <v>339.05948775700421</v>
      </c>
      <c r="BP59" s="35">
        <f t="shared" ca="1" si="117"/>
        <v>345.84066839286692</v>
      </c>
      <c r="BQ59" s="35">
        <f t="shared" ca="1" si="117"/>
        <v>352.75747264144684</v>
      </c>
      <c r="BR59" s="35">
        <f t="shared" ca="1" si="117"/>
        <v>353.25069395012167</v>
      </c>
      <c r="BS59" s="35">
        <f t="shared" ca="1" si="117"/>
        <v>353.75364544407432</v>
      </c>
      <c r="BT59" s="35">
        <f t="shared" ca="1" si="117"/>
        <v>354.26665596790605</v>
      </c>
      <c r="BU59" s="35">
        <f t="shared" ca="1" si="117"/>
        <v>354.78992670221442</v>
      </c>
      <c r="BV59" s="35">
        <f t="shared" ca="1" si="117"/>
        <v>355.32366285120889</v>
      </c>
      <c r="BW59" s="35">
        <f t="shared" ca="1" si="117"/>
        <v>355.86807372318333</v>
      </c>
      <c r="BX59" s="35">
        <f t="shared" ca="1" si="117"/>
        <v>356.42337281259722</v>
      </c>
      <c r="BY59" s="35">
        <f t="shared" ca="1" si="117"/>
        <v>356.98977788379938</v>
      </c>
      <c r="BZ59" s="35">
        <f t="shared" ca="1" si="117"/>
        <v>357.56751105642559</v>
      </c>
      <c r="CA59" s="35">
        <f t="shared" ca="1" si="117"/>
        <v>358.1567988925043</v>
      </c>
      <c r="CB59" s="35">
        <f t="shared" ca="1" si="117"/>
        <v>358.75787248530463</v>
      </c>
      <c r="CC59" s="35">
        <f t="shared" ca="1" si="117"/>
        <v>359.37096754996094</v>
      </c>
      <c r="CD59" s="35">
        <f t="shared" ref="CD59:DY59" ca="1" si="118">SUM(CD52:CD53)</f>
        <v>359.41468594060268</v>
      </c>
      <c r="CE59" s="35">
        <f t="shared" ca="1" si="118"/>
        <v>359.4592668001473</v>
      </c>
      <c r="CF59" s="35">
        <f t="shared" ca="1" si="118"/>
        <v>359.5047392768829</v>
      </c>
      <c r="CG59" s="35">
        <f t="shared" ca="1" si="118"/>
        <v>359.55112120315317</v>
      </c>
      <c r="CH59" s="35">
        <f t="shared" ca="1" si="118"/>
        <v>359.59843076794886</v>
      </c>
      <c r="CI59" s="35">
        <f t="shared" ca="1" si="118"/>
        <v>359.64668652404043</v>
      </c>
      <c r="CJ59" s="35">
        <f t="shared" ca="1" si="118"/>
        <v>359.69590739525387</v>
      </c>
      <c r="CK59" s="35">
        <f t="shared" ca="1" si="118"/>
        <v>359.74611268389151</v>
      </c>
      <c r="CL59" s="35">
        <f t="shared" ca="1" si="118"/>
        <v>359.79732207830199</v>
      </c>
      <c r="CM59" s="35">
        <f t="shared" ca="1" si="118"/>
        <v>359.84955566060063</v>
      </c>
      <c r="CN59" s="35">
        <f t="shared" ca="1" si="118"/>
        <v>359.90283391454528</v>
      </c>
      <c r="CO59" s="35">
        <f t="shared" ca="1" si="118"/>
        <v>359.95717773356876</v>
      </c>
      <c r="CP59" s="35">
        <f t="shared" ca="1" si="118"/>
        <v>359.96105286557685</v>
      </c>
      <c r="CQ59" s="35">
        <f t="shared" ca="1" si="118"/>
        <v>359.96500444552368</v>
      </c>
      <c r="CR59" s="35">
        <f t="shared" ca="1" si="118"/>
        <v>359.96903505706945</v>
      </c>
      <c r="CS59" s="35">
        <f t="shared" ca="1" si="118"/>
        <v>359.97314628084615</v>
      </c>
      <c r="CT59" s="35">
        <f t="shared" ca="1" si="118"/>
        <v>359.97733972909839</v>
      </c>
      <c r="CU59" s="35">
        <f t="shared" ca="1" si="118"/>
        <v>359.98161704631571</v>
      </c>
      <c r="CV59" s="35">
        <f t="shared" ca="1" si="118"/>
        <v>359.9859799098773</v>
      </c>
      <c r="CW59" s="35">
        <f t="shared" ca="1" si="118"/>
        <v>359.99043003071017</v>
      </c>
      <c r="CX59" s="35">
        <f t="shared" ca="1" si="118"/>
        <v>359.99496915395969</v>
      </c>
      <c r="CY59" s="35">
        <f t="shared" ca="1" si="118"/>
        <v>359.99959905967421</v>
      </c>
      <c r="CZ59" s="35">
        <f t="shared" ca="1" si="118"/>
        <v>360.00432156350303</v>
      </c>
      <c r="DA59" s="35">
        <f t="shared" ca="1" si="118"/>
        <v>360.00913851740836</v>
      </c>
      <c r="DB59" s="35">
        <f t="shared" ca="1" si="118"/>
        <v>360.00948200324717</v>
      </c>
      <c r="DC59" s="35">
        <f t="shared" ca="1" si="118"/>
        <v>360.00983226531559</v>
      </c>
      <c r="DD59" s="35">
        <f t="shared" ca="1" si="118"/>
        <v>360.01018953262536</v>
      </c>
      <c r="DE59" s="35">
        <f t="shared" ca="1" si="118"/>
        <v>360.01055394528134</v>
      </c>
      <c r="DF59" s="35">
        <f t="shared" ca="1" si="118"/>
        <v>360.01092564619046</v>
      </c>
      <c r="DG59" s="35">
        <f t="shared" ca="1" si="118"/>
        <v>360.01130478111776</v>
      </c>
      <c r="DH59" s="35">
        <f t="shared" ca="1" si="118"/>
        <v>360.01169149874363</v>
      </c>
      <c r="DI59" s="35">
        <f t="shared" ca="1" si="118"/>
        <v>360.01208595072194</v>
      </c>
      <c r="DJ59" s="35">
        <f t="shared" ca="1" si="118"/>
        <v>360.01248829173988</v>
      </c>
      <c r="DK59" s="35">
        <f t="shared" ca="1" si="118"/>
        <v>360.01289867957814</v>
      </c>
      <c r="DL59" s="35">
        <f t="shared" ca="1" si="118"/>
        <v>360.01331727517322</v>
      </c>
      <c r="DM59" s="35">
        <f t="shared" ca="1" si="118"/>
        <v>360.01374424268016</v>
      </c>
      <c r="DN59" s="35">
        <f t="shared" ca="1" si="118"/>
        <v>360.01377468874529</v>
      </c>
      <c r="DO59" s="35">
        <f t="shared" ca="1" si="118"/>
        <v>360.01380573544515</v>
      </c>
      <c r="DP59" s="35">
        <f t="shared" ca="1" si="118"/>
        <v>360.01383740307898</v>
      </c>
      <c r="DQ59" s="35">
        <f t="shared" ca="1" si="118"/>
        <v>360.01386970406554</v>
      </c>
      <c r="DR59" s="35">
        <f t="shared" ca="1" si="118"/>
        <v>360.01390265107176</v>
      </c>
      <c r="DS59" s="35">
        <f t="shared" ca="1" si="118"/>
        <v>360.01393625701814</v>
      </c>
      <c r="DT59" s="35">
        <f t="shared" ca="1" si="118"/>
        <v>360.0139705350835</v>
      </c>
      <c r="DU59" s="35">
        <f t="shared" ca="1" si="118"/>
        <v>360.01400549871011</v>
      </c>
      <c r="DV59" s="35">
        <f t="shared" ca="1" si="118"/>
        <v>360.01404116160927</v>
      </c>
      <c r="DW59" s="35">
        <f t="shared" ca="1" si="118"/>
        <v>360.01407753776641</v>
      </c>
      <c r="DX59" s="35">
        <f t="shared" ca="1" si="118"/>
        <v>360.01411464144667</v>
      </c>
      <c r="DY59" s="35">
        <f t="shared" ca="1" si="118"/>
        <v>360.01415248720059</v>
      </c>
    </row>
    <row r="60" spans="2:129" outlineLevel="1">
      <c r="D60" s="5" t="s">
        <v>106</v>
      </c>
      <c r="F60" s="5" t="s">
        <v>280</v>
      </c>
      <c r="H60" s="35"/>
      <c r="I60" s="444">
        <f>'Model Assumptions'!H27</f>
        <v>1000</v>
      </c>
      <c r="J60" s="35">
        <f ca="1">+I60+J59</f>
        <v>1109.3865405976344</v>
      </c>
      <c r="K60" s="35">
        <f t="shared" ref="K60:Q60" ca="1" si="119">+J60+K59</f>
        <v>1220.8130811952688</v>
      </c>
      <c r="L60" s="35">
        <f t="shared" ca="1" si="119"/>
        <v>1334.3204217929031</v>
      </c>
      <c r="M60" s="35">
        <f t="shared" ca="1" si="119"/>
        <v>1449.9501783905375</v>
      </c>
      <c r="N60" s="35">
        <f t="shared" ca="1" si="119"/>
        <v>1567.7447993081719</v>
      </c>
      <c r="O60" s="35">
        <f t="shared" ca="1" si="119"/>
        <v>1687.7475818322064</v>
      </c>
      <c r="P60" s="35">
        <f t="shared" ca="1" si="119"/>
        <v>1810.0026891947689</v>
      </c>
      <c r="Q60" s="35">
        <f t="shared" ca="1" si="119"/>
        <v>1934.5551678926299</v>
      </c>
      <c r="R60" s="35">
        <f t="shared" ref="R60:CC60" ca="1" si="120">+Q60+R59</f>
        <v>2061.4509653524956</v>
      </c>
      <c r="S60" s="35">
        <f t="shared" ca="1" si="120"/>
        <v>2190.7369479496056</v>
      </c>
      <c r="T60" s="35">
        <f t="shared" ca="1" si="120"/>
        <v>2322.4609193867054</v>
      </c>
      <c r="U60" s="35">
        <f t="shared" ca="1" si="120"/>
        <v>2456.6716394405944</v>
      </c>
      <c r="V60" s="35">
        <f ca="1">+U60+V59</f>
        <v>2595.7281599614844</v>
      </c>
      <c r="W60" s="35">
        <f t="shared" ca="1" si="120"/>
        <v>2737.5527162571125</v>
      </c>
      <c r="X60" s="35">
        <f t="shared" ca="1" si="120"/>
        <v>2882.2006690429725</v>
      </c>
      <c r="Y60" s="35">
        <f t="shared" ca="1" si="120"/>
        <v>3029.72848624887</v>
      </c>
      <c r="Z60" s="35">
        <f t="shared" ca="1" si="120"/>
        <v>3180.1937651632052</v>
      </c>
      <c r="AA60" s="35">
        <f t="shared" ca="1" si="120"/>
        <v>3333.6552550201468</v>
      </c>
      <c r="AB60" s="35">
        <f t="shared" ca="1" si="120"/>
        <v>3490.1728800385472</v>
      </c>
      <c r="AC60" s="35">
        <f t="shared" ca="1" si="120"/>
        <v>3649.8077629216355</v>
      </c>
      <c r="AD60" s="35">
        <f t="shared" ca="1" si="120"/>
        <v>3812.6222488267058</v>
      </c>
      <c r="AE60" s="35">
        <f t="shared" ca="1" si="120"/>
        <v>3978.6799298141973</v>
      </c>
      <c r="AF60" s="35">
        <f t="shared" ca="1" si="120"/>
        <v>4148.045669785758</v>
      </c>
      <c r="AG60" s="35">
        <f t="shared" ca="1" si="120"/>
        <v>4320.7856299210698</v>
      </c>
      <c r="AH60" s="35">
        <f t="shared" ca="1" si="120"/>
        <v>4497.1719889778633</v>
      </c>
      <c r="AI60" s="35">
        <f t="shared" ca="1" si="120"/>
        <v>4677.0849145270959</v>
      </c>
      <c r="AJ60" s="35">
        <f t="shared" ca="1" si="120"/>
        <v>4860.5949378986161</v>
      </c>
      <c r="AK60" s="35">
        <f t="shared" ca="1" si="120"/>
        <v>5047.7740010488696</v>
      </c>
      <c r="AL60" s="35">
        <f t="shared" ca="1" si="120"/>
        <v>5238.6954847734314</v>
      </c>
      <c r="AM60" s="35">
        <f t="shared" ca="1" si="120"/>
        <v>5433.4342374837879</v>
      </c>
      <c r="AN60" s="35">
        <f t="shared" ca="1" si="120"/>
        <v>5632.0666045596545</v>
      </c>
      <c r="AO60" s="35">
        <f t="shared" ca="1" si="120"/>
        <v>5834.6704582883422</v>
      </c>
      <c r="AP60" s="35">
        <f t="shared" ca="1" si="120"/>
        <v>6041.3252284029068</v>
      </c>
      <c r="AQ60" s="35">
        <f t="shared" ca="1" si="120"/>
        <v>6252.1119332310664</v>
      </c>
      <c r="AR60" s="35">
        <f t="shared" ca="1" si="120"/>
        <v>6467.1132114670918</v>
      </c>
      <c r="AS60" s="35">
        <f t="shared" ca="1" si="120"/>
        <v>6686.413354579141</v>
      </c>
      <c r="AT60" s="35">
        <f t="shared" ca="1" si="120"/>
        <v>6910.1164836626458</v>
      </c>
      <c r="AU60" s="35">
        <f t="shared" ca="1" si="120"/>
        <v>7138.2935724461304</v>
      </c>
      <c r="AV60" s="35">
        <f t="shared" ca="1" si="120"/>
        <v>7371.0341001235947</v>
      </c>
      <c r="AW60" s="35">
        <f t="shared" ca="1" si="120"/>
        <v>7608.429335472918</v>
      </c>
      <c r="AX60" s="35">
        <f t="shared" ca="1" si="120"/>
        <v>7850.572372647538</v>
      </c>
      <c r="AY60" s="35">
        <f t="shared" ca="1" si="120"/>
        <v>8097.5581676839602</v>
      </c>
      <c r="AZ60" s="35">
        <f t="shared" ca="1" si="120"/>
        <v>8349.4835757394212</v>
      </c>
      <c r="BA60" s="35">
        <f t="shared" ca="1" si="120"/>
        <v>8606.4473890743011</v>
      </c>
      <c r="BB60" s="35">
        <f t="shared" ca="1" si="120"/>
        <v>8868.5503757941879</v>
      </c>
      <c r="BC60" s="35">
        <f t="shared" ca="1" si="120"/>
        <v>9135.8953193667821</v>
      </c>
      <c r="BD60" s="35">
        <f t="shared" ca="1" si="120"/>
        <v>9408.5870589291389</v>
      </c>
      <c r="BE60" s="35">
        <f t="shared" ca="1" si="120"/>
        <v>9686.7325304010519</v>
      </c>
      <c r="BF60" s="35">
        <f t="shared" ca="1" si="120"/>
        <v>9970.4424166595127</v>
      </c>
      <c r="BG60" s="35">
        <f t="shared" ca="1" si="120"/>
        <v>10259.826491523865</v>
      </c>
      <c r="BH60" s="35">
        <f t="shared" ca="1" si="120"/>
        <v>10554.998238766226</v>
      </c>
      <c r="BI60" s="35">
        <f t="shared" ca="1" si="120"/>
        <v>10856.073411834157</v>
      </c>
      <c r="BJ60" s="35">
        <f t="shared" ca="1" si="120"/>
        <v>11163.17007924417</v>
      </c>
      <c r="BK60" s="35">
        <f t="shared" ca="1" si="120"/>
        <v>11476.408670883106</v>
      </c>
      <c r="BL60" s="35">
        <f t="shared" ca="1" si="120"/>
        <v>11795.912025235542</v>
      </c>
      <c r="BM60" s="35">
        <f t="shared" ca="1" si="120"/>
        <v>12121.805437555751</v>
      </c>
      <c r="BN60" s="35">
        <f t="shared" ca="1" si="120"/>
        <v>12454.216709003085</v>
      </c>
      <c r="BO60" s="35">
        <f t="shared" ca="1" si="120"/>
        <v>12793.276196760089</v>
      </c>
      <c r="BP60" s="35">
        <f t="shared" ca="1" si="120"/>
        <v>13139.116865152955</v>
      </c>
      <c r="BQ60" s="35">
        <f t="shared" ca="1" si="120"/>
        <v>13491.874337794401</v>
      </c>
      <c r="BR60" s="35">
        <f t="shared" ca="1" si="120"/>
        <v>13845.125031744523</v>
      </c>
      <c r="BS60" s="35">
        <f ca="1">+BR60+BS59</f>
        <v>14198.878677188597</v>
      </c>
      <c r="BT60" s="35">
        <f t="shared" ca="1" si="120"/>
        <v>14553.145333156503</v>
      </c>
      <c r="BU60" s="35">
        <f t="shared" ca="1" si="120"/>
        <v>14907.935259858717</v>
      </c>
      <c r="BV60" s="35">
        <f t="shared" ca="1" si="120"/>
        <v>15263.258922709927</v>
      </c>
      <c r="BW60" s="35">
        <f t="shared" ca="1" si="120"/>
        <v>15619.12699643311</v>
      </c>
      <c r="BX60" s="35">
        <f t="shared" ca="1" si="120"/>
        <v>15975.550369245706</v>
      </c>
      <c r="BY60" s="35">
        <f t="shared" ca="1" si="120"/>
        <v>16332.540147129504</v>
      </c>
      <c r="BZ60" s="35">
        <f t="shared" ca="1" si="120"/>
        <v>16690.107658185931</v>
      </c>
      <c r="CA60" s="35">
        <f t="shared" ca="1" si="120"/>
        <v>17048.264457078436</v>
      </c>
      <c r="CB60" s="35">
        <f t="shared" ca="1" si="120"/>
        <v>17407.022329563741</v>
      </c>
      <c r="CC60" s="35">
        <f t="shared" ca="1" si="120"/>
        <v>17766.3932971137</v>
      </c>
      <c r="CD60" s="35">
        <f t="shared" ref="CD60:DY60" ca="1" si="121">+CC60+CD59</f>
        <v>18125.807983054303</v>
      </c>
      <c r="CE60" s="35">
        <f t="shared" ca="1" si="121"/>
        <v>18485.267249854449</v>
      </c>
      <c r="CF60" s="35">
        <f t="shared" ca="1" si="121"/>
        <v>18844.771989131332</v>
      </c>
      <c r="CG60" s="35">
        <f t="shared" ca="1" si="121"/>
        <v>19204.323110334484</v>
      </c>
      <c r="CH60" s="35">
        <f t="shared" ca="1" si="121"/>
        <v>19563.921541102434</v>
      </c>
      <c r="CI60" s="35">
        <f t="shared" ca="1" si="121"/>
        <v>19923.568227626474</v>
      </c>
      <c r="CJ60" s="35">
        <f t="shared" ca="1" si="121"/>
        <v>20283.264135021727</v>
      </c>
      <c r="CK60" s="35">
        <f t="shared" ca="1" si="121"/>
        <v>20643.010247705617</v>
      </c>
      <c r="CL60" s="35">
        <f t="shared" ca="1" si="121"/>
        <v>21002.807569783919</v>
      </c>
      <c r="CM60" s="35">
        <f t="shared" ca="1" si="121"/>
        <v>21362.657125444519</v>
      </c>
      <c r="CN60" s="35">
        <f t="shared" ca="1" si="121"/>
        <v>21722.559959359063</v>
      </c>
      <c r="CO60" s="35">
        <f t="shared" ca="1" si="121"/>
        <v>22082.517137092633</v>
      </c>
      <c r="CP60" s="35">
        <f t="shared" ca="1" si="121"/>
        <v>22442.478189958209</v>
      </c>
      <c r="CQ60" s="35">
        <f t="shared" ca="1" si="121"/>
        <v>22802.443194403731</v>
      </c>
      <c r="CR60" s="35">
        <f t="shared" ca="1" si="121"/>
        <v>23162.412229460802</v>
      </c>
      <c r="CS60" s="35">
        <f t="shared" ca="1" si="121"/>
        <v>23522.385375741647</v>
      </c>
      <c r="CT60" s="35">
        <f t="shared" ca="1" si="121"/>
        <v>23882.362715470746</v>
      </c>
      <c r="CU60" s="35">
        <f t="shared" ca="1" si="121"/>
        <v>24242.344332517063</v>
      </c>
      <c r="CV60" s="35">
        <f t="shared" ca="1" si="121"/>
        <v>24602.330312426941</v>
      </c>
      <c r="CW60" s="35">
        <f t="shared" ca="1" si="121"/>
        <v>24962.32074245765</v>
      </c>
      <c r="CX60" s="35">
        <f t="shared" ca="1" si="121"/>
        <v>25322.315711611609</v>
      </c>
      <c r="CY60" s="35">
        <f t="shared" ca="1" si="121"/>
        <v>25682.315310671282</v>
      </c>
      <c r="CZ60" s="35">
        <f t="shared" ca="1" si="121"/>
        <v>26042.319632234783</v>
      </c>
      <c r="DA60" s="35">
        <f t="shared" ca="1" si="121"/>
        <v>26402.328770752192</v>
      </c>
      <c r="DB60" s="35">
        <f t="shared" ca="1" si="121"/>
        <v>26762.338252755439</v>
      </c>
      <c r="DC60" s="35">
        <f t="shared" ca="1" si="121"/>
        <v>27122.348085020752</v>
      </c>
      <c r="DD60" s="35">
        <f t="shared" ca="1" si="121"/>
        <v>27482.358274553379</v>
      </c>
      <c r="DE60" s="35">
        <f t="shared" ca="1" si="121"/>
        <v>27842.36882849866</v>
      </c>
      <c r="DF60" s="35">
        <f t="shared" ca="1" si="121"/>
        <v>28202.379754144851</v>
      </c>
      <c r="DG60" s="35">
        <f t="shared" ca="1" si="121"/>
        <v>28562.391058925969</v>
      </c>
      <c r="DH60" s="35">
        <f t="shared" ca="1" si="121"/>
        <v>28922.402750424713</v>
      </c>
      <c r="DI60" s="35">
        <f t="shared" ca="1" si="121"/>
        <v>29282.414836375436</v>
      </c>
      <c r="DJ60" s="35">
        <f t="shared" ca="1" si="121"/>
        <v>29642.427324667176</v>
      </c>
      <c r="DK60" s="35">
        <f t="shared" ca="1" si="121"/>
        <v>30002.440223346755</v>
      </c>
      <c r="DL60" s="35">
        <f t="shared" ca="1" si="121"/>
        <v>30362.453540621929</v>
      </c>
      <c r="DM60" s="35">
        <f t="shared" ca="1" si="121"/>
        <v>30722.467284864608</v>
      </c>
      <c r="DN60" s="35">
        <f t="shared" ca="1" si="121"/>
        <v>31082.481059553353</v>
      </c>
      <c r="DO60" s="35">
        <f t="shared" ca="1" si="121"/>
        <v>31442.494865288798</v>
      </c>
      <c r="DP60" s="35">
        <f t="shared" ca="1" si="121"/>
        <v>31802.508702691877</v>
      </c>
      <c r="DQ60" s="35">
        <f t="shared" ca="1" si="121"/>
        <v>32162.522572395941</v>
      </c>
      <c r="DR60" s="35">
        <f t="shared" ca="1" si="121"/>
        <v>32522.536475047014</v>
      </c>
      <c r="DS60" s="35">
        <f t="shared" ca="1" si="121"/>
        <v>32882.55041130403</v>
      </c>
      <c r="DT60" s="35">
        <f t="shared" ca="1" si="121"/>
        <v>33242.564381839111</v>
      </c>
      <c r="DU60" s="35">
        <f t="shared" ca="1" si="121"/>
        <v>33602.578387337824</v>
      </c>
      <c r="DV60" s="35">
        <f t="shared" ca="1" si="121"/>
        <v>33962.592428499433</v>
      </c>
      <c r="DW60" s="35">
        <f t="shared" ca="1" si="121"/>
        <v>34322.606506037198</v>
      </c>
      <c r="DX60" s="35">
        <f t="shared" ca="1" si="121"/>
        <v>34682.620620678645</v>
      </c>
      <c r="DY60" s="35">
        <f t="shared" ca="1" si="121"/>
        <v>35042.634773165846</v>
      </c>
    </row>
    <row r="61" spans="2:129" outlineLevel="1">
      <c r="J61" s="91"/>
      <c r="K61" s="35"/>
      <c r="L61" s="91"/>
      <c r="M61" s="35"/>
      <c r="N61" s="91"/>
      <c r="O61" s="35"/>
      <c r="P61" s="91"/>
      <c r="Q61" s="91"/>
      <c r="R61" s="35"/>
      <c r="S61" s="35"/>
      <c r="T61" s="35"/>
      <c r="U61" s="35"/>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row>
    <row r="62" spans="2:129" outlineLevel="1">
      <c r="B62" s="6" t="s">
        <v>251</v>
      </c>
      <c r="J62" s="11"/>
      <c r="K62" s="5"/>
      <c r="L62" s="11"/>
      <c r="M62" s="5"/>
      <c r="N62" s="11"/>
      <c r="O62" s="5"/>
      <c r="P62" s="11"/>
      <c r="Q62" s="11"/>
      <c r="R62" s="5"/>
      <c r="S62" s="5"/>
      <c r="T62" s="5"/>
      <c r="U62" s="5"/>
      <c r="V62" s="5"/>
      <c r="W62" s="5"/>
      <c r="X62" s="97"/>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row>
    <row r="63" spans="2:129" outlineLevel="1">
      <c r="C63" s="5" t="s">
        <v>4</v>
      </c>
      <c r="F63" s="5" t="s">
        <v>281</v>
      </c>
      <c r="J63" s="35">
        <f>I69</f>
        <v>800</v>
      </c>
      <c r="K63" s="35">
        <f t="shared" ref="K63:BV63" ca="1" si="122">J69</f>
        <v>825.24719103868131</v>
      </c>
      <c r="L63" s="35">
        <f t="shared" ca="1" si="122"/>
        <v>851.26191016697578</v>
      </c>
      <c r="M63" s="35">
        <f t="shared" ca="1" si="122"/>
        <v>878.05688210398728</v>
      </c>
      <c r="N63" s="35">
        <f t="shared" ca="1" si="122"/>
        <v>905.64511232162874</v>
      </c>
      <c r="O63" s="35">
        <f t="shared" ca="1" si="122"/>
        <v>934.03989239709381</v>
      </c>
      <c r="P63" s="35">
        <f t="shared" ca="1" si="122"/>
        <v>963.25480547500422</v>
      </c>
      <c r="Q63" s="35">
        <f t="shared" ca="1" si="122"/>
        <v>993.30373184139955</v>
      </c>
      <c r="R63" s="35">
        <f t="shared" ca="1" si="122"/>
        <v>1024.20085461178</v>
      </c>
      <c r="S63" s="35">
        <f t="shared" ca="1" si="122"/>
        <v>1055.9606655354592</v>
      </c>
      <c r="T63" s="35">
        <f t="shared" ca="1" si="122"/>
        <v>1088.5979709185235</v>
      </c>
      <c r="U63" s="35">
        <f t="shared" ca="1" si="122"/>
        <v>1122.127897667752</v>
      </c>
      <c r="V63" s="35">
        <f t="shared" ca="1" si="122"/>
        <v>1156.565899457883</v>
      </c>
      <c r="W63" s="35">
        <f t="shared" ca="1" si="122"/>
        <v>1191.9277630246752</v>
      </c>
      <c r="X63" s="35">
        <f t="shared" ca="1" si="122"/>
        <v>1228.2296145862531</v>
      </c>
      <c r="Y63" s="35">
        <f t="shared" ca="1" si="122"/>
        <v>1265.4879263952782</v>
      </c>
      <c r="Z63" s="35">
        <f t="shared" ca="1" si="122"/>
        <v>1303.7195234245373</v>
      </c>
      <c r="AA63" s="35">
        <f t="shared" ca="1" si="122"/>
        <v>1342.9415901885943</v>
      </c>
      <c r="AB63" s="35">
        <f t="shared" ca="1" si="122"/>
        <v>1383.1716777042034</v>
      </c>
      <c r="AC63" s="35">
        <f t="shared" ca="1" si="122"/>
        <v>1424.4277105922326</v>
      </c>
      <c r="AD63" s="35">
        <f t="shared" ca="1" si="122"/>
        <v>1466.7279943239093</v>
      </c>
      <c r="AE63" s="35">
        <f t="shared" ca="1" si="122"/>
        <v>1510.0912226142477</v>
      </c>
      <c r="AF63" s="35">
        <f t="shared" ca="1" si="122"/>
        <v>1554.5364849655807</v>
      </c>
      <c r="AG63" s="35">
        <f t="shared" ca="1" si="122"/>
        <v>1600.0832743641761</v>
      </c>
      <c r="AH63" s="35">
        <f t="shared" ca="1" si="122"/>
        <v>1646.751495132977</v>
      </c>
      <c r="AI63" s="35">
        <f t="shared" ca="1" si="122"/>
        <v>1694.5614709435649</v>
      </c>
      <c r="AJ63" s="35">
        <f t="shared" ca="1" si="122"/>
        <v>1743.5339529905118</v>
      </c>
      <c r="AK63" s="35">
        <f t="shared" ca="1" si="122"/>
        <v>1793.6901283313432</v>
      </c>
      <c r="AL63" s="35">
        <f t="shared" ca="1" si="122"/>
        <v>1845.0516283954075</v>
      </c>
      <c r="AM63" s="35">
        <f t="shared" ca="1" si="122"/>
        <v>1897.640537665005</v>
      </c>
      <c r="AN63" s="35">
        <f t="shared" ca="1" si="122"/>
        <v>1951.4794025322039</v>
      </c>
      <c r="AO63" s="35">
        <f t="shared" ca="1" si="122"/>
        <v>1989.0786262158933</v>
      </c>
      <c r="AP63" s="35">
        <f t="shared" ca="1" si="122"/>
        <v>2027.4704015357611</v>
      </c>
      <c r="AQ63" s="35">
        <f t="shared" ca="1" si="122"/>
        <v>2066.6701738529046</v>
      </c>
      <c r="AR63" s="35">
        <f t="shared" ca="1" si="122"/>
        <v>2106.6937014923619</v>
      </c>
      <c r="AS63" s="35">
        <f t="shared" ca="1" si="122"/>
        <v>2147.5570619618184</v>
      </c>
      <c r="AT63" s="35">
        <f t="shared" ca="1" si="122"/>
        <v>2189.2766582951035</v>
      </c>
      <c r="AU63" s="35">
        <f t="shared" ca="1" si="122"/>
        <v>2231.8692255229485</v>
      </c>
      <c r="AV63" s="35">
        <f t="shared" ca="1" si="122"/>
        <v>2275.3518372735653</v>
      </c>
      <c r="AW63" s="35">
        <f t="shared" ca="1" si="122"/>
        <v>2319.7419125056281</v>
      </c>
      <c r="AX63" s="35">
        <f t="shared" ca="1" si="122"/>
        <v>2365.0572223763011</v>
      </c>
      <c r="AY63" s="35">
        <f t="shared" ca="1" si="122"/>
        <v>2411.3158972470164</v>
      </c>
      <c r="AZ63" s="35">
        <f t="shared" ca="1" si="122"/>
        <v>2458.5364338297486</v>
      </c>
      <c r="BA63" s="35">
        <f t="shared" ca="1" si="122"/>
        <v>2506.7377024765929</v>
      </c>
      <c r="BB63" s="35">
        <f t="shared" ca="1" si="122"/>
        <v>2555.9389546155062</v>
      </c>
      <c r="BC63" s="35">
        <f t="shared" ca="1" si="122"/>
        <v>2606.1598303351388</v>
      </c>
      <c r="BD63" s="35">
        <f t="shared" ca="1" si="122"/>
        <v>2657.4203661217252</v>
      </c>
      <c r="BE63" s="35">
        <f t="shared" ca="1" si="122"/>
        <v>2709.7410027510791</v>
      </c>
      <c r="BF63" s="35">
        <f t="shared" ca="1" si="122"/>
        <v>2763.1425933387854</v>
      </c>
      <c r="BG63" s="35">
        <f t="shared" ca="1" si="122"/>
        <v>2817.6464115517542</v>
      </c>
      <c r="BH63" s="35">
        <f t="shared" ca="1" si="122"/>
        <v>2873.2741599843553</v>
      </c>
      <c r="BI63" s="35">
        <f t="shared" ca="1" si="122"/>
        <v>2930.0479787024274</v>
      </c>
      <c r="BJ63" s="35">
        <f t="shared" ca="1" si="122"/>
        <v>2987.9904539585118</v>
      </c>
      <c r="BK63" s="35">
        <f t="shared" ca="1" si="122"/>
        <v>3047.1246270817323</v>
      </c>
      <c r="BL63" s="35">
        <f t="shared" ca="1" si="122"/>
        <v>3107.4740035458112</v>
      </c>
      <c r="BM63" s="35">
        <f t="shared" ca="1" si="122"/>
        <v>3169.0625622187827</v>
      </c>
      <c r="BN63" s="35">
        <f t="shared" ca="1" si="122"/>
        <v>3231.9147647980276</v>
      </c>
      <c r="BO63" s="35">
        <f t="shared" ca="1" si="122"/>
        <v>3296.0555654343434</v>
      </c>
      <c r="BP63" s="35">
        <f t="shared" ca="1" si="122"/>
        <v>3361.5104205488169</v>
      </c>
      <c r="BQ63" s="35">
        <f t="shared" ca="1" si="122"/>
        <v>3428.3052988463569</v>
      </c>
      <c r="BR63" s="35">
        <f t="shared" ca="1" si="122"/>
        <v>3496.4666915298167</v>
      </c>
      <c r="BS63" s="35">
        <f t="shared" ca="1" si="122"/>
        <v>3561.4451832100708</v>
      </c>
      <c r="BT63" s="35">
        <f t="shared" ca="1" si="122"/>
        <v>3624.4936650705372</v>
      </c>
      <c r="BU63" s="35">
        <f t="shared" ca="1" si="122"/>
        <v>3685.6058327113537</v>
      </c>
      <c r="BV63" s="35">
        <f t="shared" ca="1" si="122"/>
        <v>3744.774932686696</v>
      </c>
      <c r="BW63" s="35">
        <f t="shared" ref="BW63:CC63" ca="1" si="123">BV69</f>
        <v>3801.9937567534371</v>
      </c>
      <c r="BX63" s="35">
        <f t="shared" ca="1" si="123"/>
        <v>3857.2546359724865</v>
      </c>
      <c r="BY63" s="35">
        <f t="shared" ca="1" si="123"/>
        <v>3910.5494346601804</v>
      </c>
      <c r="BZ63" s="35">
        <f t="shared" ca="1" si="123"/>
        <v>3961.8695441870491</v>
      </c>
      <c r="CA63" s="35">
        <f t="shared" ca="1" si="123"/>
        <v>4011.2058766212226</v>
      </c>
      <c r="CB63" s="35">
        <f t="shared" ca="1" si="123"/>
        <v>4058.5488582136791</v>
      </c>
      <c r="CC63" s="35">
        <f t="shared" ca="1" si="123"/>
        <v>4103.8884227224862</v>
      </c>
      <c r="CD63" s="35">
        <f t="shared" ref="CD63:DY63" ca="1" si="124">CC69</f>
        <v>4147.2140045731276</v>
      </c>
      <c r="CE63" s="35">
        <f t="shared" ca="1" si="124"/>
        <v>4188.5145318519244</v>
      </c>
      <c r="CF63" s="35">
        <f t="shared" ca="1" si="124"/>
        <v>4227.7784191295259</v>
      </c>
      <c r="CG63" s="35">
        <f t="shared" ca="1" si="124"/>
        <v>4264.9935601113784</v>
      </c>
      <c r="CH63" s="35">
        <f t="shared" ca="1" si="124"/>
        <v>4300.1473201119788</v>
      </c>
      <c r="CI63" s="35">
        <f t="shared" ca="1" si="124"/>
        <v>4333.226528349709</v>
      </c>
      <c r="CJ63" s="35">
        <f t="shared" ca="1" si="124"/>
        <v>4364.217470058943</v>
      </c>
      <c r="CK63" s="35">
        <f t="shared" ca="1" si="124"/>
        <v>4393.1058784160432</v>
      </c>
      <c r="CL63" s="35">
        <f t="shared" ca="1" si="124"/>
        <v>4419.8769262758306</v>
      </c>
      <c r="CM63" s="35">
        <f t="shared" ca="1" si="124"/>
        <v>4444.5152177150012</v>
      </c>
      <c r="CN63" s="35">
        <f t="shared" ca="1" si="124"/>
        <v>4467.0047793789226</v>
      </c>
      <c r="CO63" s="35">
        <f t="shared" ca="1" si="124"/>
        <v>4487.3290516281295</v>
      </c>
      <c r="CP63" s="35">
        <f t="shared" ca="1" si="124"/>
        <v>4505.4708794808075</v>
      </c>
      <c r="CQ63" s="35">
        <f t="shared" ca="1" si="124"/>
        <v>4521.412503347442</v>
      </c>
      <c r="CR63" s="35">
        <f t="shared" ca="1" si="124"/>
        <v>4535.1355495537418</v>
      </c>
      <c r="CS63" s="35">
        <f t="shared" ca="1" si="124"/>
        <v>4546.6210206478772</v>
      </c>
      <c r="CT63" s="35">
        <f t="shared" ca="1" si="124"/>
        <v>4555.8492854879687</v>
      </c>
      <c r="CU63" s="35">
        <f t="shared" ca="1" si="124"/>
        <v>4562.8000691056941</v>
      </c>
      <c r="CV63" s="35">
        <f t="shared" ca="1" si="124"/>
        <v>4567.4524423417988</v>
      </c>
      <c r="CW63" s="35">
        <f t="shared" ca="1" si="124"/>
        <v>4571.8732715471078</v>
      </c>
      <c r="CX63" s="35">
        <f t="shared" ca="1" si="124"/>
        <v>4576.1551941764883</v>
      </c>
      <c r="CY63" s="35">
        <f t="shared" ca="1" si="124"/>
        <v>4580.2977053300201</v>
      </c>
      <c r="CZ63" s="35">
        <f t="shared" ca="1" si="124"/>
        <v>4584.3002672774728</v>
      </c>
      <c r="DA63" s="35">
        <f t="shared" ca="1" si="124"/>
        <v>4588.162309029015</v>
      </c>
      <c r="DB63" s="35">
        <f t="shared" ca="1" si="124"/>
        <v>4591.8832258950779</v>
      </c>
      <c r="DC63" s="35">
        <f t="shared" ca="1" si="124"/>
        <v>4595.462379035157</v>
      </c>
      <c r="DD63" s="35">
        <f t="shared" ca="1" si="124"/>
        <v>4598.8990949953659</v>
      </c>
      <c r="DE63" s="35">
        <f t="shared" ca="1" si="124"/>
        <v>4602.1926652345328</v>
      </c>
      <c r="DF63" s="35">
        <f t="shared" ca="1" si="124"/>
        <v>4605.3423456386399</v>
      </c>
      <c r="DG63" s="35">
        <f t="shared" ca="1" si="124"/>
        <v>4608.3473560233851</v>
      </c>
      <c r="DH63" s="35">
        <f t="shared" ca="1" si="124"/>
        <v>4611.2068796246549</v>
      </c>
      <c r="DI63" s="35">
        <f t="shared" ca="1" si="124"/>
        <v>4613.9200625766916</v>
      </c>
      <c r="DJ63" s="35">
        <f t="shared" ca="1" si="124"/>
        <v>4616.4860133777238</v>
      </c>
      <c r="DK63" s="35">
        <f t="shared" ca="1" si="124"/>
        <v>4618.9038023428311</v>
      </c>
      <c r="DL63" s="35">
        <f t="shared" ca="1" si="124"/>
        <v>4621.1724610438141</v>
      </c>
      <c r="DM63" s="35">
        <f t="shared" ca="1" si="124"/>
        <v>4623.290981735825</v>
      </c>
      <c r="DN63" s="35">
        <f t="shared" ca="1" si="124"/>
        <v>4625.2583167705134</v>
      </c>
      <c r="DO63" s="35">
        <f t="shared" ca="1" si="124"/>
        <v>4627.0733779954462</v>
      </c>
      <c r="DP63" s="35">
        <f t="shared" ca="1" si="124"/>
        <v>4628.735036139532</v>
      </c>
      <c r="DQ63" s="35">
        <f t="shared" ca="1" si="124"/>
        <v>4630.2421201842071</v>
      </c>
      <c r="DR63" s="35">
        <f t="shared" ca="1" si="124"/>
        <v>4631.5934167201067</v>
      </c>
      <c r="DS63" s="35">
        <f t="shared" ca="1" si="124"/>
        <v>4632.7876692889513</v>
      </c>
      <c r="DT63" s="35">
        <f t="shared" ca="1" si="124"/>
        <v>4633.8235777103773</v>
      </c>
      <c r="DU63" s="35">
        <f t="shared" ca="1" si="124"/>
        <v>4634.6997973934249</v>
      </c>
      <c r="DV63" s="35">
        <f t="shared" ca="1" si="124"/>
        <v>4635.4149386323952</v>
      </c>
      <c r="DW63" s="35">
        <f t="shared" ca="1" si="124"/>
        <v>4635.9675658867836</v>
      </c>
      <c r="DX63" s="35">
        <f t="shared" ca="1" si="124"/>
        <v>4636.3561970449909</v>
      </c>
      <c r="DY63" s="35">
        <f t="shared" ca="1" si="124"/>
        <v>4636.5793026715082</v>
      </c>
    </row>
    <row r="64" spans="2:129" outlineLevel="1">
      <c r="C64" s="79" t="s">
        <v>5</v>
      </c>
      <c r="D64" s="55" t="s">
        <v>315</v>
      </c>
      <c r="E64" s="55"/>
      <c r="F64" s="55" t="s">
        <v>282</v>
      </c>
      <c r="G64" s="55"/>
      <c r="H64" s="55"/>
      <c r="I64" s="55"/>
      <c r="J64" s="137">
        <f>+J15</f>
        <v>51</v>
      </c>
      <c r="K64" s="137">
        <f t="shared" ref="K64:AO64" si="125">+K15</f>
        <v>52.02</v>
      </c>
      <c r="L64" s="137">
        <f t="shared" si="125"/>
        <v>53.060400000000001</v>
      </c>
      <c r="M64" s="137">
        <f t="shared" si="125"/>
        <v>54.121608000000002</v>
      </c>
      <c r="N64" s="137">
        <f t="shared" si="125"/>
        <v>55.204040160000005</v>
      </c>
      <c r="O64" s="137">
        <f t="shared" si="125"/>
        <v>56.308120963200004</v>
      </c>
      <c r="P64" s="137">
        <f t="shared" si="125"/>
        <v>57.434283382464002</v>
      </c>
      <c r="Q64" s="137">
        <f t="shared" si="125"/>
        <v>58.582969050113284</v>
      </c>
      <c r="R64" s="118">
        <f t="shared" si="125"/>
        <v>59.754628431115549</v>
      </c>
      <c r="S64" s="118">
        <f t="shared" si="125"/>
        <v>60.949720999737863</v>
      </c>
      <c r="T64" s="118">
        <f t="shared" si="125"/>
        <v>62.168715419732621</v>
      </c>
      <c r="U64" s="118">
        <f t="shared" si="125"/>
        <v>63.412089728127278</v>
      </c>
      <c r="V64" s="118">
        <f t="shared" si="125"/>
        <v>64.680331522689826</v>
      </c>
      <c r="W64" s="118">
        <f t="shared" si="125"/>
        <v>65.973938153143621</v>
      </c>
      <c r="X64" s="118">
        <f t="shared" si="125"/>
        <v>67.293416916206496</v>
      </c>
      <c r="Y64" s="118">
        <f t="shared" si="125"/>
        <v>68.639285254530634</v>
      </c>
      <c r="Z64" s="118">
        <f t="shared" si="125"/>
        <v>70.012070959621255</v>
      </c>
      <c r="AA64" s="118">
        <f t="shared" si="125"/>
        <v>71.412312378813681</v>
      </c>
      <c r="AB64" s="118">
        <f t="shared" si="125"/>
        <v>72.840558626389949</v>
      </c>
      <c r="AC64" s="118">
        <f t="shared" si="125"/>
        <v>74.297369798917757</v>
      </c>
      <c r="AD64" s="118">
        <f t="shared" si="125"/>
        <v>75.783317194896114</v>
      </c>
      <c r="AE64" s="118">
        <f t="shared" si="125"/>
        <v>77.298983538794033</v>
      </c>
      <c r="AF64" s="118">
        <f t="shared" si="125"/>
        <v>78.844963209569912</v>
      </c>
      <c r="AG64" s="118">
        <f t="shared" si="125"/>
        <v>80.421862473761308</v>
      </c>
      <c r="AH64" s="118">
        <f t="shared" si="125"/>
        <v>82.030299723236539</v>
      </c>
      <c r="AI64" s="118">
        <f t="shared" si="125"/>
        <v>83.670905717701274</v>
      </c>
      <c r="AJ64" s="118">
        <f t="shared" si="125"/>
        <v>85.344323832055295</v>
      </c>
      <c r="AK64" s="118">
        <f t="shared" si="125"/>
        <v>87.051210308696398</v>
      </c>
      <c r="AL64" s="118">
        <f t="shared" si="125"/>
        <v>88.79223451487033</v>
      </c>
      <c r="AM64" s="118">
        <f t="shared" si="125"/>
        <v>90.568079205167734</v>
      </c>
      <c r="AN64" s="118">
        <f t="shared" si="125"/>
        <v>92.379440789271086</v>
      </c>
      <c r="AO64" s="118">
        <f t="shared" si="125"/>
        <v>94.227029605056515</v>
      </c>
      <c r="AP64" s="118">
        <f t="shared" ref="AP64:BU64" si="126">+AP15</f>
        <v>96.111570197157647</v>
      </c>
      <c r="AQ64" s="118">
        <f t="shared" si="126"/>
        <v>98.033801601100805</v>
      </c>
      <c r="AR64" s="118">
        <f t="shared" si="126"/>
        <v>99.994477633122827</v>
      </c>
      <c r="AS64" s="118">
        <f t="shared" si="126"/>
        <v>101.99436718578528</v>
      </c>
      <c r="AT64" s="118">
        <f t="shared" si="126"/>
        <v>104.03425452950098</v>
      </c>
      <c r="AU64" s="118">
        <f t="shared" si="126"/>
        <v>106.11493962009101</v>
      </c>
      <c r="AV64" s="118">
        <f t="shared" si="126"/>
        <v>108.23723841249283</v>
      </c>
      <c r="AW64" s="118">
        <f t="shared" si="126"/>
        <v>110.40198318074269</v>
      </c>
      <c r="AX64" s="118">
        <f t="shared" si="126"/>
        <v>112.61002284435754</v>
      </c>
      <c r="AY64" s="118">
        <f t="shared" si="126"/>
        <v>114.8622233012447</v>
      </c>
      <c r="AZ64" s="118">
        <f t="shared" si="126"/>
        <v>117.15946776726959</v>
      </c>
      <c r="BA64" s="118">
        <f t="shared" si="126"/>
        <v>119.50265712261498</v>
      </c>
      <c r="BB64" s="118">
        <f t="shared" si="126"/>
        <v>121.89271026506728</v>
      </c>
      <c r="BC64" s="118">
        <f t="shared" si="126"/>
        <v>124.33056447036863</v>
      </c>
      <c r="BD64" s="118">
        <f t="shared" si="126"/>
        <v>126.81717575977601</v>
      </c>
      <c r="BE64" s="118">
        <f t="shared" si="126"/>
        <v>129.35351927497152</v>
      </c>
      <c r="BF64" s="118">
        <f t="shared" si="126"/>
        <v>131.94058966047095</v>
      </c>
      <c r="BG64" s="118">
        <f t="shared" si="126"/>
        <v>134.57940145368036</v>
      </c>
      <c r="BH64" s="118">
        <f t="shared" si="126"/>
        <v>137.27098948275398</v>
      </c>
      <c r="BI64" s="118">
        <f t="shared" si="126"/>
        <v>140.01640927240905</v>
      </c>
      <c r="BJ64" s="118">
        <f t="shared" si="126"/>
        <v>142.81673745785724</v>
      </c>
      <c r="BK64" s="118">
        <f t="shared" si="126"/>
        <v>145.6730722070144</v>
      </c>
      <c r="BL64" s="118">
        <f t="shared" si="126"/>
        <v>148.5865336511547</v>
      </c>
      <c r="BM64" s="118">
        <f t="shared" si="126"/>
        <v>151.5582643241778</v>
      </c>
      <c r="BN64" s="118">
        <f t="shared" si="126"/>
        <v>154.58942961066137</v>
      </c>
      <c r="BO64" s="118">
        <f t="shared" si="126"/>
        <v>157.68121820287459</v>
      </c>
      <c r="BP64" s="118">
        <f t="shared" si="126"/>
        <v>160.83484256693208</v>
      </c>
      <c r="BQ64" s="118">
        <f t="shared" si="126"/>
        <v>164.05153941827072</v>
      </c>
      <c r="BR64" s="118">
        <f t="shared" si="126"/>
        <v>164.05153941827072</v>
      </c>
      <c r="BS64" s="118">
        <f t="shared" si="126"/>
        <v>164.05153941827072</v>
      </c>
      <c r="BT64" s="118">
        <f t="shared" si="126"/>
        <v>164.05153941827072</v>
      </c>
      <c r="BU64" s="118">
        <f t="shared" si="126"/>
        <v>164.05153941827072</v>
      </c>
      <c r="BV64" s="118">
        <f t="shared" ref="BV64:CC64" si="127">+BV15</f>
        <v>164.05153941827072</v>
      </c>
      <c r="BW64" s="118">
        <f t="shared" si="127"/>
        <v>164.05153941827072</v>
      </c>
      <c r="BX64" s="118">
        <f t="shared" si="127"/>
        <v>164.05153941827072</v>
      </c>
      <c r="BY64" s="118">
        <f t="shared" si="127"/>
        <v>164.05153941827072</v>
      </c>
      <c r="BZ64" s="118">
        <f t="shared" si="127"/>
        <v>164.05153941827072</v>
      </c>
      <c r="CA64" s="118">
        <f t="shared" si="127"/>
        <v>164.05153941827072</v>
      </c>
      <c r="CB64" s="118">
        <f t="shared" si="127"/>
        <v>164.05153941827072</v>
      </c>
      <c r="CC64" s="118">
        <f t="shared" si="127"/>
        <v>164.05153941827072</v>
      </c>
      <c r="CD64" s="118">
        <f t="shared" ref="CD64:DY64" si="128">+CD15</f>
        <v>164.05153941827072</v>
      </c>
      <c r="CE64" s="118">
        <f t="shared" si="128"/>
        <v>164.05153941827072</v>
      </c>
      <c r="CF64" s="118">
        <f t="shared" si="128"/>
        <v>164.05153941827072</v>
      </c>
      <c r="CG64" s="118">
        <f t="shared" si="128"/>
        <v>164.05153941827072</v>
      </c>
      <c r="CH64" s="118">
        <f t="shared" si="128"/>
        <v>164.05153941827072</v>
      </c>
      <c r="CI64" s="118">
        <f t="shared" si="128"/>
        <v>164.05153941827072</v>
      </c>
      <c r="CJ64" s="118">
        <f t="shared" si="128"/>
        <v>164.05153941827072</v>
      </c>
      <c r="CK64" s="118">
        <f t="shared" si="128"/>
        <v>164.05153941827072</v>
      </c>
      <c r="CL64" s="118">
        <f t="shared" si="128"/>
        <v>164.05153941827072</v>
      </c>
      <c r="CM64" s="118">
        <f t="shared" si="128"/>
        <v>164.05153941827072</v>
      </c>
      <c r="CN64" s="118">
        <f t="shared" si="128"/>
        <v>164.05153941827072</v>
      </c>
      <c r="CO64" s="118">
        <f t="shared" si="128"/>
        <v>164.05153941827072</v>
      </c>
      <c r="CP64" s="118">
        <f t="shared" si="128"/>
        <v>164.05153941827072</v>
      </c>
      <c r="CQ64" s="118">
        <f t="shared" si="128"/>
        <v>164.05153941827072</v>
      </c>
      <c r="CR64" s="118">
        <f t="shared" si="128"/>
        <v>164.05153941827072</v>
      </c>
      <c r="CS64" s="118">
        <f t="shared" si="128"/>
        <v>164.05153941827072</v>
      </c>
      <c r="CT64" s="118">
        <f t="shared" si="128"/>
        <v>164.05153941827072</v>
      </c>
      <c r="CU64" s="118">
        <f t="shared" si="128"/>
        <v>164.05153941827072</v>
      </c>
      <c r="CV64" s="118">
        <f t="shared" si="128"/>
        <v>164.05153941827072</v>
      </c>
      <c r="CW64" s="118">
        <f t="shared" si="128"/>
        <v>164.05153941827072</v>
      </c>
      <c r="CX64" s="118">
        <f t="shared" si="128"/>
        <v>164.05153941827072</v>
      </c>
      <c r="CY64" s="118">
        <f t="shared" si="128"/>
        <v>164.05153941827072</v>
      </c>
      <c r="CZ64" s="118">
        <f t="shared" si="128"/>
        <v>164.05153941827072</v>
      </c>
      <c r="DA64" s="118">
        <f t="shared" si="128"/>
        <v>164.05153941827072</v>
      </c>
      <c r="DB64" s="118">
        <f t="shared" si="128"/>
        <v>164.05153941827072</v>
      </c>
      <c r="DC64" s="118">
        <f t="shared" si="128"/>
        <v>164.05153941827072</v>
      </c>
      <c r="DD64" s="118">
        <f t="shared" si="128"/>
        <v>164.05153941827072</v>
      </c>
      <c r="DE64" s="118">
        <f t="shared" si="128"/>
        <v>164.05153941827072</v>
      </c>
      <c r="DF64" s="118">
        <f t="shared" si="128"/>
        <v>164.05153941827072</v>
      </c>
      <c r="DG64" s="118">
        <f t="shared" si="128"/>
        <v>164.05153941827072</v>
      </c>
      <c r="DH64" s="118">
        <f t="shared" si="128"/>
        <v>164.05153941827072</v>
      </c>
      <c r="DI64" s="118">
        <f t="shared" si="128"/>
        <v>164.05153941827072</v>
      </c>
      <c r="DJ64" s="118">
        <f t="shared" si="128"/>
        <v>164.05153941827072</v>
      </c>
      <c r="DK64" s="118">
        <f t="shared" si="128"/>
        <v>164.05153941827072</v>
      </c>
      <c r="DL64" s="118">
        <f t="shared" si="128"/>
        <v>164.05153941827072</v>
      </c>
      <c r="DM64" s="118">
        <f t="shared" si="128"/>
        <v>164.05153941827072</v>
      </c>
      <c r="DN64" s="118">
        <f t="shared" si="128"/>
        <v>164.05153941827072</v>
      </c>
      <c r="DO64" s="118">
        <f t="shared" si="128"/>
        <v>164.05153941827072</v>
      </c>
      <c r="DP64" s="118">
        <f t="shared" si="128"/>
        <v>164.05153941827072</v>
      </c>
      <c r="DQ64" s="118">
        <f t="shared" si="128"/>
        <v>164.05153941827072</v>
      </c>
      <c r="DR64" s="118">
        <f t="shared" si="128"/>
        <v>164.05153941827072</v>
      </c>
      <c r="DS64" s="118">
        <f t="shared" si="128"/>
        <v>164.05153941827072</v>
      </c>
      <c r="DT64" s="118">
        <f t="shared" si="128"/>
        <v>164.05153941827072</v>
      </c>
      <c r="DU64" s="118">
        <f t="shared" si="128"/>
        <v>164.05153941827072</v>
      </c>
      <c r="DV64" s="118">
        <f t="shared" si="128"/>
        <v>164.05153941827072</v>
      </c>
      <c r="DW64" s="118">
        <f t="shared" si="128"/>
        <v>164.05153941827072</v>
      </c>
      <c r="DX64" s="118">
        <f t="shared" si="128"/>
        <v>164.05153941827072</v>
      </c>
      <c r="DY64" s="118">
        <f t="shared" si="128"/>
        <v>164.05153941827072</v>
      </c>
    </row>
    <row r="65" spans="2:129" outlineLevel="1">
      <c r="C65" s="8" t="s">
        <v>5</v>
      </c>
      <c r="D65" s="5" t="s">
        <v>0</v>
      </c>
      <c r="F65" s="5" t="s">
        <v>283</v>
      </c>
      <c r="G65" s="62" t="s">
        <v>642</v>
      </c>
      <c r="J65" s="33">
        <f t="shared" ref="J65:AO65" ca="1" si="129">IF(_arpuP3=0,0,J66*_RetentionRate)</f>
        <v>1.9725343290354136</v>
      </c>
      <c r="K65" s="33">
        <f t="shared" ca="1" si="129"/>
        <v>1.9725343290354136</v>
      </c>
      <c r="L65" s="33">
        <f t="shared" ca="1" si="129"/>
        <v>1.9725343290354136</v>
      </c>
      <c r="M65" s="33">
        <f t="shared" ca="1" si="129"/>
        <v>1.9725343290354136</v>
      </c>
      <c r="N65" s="33">
        <f t="shared" ca="1" si="129"/>
        <v>1.9725343290354136</v>
      </c>
      <c r="O65" s="33">
        <f t="shared" ca="1" si="129"/>
        <v>1.9725343290354136</v>
      </c>
      <c r="P65" s="33">
        <f t="shared" ca="1" si="129"/>
        <v>1.9725343290354136</v>
      </c>
      <c r="Q65" s="33">
        <f t="shared" ca="1" si="129"/>
        <v>1.9725343290354136</v>
      </c>
      <c r="R65" s="33">
        <f t="shared" ca="1" si="129"/>
        <v>1.9725343290354136</v>
      </c>
      <c r="S65" s="33">
        <f t="shared" ca="1" si="129"/>
        <v>1.9725343290354136</v>
      </c>
      <c r="T65" s="33">
        <f t="shared" ca="1" si="129"/>
        <v>1.9725343290354136</v>
      </c>
      <c r="U65" s="33">
        <f t="shared" ca="1" si="129"/>
        <v>1.9725343290354136</v>
      </c>
      <c r="V65" s="33">
        <f t="shared" ca="1" si="129"/>
        <v>1.9725343290354136</v>
      </c>
      <c r="W65" s="33">
        <f t="shared" ca="1" si="129"/>
        <v>1.9725343290354136</v>
      </c>
      <c r="X65" s="33">
        <f t="shared" ca="1" si="129"/>
        <v>1.9725343290354136</v>
      </c>
      <c r="Y65" s="33">
        <f t="shared" ca="1" si="129"/>
        <v>1.9725343290354136</v>
      </c>
      <c r="Z65" s="33">
        <f t="shared" ca="1" si="129"/>
        <v>1.9725343290354136</v>
      </c>
      <c r="AA65" s="33">
        <f t="shared" ca="1" si="129"/>
        <v>1.9725343290354136</v>
      </c>
      <c r="AB65" s="33">
        <f t="shared" ca="1" si="129"/>
        <v>1.9725343290354136</v>
      </c>
      <c r="AC65" s="33">
        <f t="shared" ca="1" si="129"/>
        <v>1.9725343290354136</v>
      </c>
      <c r="AD65" s="33">
        <f t="shared" ca="1" si="129"/>
        <v>1.9725343290354136</v>
      </c>
      <c r="AE65" s="33">
        <f t="shared" ca="1" si="129"/>
        <v>1.9725343290354136</v>
      </c>
      <c r="AF65" s="33">
        <f t="shared" ca="1" si="129"/>
        <v>1.9725343290354136</v>
      </c>
      <c r="AG65" s="33">
        <f t="shared" ca="1" si="129"/>
        <v>1.9725343290354136</v>
      </c>
      <c r="AH65" s="33">
        <f t="shared" ca="1" si="129"/>
        <v>1.9725343290354136</v>
      </c>
      <c r="AI65" s="33">
        <f t="shared" ca="1" si="129"/>
        <v>1.9725343290354136</v>
      </c>
      <c r="AJ65" s="33">
        <f t="shared" ca="1" si="129"/>
        <v>1.9725343290354136</v>
      </c>
      <c r="AK65" s="33">
        <f t="shared" ca="1" si="129"/>
        <v>1.9725343290354136</v>
      </c>
      <c r="AL65" s="33">
        <f t="shared" ca="1" si="129"/>
        <v>1.9725343290354136</v>
      </c>
      <c r="AM65" s="33">
        <f t="shared" ca="1" si="129"/>
        <v>1.9725343290354136</v>
      </c>
      <c r="AN65" s="33">
        <f t="shared" ca="1" si="129"/>
        <v>3.9183803422510977</v>
      </c>
      <c r="AO65" s="33">
        <f t="shared" ca="1" si="129"/>
        <v>3.9938297803367031</v>
      </c>
      <c r="AP65" s="33">
        <f t="shared" ref="AP65:BU65" ca="1" si="130">IF(_arpuP3=0,0,AP66*_RetentionRate)</f>
        <v>4.0707882071840196</v>
      </c>
      <c r="AQ65" s="33">
        <f t="shared" ca="1" si="130"/>
        <v>4.1492858025682819</v>
      </c>
      <c r="AR65" s="33">
        <f t="shared" ca="1" si="130"/>
        <v>4.2293533498602311</v>
      </c>
      <c r="AS65" s="33">
        <f t="shared" ca="1" si="130"/>
        <v>4.311022248098018</v>
      </c>
      <c r="AT65" s="33">
        <f t="shared" ca="1" si="130"/>
        <v>4.3943245243005604</v>
      </c>
      <c r="AU65" s="33">
        <f t="shared" ca="1" si="130"/>
        <v>4.4792928460271551</v>
      </c>
      <c r="AV65" s="33">
        <f t="shared" ca="1" si="130"/>
        <v>4.5659605341882807</v>
      </c>
      <c r="AW65" s="33">
        <f t="shared" ca="1" si="130"/>
        <v>4.6543615761126294</v>
      </c>
      <c r="AX65" s="33">
        <f t="shared" ca="1" si="130"/>
        <v>4.7445306388754638</v>
      </c>
      <c r="AY65" s="33">
        <f t="shared" ca="1" si="130"/>
        <v>4.8365030828935573</v>
      </c>
      <c r="AZ65" s="33">
        <f t="shared" ca="1" si="130"/>
        <v>4.9303149757920108</v>
      </c>
      <c r="BA65" s="33">
        <f t="shared" ca="1" si="130"/>
        <v>5.0260031065484334</v>
      </c>
      <c r="BB65" s="33">
        <f t="shared" ca="1" si="130"/>
        <v>5.1236049999199844</v>
      </c>
      <c r="BC65" s="33">
        <f t="shared" ca="1" si="130"/>
        <v>5.2231589311589675</v>
      </c>
      <c r="BD65" s="33">
        <f t="shared" ca="1" si="130"/>
        <v>5.3247039410227304</v>
      </c>
      <c r="BE65" s="33">
        <f t="shared" ca="1" si="130"/>
        <v>5.4282798510837678</v>
      </c>
      <c r="BF65" s="33">
        <f t="shared" ca="1" si="130"/>
        <v>5.5339272793460248</v>
      </c>
      <c r="BG65" s="33">
        <f t="shared" ca="1" si="130"/>
        <v>5.641687656173529</v>
      </c>
      <c r="BH65" s="33">
        <f t="shared" ca="1" si="130"/>
        <v>5.7516032405375821</v>
      </c>
      <c r="BI65" s="33">
        <f t="shared" ca="1" si="130"/>
        <v>5.8637171365889165</v>
      </c>
      <c r="BJ65" s="33">
        <f t="shared" ca="1" si="130"/>
        <v>5.9780733105612773</v>
      </c>
      <c r="BK65" s="33">
        <f t="shared" ca="1" si="130"/>
        <v>6.0947166080130852</v>
      </c>
      <c r="BL65" s="33">
        <f t="shared" ca="1" si="130"/>
        <v>6.2136927714139292</v>
      </c>
      <c r="BM65" s="33">
        <f t="shared" ca="1" si="130"/>
        <v>6.3350484580827917</v>
      </c>
      <c r="BN65" s="33">
        <f t="shared" ca="1" si="130"/>
        <v>6.4588312584850289</v>
      </c>
      <c r="BO65" s="33">
        <f t="shared" ca="1" si="130"/>
        <v>6.5850897148953127</v>
      </c>
      <c r="BP65" s="33">
        <f t="shared" ca="1" si="130"/>
        <v>6.7138733404338016</v>
      </c>
      <c r="BQ65" s="33">
        <f t="shared" ca="1" si="130"/>
        <v>6.8452326384830604</v>
      </c>
      <c r="BR65" s="33">
        <f t="shared" ca="1" si="130"/>
        <v>7.1231534247464765</v>
      </c>
      <c r="BS65" s="33">
        <f t="shared" ca="1" si="130"/>
        <v>7.2654006361893115</v>
      </c>
      <c r="BT65" s="33">
        <f t="shared" ca="1" si="130"/>
        <v>7.4104927918610031</v>
      </c>
      <c r="BU65" s="33">
        <f t="shared" ca="1" si="130"/>
        <v>7.5584867906461284</v>
      </c>
      <c r="BV65" s="33">
        <f t="shared" ref="BV65:DA65" ca="1" si="131">IF(_arpuP3=0,0,BV66*_RetentionRate)</f>
        <v>7.7094406694069564</v>
      </c>
      <c r="BW65" s="33">
        <f t="shared" ca="1" si="131"/>
        <v>7.8634136257430001</v>
      </c>
      <c r="BX65" s="33">
        <f t="shared" ca="1" si="131"/>
        <v>8.0204660412057649</v>
      </c>
      <c r="BY65" s="33">
        <f t="shared" ca="1" si="131"/>
        <v>8.1806595049777862</v>
      </c>
      <c r="BZ65" s="33">
        <f t="shared" ca="1" si="131"/>
        <v>8.3440568380252458</v>
      </c>
      <c r="CA65" s="33">
        <f t="shared" ca="1" si="131"/>
        <v>8.5107221177336569</v>
      </c>
      <c r="CB65" s="33">
        <f t="shared" ca="1" si="131"/>
        <v>8.6807207030362346</v>
      </c>
      <c r="CC65" s="33">
        <f t="shared" ca="1" si="131"/>
        <v>8.8541192600448646</v>
      </c>
      <c r="CD65" s="33">
        <f t="shared" ca="1" si="131"/>
        <v>9.0309857881936662</v>
      </c>
      <c r="CE65" s="33">
        <f t="shared" ca="1" si="131"/>
        <v>9.2113896469054435</v>
      </c>
      <c r="CF65" s="33">
        <f t="shared" ca="1" si="131"/>
        <v>9.3954015827914592</v>
      </c>
      <c r="CG65" s="33">
        <f t="shared" ca="1" si="131"/>
        <v>9.5830937573951935</v>
      </c>
      <c r="CH65" s="33">
        <f t="shared" ca="1" si="131"/>
        <v>9.7745397754910019</v>
      </c>
      <c r="CI65" s="33">
        <f t="shared" ca="1" si="131"/>
        <v>9.9698147139487272</v>
      </c>
      <c r="CJ65" s="33">
        <f t="shared" ca="1" si="131"/>
        <v>10.168995151175606</v>
      </c>
      <c r="CK65" s="33">
        <f t="shared" ca="1" si="131"/>
        <v>10.372159197147022</v>
      </c>
      <c r="CL65" s="33">
        <f t="shared" ca="1" si="131"/>
        <v>10.579386524037869</v>
      </c>
      <c r="CM65" s="33">
        <f t="shared" ca="1" si="131"/>
        <v>10.790758397466531</v>
      </c>
      <c r="CN65" s="33">
        <f t="shared" ca="1" si="131"/>
        <v>11.006357708363767</v>
      </c>
      <c r="CO65" s="33">
        <f t="shared" ca="1" si="131"/>
        <v>11.226269005478947</v>
      </c>
      <c r="CP65" s="33">
        <f t="shared" ca="1" si="131"/>
        <v>11.450578528536433</v>
      </c>
      <c r="CQ65" s="33">
        <f t="shared" ca="1" si="131"/>
        <v>11.679374242055065</v>
      </c>
      <c r="CR65" s="33">
        <f t="shared" ca="1" si="131"/>
        <v>11.912745869844073</v>
      </c>
      <c r="CS65" s="33">
        <f t="shared" ca="1" si="131"/>
        <v>12.150784930188859</v>
      </c>
      <c r="CT65" s="33">
        <f t="shared" ca="1" si="131"/>
        <v>12.393584771740542</v>
      </c>
      <c r="CU65" s="33">
        <f t="shared" ca="1" si="131"/>
        <v>12.641240610123257</v>
      </c>
      <c r="CV65" s="33">
        <f t="shared" ca="1" si="131"/>
        <v>12.661798421060398</v>
      </c>
      <c r="CW65" s="33">
        <f t="shared" ca="1" si="131"/>
        <v>12.672320452602168</v>
      </c>
      <c r="CX65" s="33">
        <f t="shared" ca="1" si="131"/>
        <v>12.683052924774776</v>
      </c>
      <c r="CY65" s="33">
        <f t="shared" ca="1" si="131"/>
        <v>12.694000046390833</v>
      </c>
      <c r="CZ65" s="33">
        <f t="shared" ca="1" si="131"/>
        <v>12.705166110439212</v>
      </c>
      <c r="DA65" s="33">
        <f t="shared" ca="1" si="131"/>
        <v>12.71655549576856</v>
      </c>
      <c r="DB65" s="33">
        <f t="shared" ref="DB65:DY65" ca="1" si="132">IF(_arpuP3=0,0,DB66*_RetentionRate)</f>
        <v>12.728172668804493</v>
      </c>
      <c r="DC65" s="33">
        <f t="shared" ca="1" si="132"/>
        <v>12.740022185301147</v>
      </c>
      <c r="DD65" s="33">
        <f t="shared" ca="1" si="132"/>
        <v>12.752108692127731</v>
      </c>
      <c r="DE65" s="33">
        <f t="shared" ca="1" si="132"/>
        <v>12.764436929090849</v>
      </c>
      <c r="DF65" s="33">
        <f t="shared" ca="1" si="132"/>
        <v>12.777011730793228</v>
      </c>
      <c r="DG65" s="33">
        <f t="shared" ca="1" si="132"/>
        <v>12.789838028529655</v>
      </c>
      <c r="DH65" s="33">
        <f t="shared" ca="1" si="132"/>
        <v>12.802920852220812</v>
      </c>
      <c r="DI65" s="33">
        <f t="shared" ca="1" si="132"/>
        <v>12.816265332385791</v>
      </c>
      <c r="DJ65" s="33">
        <f t="shared" ca="1" si="132"/>
        <v>12.829876702154071</v>
      </c>
      <c r="DK65" s="33">
        <f t="shared" ca="1" si="132"/>
        <v>12.843760299317715</v>
      </c>
      <c r="DL65" s="33">
        <f t="shared" ca="1" si="132"/>
        <v>12.857921568424629</v>
      </c>
      <c r="DM65" s="33">
        <f t="shared" ca="1" si="132"/>
        <v>12.872366062913684</v>
      </c>
      <c r="DN65" s="33">
        <f t="shared" ca="1" si="132"/>
        <v>12.887099447292522</v>
      </c>
      <c r="DO65" s="33">
        <f t="shared" ca="1" si="132"/>
        <v>12.902127499358935</v>
      </c>
      <c r="DP65" s="33">
        <f t="shared" ca="1" si="132"/>
        <v>12.917456112466676</v>
      </c>
      <c r="DQ65" s="33">
        <f t="shared" ca="1" si="132"/>
        <v>12.933091297836572</v>
      </c>
      <c r="DR65" s="33">
        <f t="shared" ca="1" si="132"/>
        <v>12.949039186913865</v>
      </c>
      <c r="DS65" s="33">
        <f t="shared" ca="1" si="132"/>
        <v>12.965306033772706</v>
      </c>
      <c r="DT65" s="33">
        <f t="shared" ca="1" si="132"/>
        <v>12.981898217568721</v>
      </c>
      <c r="DU65" s="33">
        <f t="shared" ca="1" si="132"/>
        <v>12.99882224504066</v>
      </c>
      <c r="DV65" s="33">
        <f t="shared" ca="1" si="132"/>
        <v>13.016084753062039</v>
      </c>
      <c r="DW65" s="33">
        <f t="shared" ca="1" si="132"/>
        <v>13.03369251124384</v>
      </c>
      <c r="DX65" s="33">
        <f t="shared" ca="1" si="132"/>
        <v>13.051652424589278</v>
      </c>
      <c r="DY65" s="33">
        <f t="shared" ca="1" si="132"/>
        <v>13.069971536201628</v>
      </c>
    </row>
    <row r="66" spans="2:129" outlineLevel="1">
      <c r="C66" s="8" t="s">
        <v>6</v>
      </c>
      <c r="D66" s="5" t="s">
        <v>2</v>
      </c>
      <c r="F66" s="5" t="s">
        <v>284</v>
      </c>
      <c r="G66" s="62" t="s">
        <v>643</v>
      </c>
      <c r="J66" s="33">
        <f t="shared" ref="J66:AO66" ca="1" si="133">IF(_arpuP3=0,J64,IF(J$3&gt;_NrInstallmentsP3,SUM(OFFSET(J66,-2,-_NrInstallmentsP3),OFFSET(J66,-1,-_NrInstallmentsP3))*(1-_Churn)^_NrInstallmentsP3,0))+IF(J$3-1&lt;_NrInstallmentsP3,$J63/_NrInstallmentsP3*(1-_Churn)^_NrInstallmentsP3,0)</f>
        <v>19.725343290354136</v>
      </c>
      <c r="K66" s="33">
        <f t="shared" ca="1" si="133"/>
        <v>19.725343290354136</v>
      </c>
      <c r="L66" s="33">
        <f t="shared" ca="1" si="133"/>
        <v>19.725343290354136</v>
      </c>
      <c r="M66" s="33">
        <f t="shared" ca="1" si="133"/>
        <v>19.725343290354136</v>
      </c>
      <c r="N66" s="33">
        <f t="shared" ca="1" si="133"/>
        <v>19.725343290354136</v>
      </c>
      <c r="O66" s="33">
        <f t="shared" ca="1" si="133"/>
        <v>19.725343290354136</v>
      </c>
      <c r="P66" s="33">
        <f t="shared" ca="1" si="133"/>
        <v>19.725343290354136</v>
      </c>
      <c r="Q66" s="33">
        <f t="shared" ca="1" si="133"/>
        <v>19.725343290354136</v>
      </c>
      <c r="R66" s="33">
        <f t="shared" ca="1" si="133"/>
        <v>19.725343290354136</v>
      </c>
      <c r="S66" s="33">
        <f t="shared" ca="1" si="133"/>
        <v>19.725343290354136</v>
      </c>
      <c r="T66" s="33">
        <f t="shared" ca="1" si="133"/>
        <v>19.725343290354136</v>
      </c>
      <c r="U66" s="33">
        <f t="shared" ca="1" si="133"/>
        <v>19.725343290354136</v>
      </c>
      <c r="V66" s="33">
        <f t="shared" ca="1" si="133"/>
        <v>19.725343290354136</v>
      </c>
      <c r="W66" s="33">
        <f t="shared" ca="1" si="133"/>
        <v>19.725343290354136</v>
      </c>
      <c r="X66" s="33">
        <f t="shared" ca="1" si="133"/>
        <v>19.725343290354136</v>
      </c>
      <c r="Y66" s="33">
        <f t="shared" ca="1" si="133"/>
        <v>19.725343290354136</v>
      </c>
      <c r="Z66" s="33">
        <f t="shared" ca="1" si="133"/>
        <v>19.725343290354136</v>
      </c>
      <c r="AA66" s="33">
        <f t="shared" ca="1" si="133"/>
        <v>19.725343290354136</v>
      </c>
      <c r="AB66" s="33">
        <f t="shared" ca="1" si="133"/>
        <v>19.725343290354136</v>
      </c>
      <c r="AC66" s="33">
        <f t="shared" ca="1" si="133"/>
        <v>19.725343290354136</v>
      </c>
      <c r="AD66" s="33">
        <f t="shared" ca="1" si="133"/>
        <v>19.725343290354136</v>
      </c>
      <c r="AE66" s="33">
        <f t="shared" ca="1" si="133"/>
        <v>19.725343290354136</v>
      </c>
      <c r="AF66" s="33">
        <f t="shared" ca="1" si="133"/>
        <v>19.725343290354136</v>
      </c>
      <c r="AG66" s="33">
        <f t="shared" ca="1" si="133"/>
        <v>19.725343290354136</v>
      </c>
      <c r="AH66" s="33">
        <f t="shared" ca="1" si="133"/>
        <v>19.725343290354136</v>
      </c>
      <c r="AI66" s="33">
        <f t="shared" ca="1" si="133"/>
        <v>19.725343290354136</v>
      </c>
      <c r="AJ66" s="33">
        <f t="shared" ca="1" si="133"/>
        <v>19.725343290354136</v>
      </c>
      <c r="AK66" s="33">
        <f t="shared" ca="1" si="133"/>
        <v>19.725343290354136</v>
      </c>
      <c r="AL66" s="33">
        <f t="shared" ca="1" si="133"/>
        <v>19.725343290354136</v>
      </c>
      <c r="AM66" s="33">
        <f t="shared" ca="1" si="133"/>
        <v>19.725343290354136</v>
      </c>
      <c r="AN66" s="33">
        <f t="shared" ca="1" si="133"/>
        <v>39.183803422510977</v>
      </c>
      <c r="AO66" s="33">
        <f t="shared" ca="1" si="133"/>
        <v>39.938297803367028</v>
      </c>
      <c r="AP66" s="33">
        <f t="shared" ref="AP66:BU66" ca="1" si="134">IF(_arpuP3=0,AP64,IF(AP$3&gt;_NrInstallmentsP3,SUM(OFFSET(AP66,-2,-_NrInstallmentsP3),OFFSET(AP66,-1,-_NrInstallmentsP3))*(1-_Churn)^_NrInstallmentsP3,0))+IF(AP$3-1&lt;_NrInstallmentsP3,$J63/_NrInstallmentsP3*(1-_Churn)^_NrInstallmentsP3,0)</f>
        <v>40.707882071840196</v>
      </c>
      <c r="AQ66" s="33">
        <f t="shared" ca="1" si="134"/>
        <v>41.492858025682821</v>
      </c>
      <c r="AR66" s="33">
        <f t="shared" ca="1" si="134"/>
        <v>42.293533498602308</v>
      </c>
      <c r="AS66" s="33">
        <f t="shared" ca="1" si="134"/>
        <v>43.110222480980177</v>
      </c>
      <c r="AT66" s="33">
        <f t="shared" ca="1" si="134"/>
        <v>43.943245243005606</v>
      </c>
      <c r="AU66" s="33">
        <f t="shared" ca="1" si="134"/>
        <v>44.792928460271547</v>
      </c>
      <c r="AV66" s="33">
        <f t="shared" ca="1" si="134"/>
        <v>45.659605341882802</v>
      </c>
      <c r="AW66" s="33">
        <f t="shared" ca="1" si="134"/>
        <v>46.54361576112629</v>
      </c>
      <c r="AX66" s="33">
        <f t="shared" ca="1" si="134"/>
        <v>47.445306388754638</v>
      </c>
      <c r="AY66" s="33">
        <f t="shared" ca="1" si="134"/>
        <v>48.365030828935566</v>
      </c>
      <c r="AZ66" s="33">
        <f t="shared" ca="1" si="134"/>
        <v>49.303149757920103</v>
      </c>
      <c r="BA66" s="33">
        <f t="shared" ca="1" si="134"/>
        <v>50.260031065484327</v>
      </c>
      <c r="BB66" s="33">
        <f t="shared" ca="1" si="134"/>
        <v>51.236049999199842</v>
      </c>
      <c r="BC66" s="33">
        <f t="shared" ca="1" si="134"/>
        <v>52.231589311589673</v>
      </c>
      <c r="BD66" s="33">
        <f t="shared" ca="1" si="134"/>
        <v>53.247039410227302</v>
      </c>
      <c r="BE66" s="33">
        <f t="shared" ca="1" si="134"/>
        <v>54.282798510837672</v>
      </c>
      <c r="BF66" s="33">
        <f t="shared" ca="1" si="134"/>
        <v>55.339272793460246</v>
      </c>
      <c r="BG66" s="33">
        <f t="shared" ca="1" si="134"/>
        <v>56.416876561735286</v>
      </c>
      <c r="BH66" s="33">
        <f t="shared" ca="1" si="134"/>
        <v>57.516032405375817</v>
      </c>
      <c r="BI66" s="33">
        <f t="shared" ca="1" si="134"/>
        <v>58.637171365889159</v>
      </c>
      <c r="BJ66" s="33">
        <f t="shared" ca="1" si="134"/>
        <v>59.780733105612768</v>
      </c>
      <c r="BK66" s="33">
        <f t="shared" ca="1" si="134"/>
        <v>60.947166080130849</v>
      </c>
      <c r="BL66" s="33">
        <f t="shared" ca="1" si="134"/>
        <v>62.13692771413929</v>
      </c>
      <c r="BM66" s="33">
        <f t="shared" ca="1" si="134"/>
        <v>63.35048458082791</v>
      </c>
      <c r="BN66" s="33">
        <f t="shared" ca="1" si="134"/>
        <v>64.588312584850286</v>
      </c>
      <c r="BO66" s="33">
        <f t="shared" ca="1" si="134"/>
        <v>65.850897148953123</v>
      </c>
      <c r="BP66" s="33">
        <f t="shared" ca="1" si="134"/>
        <v>67.138733404338012</v>
      </c>
      <c r="BQ66" s="33">
        <f t="shared" ca="1" si="134"/>
        <v>68.452326384830599</v>
      </c>
      <c r="BR66" s="33">
        <f t="shared" ca="1" si="134"/>
        <v>71.231534247464765</v>
      </c>
      <c r="BS66" s="33">
        <f t="shared" ca="1" si="134"/>
        <v>72.65400636189311</v>
      </c>
      <c r="BT66" s="33">
        <f t="shared" ca="1" si="134"/>
        <v>74.104927918610031</v>
      </c>
      <c r="BU66" s="33">
        <f t="shared" ca="1" si="134"/>
        <v>75.584867906461284</v>
      </c>
      <c r="BV66" s="33">
        <f t="shared" ref="BV66:DA66" ca="1" si="135">IF(_arpuP3=0,BV64,IF(BV$3&gt;_NrInstallmentsP3,SUM(OFFSET(BV66,-2,-_NrInstallmentsP3),OFFSET(BV66,-1,-_NrInstallmentsP3))*(1-_Churn)^_NrInstallmentsP3,0))+IF(BV$3-1&lt;_NrInstallmentsP3,$J63/_NrInstallmentsP3*(1-_Churn)^_NrInstallmentsP3,0)</f>
        <v>77.094406694069562</v>
      </c>
      <c r="BW66" s="33">
        <f t="shared" ca="1" si="135"/>
        <v>78.634136257430001</v>
      </c>
      <c r="BX66" s="33">
        <f t="shared" ca="1" si="135"/>
        <v>80.204660412057649</v>
      </c>
      <c r="BY66" s="33">
        <f t="shared" ca="1" si="135"/>
        <v>81.806595049777854</v>
      </c>
      <c r="BZ66" s="33">
        <f t="shared" ca="1" si="135"/>
        <v>83.440568380252458</v>
      </c>
      <c r="CA66" s="33">
        <f t="shared" ca="1" si="135"/>
        <v>85.107221177336569</v>
      </c>
      <c r="CB66" s="33">
        <f t="shared" ca="1" si="135"/>
        <v>86.807207030362335</v>
      </c>
      <c r="CC66" s="33">
        <f t="shared" ca="1" si="135"/>
        <v>88.541192600448639</v>
      </c>
      <c r="CD66" s="33">
        <f t="shared" ca="1" si="135"/>
        <v>90.309857881936665</v>
      </c>
      <c r="CE66" s="33">
        <f t="shared" ca="1" si="135"/>
        <v>92.113896469054438</v>
      </c>
      <c r="CF66" s="33">
        <f t="shared" ca="1" si="135"/>
        <v>93.954015827914588</v>
      </c>
      <c r="CG66" s="33">
        <f t="shared" ca="1" si="135"/>
        <v>95.830937573951928</v>
      </c>
      <c r="CH66" s="33">
        <f t="shared" ca="1" si="135"/>
        <v>97.745397754910016</v>
      </c>
      <c r="CI66" s="33">
        <f t="shared" ca="1" si="135"/>
        <v>99.698147139487261</v>
      </c>
      <c r="CJ66" s="33">
        <f t="shared" ca="1" si="135"/>
        <v>101.68995151175605</v>
      </c>
      <c r="CK66" s="33">
        <f t="shared" ca="1" si="135"/>
        <v>103.72159197147022</v>
      </c>
      <c r="CL66" s="33">
        <f t="shared" ca="1" si="135"/>
        <v>105.79386524037868</v>
      </c>
      <c r="CM66" s="33">
        <f t="shared" ca="1" si="135"/>
        <v>107.9075839746653</v>
      </c>
      <c r="CN66" s="33">
        <f t="shared" ca="1" si="135"/>
        <v>110.06357708363767</v>
      </c>
      <c r="CO66" s="33">
        <f t="shared" ca="1" si="135"/>
        <v>112.26269005478946</v>
      </c>
      <c r="CP66" s="33">
        <f t="shared" ca="1" si="135"/>
        <v>114.50578528536431</v>
      </c>
      <c r="CQ66" s="33">
        <f t="shared" ca="1" si="135"/>
        <v>116.79374242055064</v>
      </c>
      <c r="CR66" s="33">
        <f t="shared" ca="1" si="135"/>
        <v>119.12745869844072</v>
      </c>
      <c r="CS66" s="33">
        <f t="shared" ca="1" si="135"/>
        <v>121.50784930188858</v>
      </c>
      <c r="CT66" s="33">
        <f t="shared" ca="1" si="135"/>
        <v>123.93584771740541</v>
      </c>
      <c r="CU66" s="33">
        <f t="shared" ca="1" si="135"/>
        <v>126.41240610123256</v>
      </c>
      <c r="CV66" s="33">
        <f t="shared" ca="1" si="135"/>
        <v>126.61798421060398</v>
      </c>
      <c r="CW66" s="33">
        <f t="shared" ca="1" si="135"/>
        <v>126.72320452602168</v>
      </c>
      <c r="CX66" s="33">
        <f t="shared" ca="1" si="135"/>
        <v>126.83052924774775</v>
      </c>
      <c r="CY66" s="33">
        <f t="shared" ca="1" si="135"/>
        <v>126.94000046390833</v>
      </c>
      <c r="CZ66" s="33">
        <f t="shared" ca="1" si="135"/>
        <v>127.05166110439211</v>
      </c>
      <c r="DA66" s="33">
        <f t="shared" ca="1" si="135"/>
        <v>127.16555495768559</v>
      </c>
      <c r="DB66" s="33">
        <f t="shared" ref="DB66:DY66" ca="1" si="136">IF(_arpuP3=0,DB64,IF(DB$3&gt;_NrInstallmentsP3,SUM(OFFSET(DB66,-2,-_NrInstallmentsP3),OFFSET(DB66,-1,-_NrInstallmentsP3))*(1-_Churn)^_NrInstallmentsP3,0))+IF(DB$3-1&lt;_NrInstallmentsP3,$J63/_NrInstallmentsP3*(1-_Churn)^_NrInstallmentsP3,0)</f>
        <v>127.28172668804493</v>
      </c>
      <c r="DC66" s="33">
        <f t="shared" ca="1" si="136"/>
        <v>127.40022185301146</v>
      </c>
      <c r="DD66" s="33">
        <f t="shared" ca="1" si="136"/>
        <v>127.5210869212773</v>
      </c>
      <c r="DE66" s="33">
        <f t="shared" ca="1" si="136"/>
        <v>127.64436929090847</v>
      </c>
      <c r="DF66" s="33">
        <f t="shared" ca="1" si="136"/>
        <v>127.77011730793228</v>
      </c>
      <c r="DG66" s="33">
        <f t="shared" ca="1" si="136"/>
        <v>127.89838028529654</v>
      </c>
      <c r="DH66" s="33">
        <f t="shared" ca="1" si="136"/>
        <v>128.02920852220811</v>
      </c>
      <c r="DI66" s="33">
        <f t="shared" ca="1" si="136"/>
        <v>128.16265332385791</v>
      </c>
      <c r="DJ66" s="33">
        <f t="shared" ca="1" si="136"/>
        <v>128.2987670215407</v>
      </c>
      <c r="DK66" s="33">
        <f t="shared" ca="1" si="136"/>
        <v>128.43760299317714</v>
      </c>
      <c r="DL66" s="33">
        <f t="shared" ca="1" si="136"/>
        <v>128.57921568424629</v>
      </c>
      <c r="DM66" s="33">
        <f t="shared" ca="1" si="136"/>
        <v>128.72366062913684</v>
      </c>
      <c r="DN66" s="33">
        <f t="shared" ca="1" si="136"/>
        <v>128.87099447292522</v>
      </c>
      <c r="DO66" s="33">
        <f t="shared" ca="1" si="136"/>
        <v>129.02127499358934</v>
      </c>
      <c r="DP66" s="33">
        <f t="shared" ca="1" si="136"/>
        <v>129.17456112466675</v>
      </c>
      <c r="DQ66" s="33">
        <f t="shared" ca="1" si="136"/>
        <v>129.33091297836572</v>
      </c>
      <c r="DR66" s="33">
        <f t="shared" ca="1" si="136"/>
        <v>129.49039186913865</v>
      </c>
      <c r="DS66" s="33">
        <f t="shared" ca="1" si="136"/>
        <v>129.65306033772706</v>
      </c>
      <c r="DT66" s="33">
        <f t="shared" ca="1" si="136"/>
        <v>129.81898217568721</v>
      </c>
      <c r="DU66" s="33">
        <f t="shared" ca="1" si="136"/>
        <v>129.9882224504066</v>
      </c>
      <c r="DV66" s="33">
        <f t="shared" ca="1" si="136"/>
        <v>130.16084753062037</v>
      </c>
      <c r="DW66" s="33">
        <f t="shared" ca="1" si="136"/>
        <v>130.33692511243839</v>
      </c>
      <c r="DX66" s="33">
        <f t="shared" ca="1" si="136"/>
        <v>130.51652424589278</v>
      </c>
      <c r="DY66" s="33">
        <f t="shared" ca="1" si="136"/>
        <v>130.69971536201626</v>
      </c>
    </row>
    <row r="67" spans="2:129" outlineLevel="1">
      <c r="C67" s="8" t="s">
        <v>6</v>
      </c>
      <c r="D67" s="5" t="s">
        <v>3</v>
      </c>
      <c r="F67" s="5" t="s">
        <v>285</v>
      </c>
      <c r="J67" s="33">
        <f>IF(_arpuP3=0,0,_p.repossessed*I$69)</f>
        <v>4.8</v>
      </c>
      <c r="K67" s="33">
        <f t="shared" ref="K67:AO67" ca="1" si="137">IF(_arpuP3=0,0,_p.repossessed*J$69)</f>
        <v>4.9514831462320883</v>
      </c>
      <c r="L67" s="33">
        <f t="shared" ca="1" si="137"/>
        <v>5.1075714610018546</v>
      </c>
      <c r="M67" s="33">
        <f t="shared" ca="1" si="137"/>
        <v>5.2683412926239237</v>
      </c>
      <c r="N67" s="33">
        <f t="shared" ca="1" si="137"/>
        <v>5.4338706739297722</v>
      </c>
      <c r="O67" s="33">
        <f t="shared" ca="1" si="137"/>
        <v>5.604239354382563</v>
      </c>
      <c r="P67" s="33">
        <f t="shared" ca="1" si="137"/>
        <v>5.7795288328500254</v>
      </c>
      <c r="Q67" s="33">
        <f t="shared" ca="1" si="137"/>
        <v>5.9598223910483972</v>
      </c>
      <c r="R67" s="33">
        <f t="shared" ca="1" si="137"/>
        <v>6.1452051276706801</v>
      </c>
      <c r="S67" s="33">
        <f t="shared" ca="1" si="137"/>
        <v>6.3357639932127547</v>
      </c>
      <c r="T67" s="33">
        <f t="shared" ca="1" si="137"/>
        <v>6.5315878255111413</v>
      </c>
      <c r="U67" s="33">
        <f t="shared" ca="1" si="137"/>
        <v>6.732767386006512</v>
      </c>
      <c r="V67" s="33">
        <f t="shared" ca="1" si="137"/>
        <v>6.9393953967472983</v>
      </c>
      <c r="W67" s="33">
        <f t="shared" ca="1" si="137"/>
        <v>7.1515665781480511</v>
      </c>
      <c r="X67" s="33">
        <f t="shared" ca="1" si="137"/>
        <v>7.3693776875175185</v>
      </c>
      <c r="Y67" s="33">
        <f t="shared" ca="1" si="137"/>
        <v>7.5929275583716693</v>
      </c>
      <c r="Z67" s="33">
        <f t="shared" ca="1" si="137"/>
        <v>7.8223171405472245</v>
      </c>
      <c r="AA67" s="33">
        <f t="shared" ca="1" si="137"/>
        <v>8.0576495411315658</v>
      </c>
      <c r="AB67" s="33">
        <f t="shared" ca="1" si="137"/>
        <v>8.299030066225221</v>
      </c>
      <c r="AC67" s="33">
        <f t="shared" ca="1" si="137"/>
        <v>8.5465662635533963</v>
      </c>
      <c r="AD67" s="33">
        <f t="shared" ca="1" si="137"/>
        <v>8.8003679659434564</v>
      </c>
      <c r="AE67" s="33">
        <f t="shared" ca="1" si="137"/>
        <v>9.0605473356854862</v>
      </c>
      <c r="AF67" s="33">
        <f t="shared" ca="1" si="137"/>
        <v>9.3272189097934852</v>
      </c>
      <c r="AG67" s="33">
        <f t="shared" ca="1" si="137"/>
        <v>9.6004996461850567</v>
      </c>
      <c r="AH67" s="33">
        <f t="shared" ca="1" si="137"/>
        <v>9.8805089707978624</v>
      </c>
      <c r="AI67" s="33">
        <f t="shared" ca="1" si="137"/>
        <v>10.16736882566139</v>
      </c>
      <c r="AJ67" s="33">
        <f t="shared" ca="1" si="137"/>
        <v>10.461203717943071</v>
      </c>
      <c r="AK67" s="33">
        <f t="shared" ca="1" si="137"/>
        <v>10.76214076998806</v>
      </c>
      <c r="AL67" s="33">
        <f t="shared" ca="1" si="137"/>
        <v>11.070309770372445</v>
      </c>
      <c r="AM67" s="33">
        <f t="shared" ca="1" si="137"/>
        <v>11.38584322599003</v>
      </c>
      <c r="AN67" s="33">
        <f t="shared" ca="1" si="137"/>
        <v>11.708876415193224</v>
      </c>
      <c r="AO67" s="33">
        <f t="shared" ca="1" si="137"/>
        <v>11.934471757295361</v>
      </c>
      <c r="AP67" s="33">
        <f t="shared" ref="AP67:BU67" ca="1" si="138">IF(_arpuP3=0,0,_p.repossessed*AO$69)</f>
        <v>12.164822409214567</v>
      </c>
      <c r="AQ67" s="33">
        <f t="shared" ca="1" si="138"/>
        <v>12.400021043117427</v>
      </c>
      <c r="AR67" s="33">
        <f t="shared" ca="1" si="138"/>
        <v>12.640162208954171</v>
      </c>
      <c r="AS67" s="33">
        <f t="shared" ca="1" si="138"/>
        <v>12.885342371770911</v>
      </c>
      <c r="AT67" s="33">
        <f t="shared" ca="1" si="138"/>
        <v>13.135659949770622</v>
      </c>
      <c r="AU67" s="33">
        <f t="shared" ca="1" si="138"/>
        <v>13.391215353137691</v>
      </c>
      <c r="AV67" s="33">
        <f t="shared" ca="1" si="138"/>
        <v>13.652111023641393</v>
      </c>
      <c r="AW67" s="33">
        <f t="shared" ca="1" si="138"/>
        <v>13.918451475033768</v>
      </c>
      <c r="AX67" s="33">
        <f t="shared" ca="1" si="138"/>
        <v>14.190343334257808</v>
      </c>
      <c r="AY67" s="33">
        <f t="shared" ca="1" si="138"/>
        <v>14.4678953834821</v>
      </c>
      <c r="AZ67" s="33">
        <f t="shared" ca="1" si="138"/>
        <v>14.751218602978492</v>
      </c>
      <c r="BA67" s="33">
        <f t="shared" ca="1" si="138"/>
        <v>15.040426214859558</v>
      </c>
      <c r="BB67" s="33">
        <f t="shared" ca="1" si="138"/>
        <v>15.335633727693038</v>
      </c>
      <c r="BC67" s="33">
        <f t="shared" ca="1" si="138"/>
        <v>15.636958982010833</v>
      </c>
      <c r="BD67" s="33">
        <f t="shared" ca="1" si="138"/>
        <v>15.944522196730352</v>
      </c>
      <c r="BE67" s="33">
        <f t="shared" ca="1" si="138"/>
        <v>16.258446016506475</v>
      </c>
      <c r="BF67" s="33">
        <f t="shared" ca="1" si="138"/>
        <v>16.578855560032714</v>
      </c>
      <c r="BG67" s="33">
        <f t="shared" ca="1" si="138"/>
        <v>16.905878469310526</v>
      </c>
      <c r="BH67" s="33">
        <f t="shared" ca="1" si="138"/>
        <v>17.239644959906133</v>
      </c>
      <c r="BI67" s="33">
        <f t="shared" ca="1" si="138"/>
        <v>17.580287872214566</v>
      </c>
      <c r="BJ67" s="33">
        <f t="shared" ca="1" si="138"/>
        <v>17.92794272375107</v>
      </c>
      <c r="BK67" s="33">
        <f t="shared" ca="1" si="138"/>
        <v>18.282747762490395</v>
      </c>
      <c r="BL67" s="33">
        <f t="shared" ca="1" si="138"/>
        <v>18.644844021274867</v>
      </c>
      <c r="BM67" s="33">
        <f t="shared" ca="1" si="138"/>
        <v>19.014375373312696</v>
      </c>
      <c r="BN67" s="33">
        <f t="shared" ca="1" si="138"/>
        <v>19.391488588788167</v>
      </c>
      <c r="BO67" s="33">
        <f t="shared" ca="1" si="138"/>
        <v>19.776333392606062</v>
      </c>
      <c r="BP67" s="33">
        <f t="shared" ca="1" si="138"/>
        <v>20.169062523292901</v>
      </c>
      <c r="BQ67" s="33">
        <f t="shared" ca="1" si="138"/>
        <v>20.569831793078141</v>
      </c>
      <c r="BR67" s="33">
        <f t="shared" ca="1" si="138"/>
        <v>20.978800149178902</v>
      </c>
      <c r="BS67" s="33">
        <f t="shared" ca="1" si="138"/>
        <v>21.368671099260425</v>
      </c>
      <c r="BT67" s="33">
        <f t="shared" ca="1" si="138"/>
        <v>21.746961990423223</v>
      </c>
      <c r="BU67" s="33">
        <f t="shared" ca="1" si="138"/>
        <v>22.113634996268122</v>
      </c>
      <c r="BV67" s="33">
        <f t="shared" ref="BV67:CC67" ca="1" si="139">IF(_arpuP3=0,0,_p.repossessed*BU$69)</f>
        <v>22.468649596120176</v>
      </c>
      <c r="BW67" s="33">
        <f t="shared" ca="1" si="139"/>
        <v>22.811962540520621</v>
      </c>
      <c r="BX67" s="33">
        <f t="shared" ca="1" si="139"/>
        <v>23.143527815834918</v>
      </c>
      <c r="BY67" s="33">
        <f t="shared" ca="1" si="139"/>
        <v>23.463296607961084</v>
      </c>
      <c r="BZ67" s="33">
        <f t="shared" ca="1" si="139"/>
        <v>23.771217265122296</v>
      </c>
      <c r="CA67" s="33">
        <f t="shared" ca="1" si="139"/>
        <v>24.067235259727337</v>
      </c>
      <c r="CB67" s="33">
        <f t="shared" ca="1" si="139"/>
        <v>24.351293149282075</v>
      </c>
      <c r="CC67" s="33">
        <f t="shared" ca="1" si="139"/>
        <v>24.623330536334919</v>
      </c>
      <c r="CD67" s="33">
        <f t="shared" ref="CD67:DY67" ca="1" si="140">IF(_arpuP3=0,0,_p.repossessed*CC$69)</f>
        <v>24.883284027438766</v>
      </c>
      <c r="CE67" s="33">
        <f t="shared" ca="1" si="140"/>
        <v>25.131087191111547</v>
      </c>
      <c r="CF67" s="33">
        <f t="shared" ca="1" si="140"/>
        <v>25.366670514777155</v>
      </c>
      <c r="CG67" s="33">
        <f t="shared" ca="1" si="140"/>
        <v>25.589961360668273</v>
      </c>
      <c r="CH67" s="33">
        <f t="shared" ca="1" si="140"/>
        <v>25.800883920671872</v>
      </c>
      <c r="CI67" s="33">
        <f t="shared" ca="1" si="140"/>
        <v>25.999359170098256</v>
      </c>
      <c r="CJ67" s="33">
        <f t="shared" ca="1" si="140"/>
        <v>26.185304820353657</v>
      </c>
      <c r="CK67" s="33">
        <f t="shared" ca="1" si="140"/>
        <v>26.358635270496261</v>
      </c>
      <c r="CL67" s="33">
        <f t="shared" ca="1" si="140"/>
        <v>26.519261557654985</v>
      </c>
      <c r="CM67" s="33">
        <f t="shared" ca="1" si="140"/>
        <v>26.667091306290008</v>
      </c>
      <c r="CN67" s="33">
        <f t="shared" ca="1" si="140"/>
        <v>26.802028676273537</v>
      </c>
      <c r="CO67" s="33">
        <f t="shared" ca="1" si="140"/>
        <v>26.923974309768777</v>
      </c>
      <c r="CP67" s="33">
        <f t="shared" ca="1" si="140"/>
        <v>27.032825276884846</v>
      </c>
      <c r="CQ67" s="33">
        <f t="shared" ca="1" si="140"/>
        <v>27.128475020084654</v>
      </c>
      <c r="CR67" s="33">
        <f t="shared" ca="1" si="140"/>
        <v>27.210813297322453</v>
      </c>
      <c r="CS67" s="33">
        <f t="shared" ca="1" si="140"/>
        <v>27.279726123887265</v>
      </c>
      <c r="CT67" s="33">
        <f t="shared" ca="1" si="140"/>
        <v>27.335095712927814</v>
      </c>
      <c r="CU67" s="33">
        <f t="shared" ca="1" si="140"/>
        <v>27.376800414634165</v>
      </c>
      <c r="CV67" s="33">
        <f t="shared" ca="1" si="140"/>
        <v>27.404714654050792</v>
      </c>
      <c r="CW67" s="33">
        <f t="shared" ca="1" si="140"/>
        <v>27.431239629282647</v>
      </c>
      <c r="CX67" s="33">
        <f t="shared" ca="1" si="140"/>
        <v>27.456931165058929</v>
      </c>
      <c r="CY67" s="33">
        <f t="shared" ca="1" si="140"/>
        <v>27.48178623198012</v>
      </c>
      <c r="CZ67" s="33">
        <f t="shared" ca="1" si="140"/>
        <v>27.505801603664839</v>
      </c>
      <c r="DA67" s="33">
        <f t="shared" ca="1" si="140"/>
        <v>27.52897385417409</v>
      </c>
      <c r="DB67" s="33">
        <f t="shared" ca="1" si="140"/>
        <v>27.551299355370467</v>
      </c>
      <c r="DC67" s="33">
        <f t="shared" ca="1" si="140"/>
        <v>27.572774274210943</v>
      </c>
      <c r="DD67" s="33">
        <f t="shared" ca="1" si="140"/>
        <v>27.593394569972197</v>
      </c>
      <c r="DE67" s="33">
        <f t="shared" ca="1" si="140"/>
        <v>27.613155991407197</v>
      </c>
      <c r="DF67" s="33">
        <f t="shared" ca="1" si="140"/>
        <v>27.632054073831839</v>
      </c>
      <c r="DG67" s="33">
        <f t="shared" ca="1" si="140"/>
        <v>27.650084136140311</v>
      </c>
      <c r="DH67" s="33">
        <f t="shared" ca="1" si="140"/>
        <v>27.66724127774793</v>
      </c>
      <c r="DI67" s="33">
        <f t="shared" ca="1" si="140"/>
        <v>27.683520375460152</v>
      </c>
      <c r="DJ67" s="33">
        <f t="shared" ca="1" si="140"/>
        <v>27.698916080266343</v>
      </c>
      <c r="DK67" s="33">
        <f t="shared" ca="1" si="140"/>
        <v>27.713422814056987</v>
      </c>
      <c r="DL67" s="33">
        <f t="shared" ca="1" si="140"/>
        <v>27.727034766262886</v>
      </c>
      <c r="DM67" s="33">
        <f t="shared" ca="1" si="140"/>
        <v>27.739745890414952</v>
      </c>
      <c r="DN67" s="33">
        <f t="shared" ca="1" si="140"/>
        <v>27.751549900623083</v>
      </c>
      <c r="DO67" s="33">
        <f t="shared" ca="1" si="140"/>
        <v>27.762440267972678</v>
      </c>
      <c r="DP67" s="33">
        <f t="shared" ca="1" si="140"/>
        <v>27.772410216837194</v>
      </c>
      <c r="DQ67" s="33">
        <f t="shared" ca="1" si="140"/>
        <v>27.781452721105243</v>
      </c>
      <c r="DR67" s="33">
        <f t="shared" ca="1" si="140"/>
        <v>27.78956050032064</v>
      </c>
      <c r="DS67" s="33">
        <f t="shared" ca="1" si="140"/>
        <v>27.796726015733707</v>
      </c>
      <c r="DT67" s="33">
        <f t="shared" ca="1" si="140"/>
        <v>27.802941466262265</v>
      </c>
      <c r="DU67" s="33">
        <f t="shared" ca="1" si="140"/>
        <v>27.808198784360549</v>
      </c>
      <c r="DV67" s="33">
        <f t="shared" ca="1" si="140"/>
        <v>27.812489631794371</v>
      </c>
      <c r="DW67" s="33">
        <f t="shared" ca="1" si="140"/>
        <v>27.815805395320702</v>
      </c>
      <c r="DX67" s="33">
        <f t="shared" ca="1" si="140"/>
        <v>27.818137182269947</v>
      </c>
      <c r="DY67" s="33">
        <f t="shared" ca="1" si="140"/>
        <v>27.819475816029051</v>
      </c>
    </row>
    <row r="68" spans="2:129" outlineLevel="1">
      <c r="C68" s="8" t="s">
        <v>6</v>
      </c>
      <c r="D68" s="5" t="s">
        <v>1</v>
      </c>
      <c r="F68" s="5" t="s">
        <v>286</v>
      </c>
      <c r="G68" s="120"/>
      <c r="J68" s="33">
        <f>IF(_arpuP3=0,0,_p.lost*I$69)</f>
        <v>3.2</v>
      </c>
      <c r="K68" s="33">
        <f t="shared" ref="K68:AO68" ca="1" si="141">IF(_arpuP3=0,0,_p.lost*J$69)</f>
        <v>3.3009887641547251</v>
      </c>
      <c r="L68" s="33">
        <f t="shared" ca="1" si="141"/>
        <v>3.4050476406679033</v>
      </c>
      <c r="M68" s="33">
        <f t="shared" ca="1" si="141"/>
        <v>3.512227528415949</v>
      </c>
      <c r="N68" s="33">
        <f t="shared" ca="1" si="141"/>
        <v>3.6225804492865152</v>
      </c>
      <c r="O68" s="33">
        <f t="shared" ca="1" si="141"/>
        <v>3.7361595695883754</v>
      </c>
      <c r="P68" s="33">
        <f t="shared" ca="1" si="141"/>
        <v>3.8530192219000168</v>
      </c>
      <c r="Q68" s="33">
        <f t="shared" ca="1" si="141"/>
        <v>3.9732149273655981</v>
      </c>
      <c r="R68" s="33">
        <f t="shared" ca="1" si="141"/>
        <v>4.09680341844712</v>
      </c>
      <c r="S68" s="33">
        <f t="shared" ca="1" si="141"/>
        <v>4.2238426621418368</v>
      </c>
      <c r="T68" s="33">
        <f t="shared" ca="1" si="141"/>
        <v>4.3543918836740945</v>
      </c>
      <c r="U68" s="33">
        <f t="shared" ca="1" si="141"/>
        <v>4.488511590671008</v>
      </c>
      <c r="V68" s="33">
        <f t="shared" ca="1" si="141"/>
        <v>4.6262635978315325</v>
      </c>
      <c r="W68" s="33">
        <f t="shared" ca="1" si="141"/>
        <v>4.7677110520987007</v>
      </c>
      <c r="X68" s="33">
        <f t="shared" ca="1" si="141"/>
        <v>4.9129184583450121</v>
      </c>
      <c r="Y68" s="33">
        <f t="shared" ca="1" si="141"/>
        <v>5.0619517055811132</v>
      </c>
      <c r="Z68" s="33">
        <f t="shared" ca="1" si="141"/>
        <v>5.2148780936981494</v>
      </c>
      <c r="AA68" s="33">
        <f t="shared" ca="1" si="141"/>
        <v>5.3717663607543775</v>
      </c>
      <c r="AB68" s="33">
        <f t="shared" ca="1" si="141"/>
        <v>5.5326867108168134</v>
      </c>
      <c r="AC68" s="33">
        <f t="shared" ca="1" si="141"/>
        <v>5.6977108423689309</v>
      </c>
      <c r="AD68" s="33">
        <f t="shared" ca="1" si="141"/>
        <v>5.8669119772956373</v>
      </c>
      <c r="AE68" s="33">
        <f t="shared" ca="1" si="141"/>
        <v>6.0403648904569911</v>
      </c>
      <c r="AF68" s="33">
        <f t="shared" ca="1" si="141"/>
        <v>6.2181459398623229</v>
      </c>
      <c r="AG68" s="33">
        <f t="shared" ca="1" si="141"/>
        <v>6.4003330974567048</v>
      </c>
      <c r="AH68" s="33">
        <f t="shared" ca="1" si="141"/>
        <v>6.5870059805319077</v>
      </c>
      <c r="AI68" s="33">
        <f t="shared" ca="1" si="141"/>
        <v>6.7782458837742601</v>
      </c>
      <c r="AJ68" s="33">
        <f t="shared" ca="1" si="141"/>
        <v>6.9741358119620473</v>
      </c>
      <c r="AK68" s="33">
        <f t="shared" ca="1" si="141"/>
        <v>7.1747605133253733</v>
      </c>
      <c r="AL68" s="33">
        <f t="shared" ca="1" si="141"/>
        <v>7.3802065135816299</v>
      </c>
      <c r="AM68" s="33">
        <f t="shared" ca="1" si="141"/>
        <v>7.5905621506600198</v>
      </c>
      <c r="AN68" s="33">
        <f t="shared" ca="1" si="141"/>
        <v>7.8059176101288159</v>
      </c>
      <c r="AO68" s="33">
        <f t="shared" ca="1" si="141"/>
        <v>7.9563145048635739</v>
      </c>
      <c r="AP68" s="33">
        <f t="shared" ref="AP68:BU68" ca="1" si="142">IF(_arpuP3=0,0,_p.lost*AO$69)</f>
        <v>8.1098816061430448</v>
      </c>
      <c r="AQ68" s="33">
        <f t="shared" ca="1" si="142"/>
        <v>8.266680695411619</v>
      </c>
      <c r="AR68" s="33">
        <f t="shared" ca="1" si="142"/>
        <v>8.4267748059694476</v>
      </c>
      <c r="AS68" s="33">
        <f t="shared" ca="1" si="142"/>
        <v>8.5902282478472731</v>
      </c>
      <c r="AT68" s="33">
        <f t="shared" ca="1" si="142"/>
        <v>8.757106633180415</v>
      </c>
      <c r="AU68" s="33">
        <f t="shared" ca="1" si="142"/>
        <v>8.9274769020917937</v>
      </c>
      <c r="AV68" s="33">
        <f t="shared" ca="1" si="142"/>
        <v>9.1014073490942611</v>
      </c>
      <c r="AW68" s="33">
        <f t="shared" ca="1" si="142"/>
        <v>9.278967650022512</v>
      </c>
      <c r="AX68" s="33">
        <f t="shared" ca="1" si="142"/>
        <v>9.4602288895052045</v>
      </c>
      <c r="AY68" s="33">
        <f t="shared" ca="1" si="142"/>
        <v>9.6452635889880654</v>
      </c>
      <c r="AZ68" s="33">
        <f t="shared" ca="1" si="142"/>
        <v>9.8341457353189945</v>
      </c>
      <c r="BA68" s="33">
        <f t="shared" ca="1" si="142"/>
        <v>10.026950809906372</v>
      </c>
      <c r="BB68" s="33">
        <f t="shared" ca="1" si="142"/>
        <v>10.223755818462026</v>
      </c>
      <c r="BC68" s="33">
        <f t="shared" ca="1" si="142"/>
        <v>10.424639321340555</v>
      </c>
      <c r="BD68" s="33">
        <f t="shared" ca="1" si="142"/>
        <v>10.629681464486902</v>
      </c>
      <c r="BE68" s="33">
        <f t="shared" ca="1" si="142"/>
        <v>10.838964011004316</v>
      </c>
      <c r="BF68" s="33">
        <f t="shared" ca="1" si="142"/>
        <v>11.052570373355142</v>
      </c>
      <c r="BG68" s="33">
        <f t="shared" ca="1" si="142"/>
        <v>11.270585646207017</v>
      </c>
      <c r="BH68" s="33">
        <f t="shared" ca="1" si="142"/>
        <v>11.493096639937422</v>
      </c>
      <c r="BI68" s="33">
        <f t="shared" ca="1" si="142"/>
        <v>11.72019191480971</v>
      </c>
      <c r="BJ68" s="33">
        <f t="shared" ca="1" si="142"/>
        <v>11.951961815834048</v>
      </c>
      <c r="BK68" s="33">
        <f t="shared" ca="1" si="142"/>
        <v>12.18849850832693</v>
      </c>
      <c r="BL68" s="33">
        <f t="shared" ca="1" si="142"/>
        <v>12.429896014183246</v>
      </c>
      <c r="BM68" s="33">
        <f t="shared" ca="1" si="142"/>
        <v>12.676250248875132</v>
      </c>
      <c r="BN68" s="33">
        <f t="shared" ca="1" si="142"/>
        <v>12.927659059192111</v>
      </c>
      <c r="BO68" s="33">
        <f t="shared" ca="1" si="142"/>
        <v>13.184222261737373</v>
      </c>
      <c r="BP68" s="33">
        <f t="shared" ca="1" si="142"/>
        <v>13.446041682195268</v>
      </c>
      <c r="BQ68" s="33">
        <f t="shared" ca="1" si="142"/>
        <v>13.713221195385428</v>
      </c>
      <c r="BR68" s="33">
        <f t="shared" ca="1" si="142"/>
        <v>13.985866766119267</v>
      </c>
      <c r="BS68" s="33">
        <f t="shared" ca="1" si="142"/>
        <v>14.245780732840284</v>
      </c>
      <c r="BT68" s="33">
        <f t="shared" ca="1" si="142"/>
        <v>14.497974660282148</v>
      </c>
      <c r="BU68" s="33">
        <f t="shared" ca="1" si="142"/>
        <v>14.742423330845416</v>
      </c>
      <c r="BV68" s="33">
        <f t="shared" ref="BV68:CC68" ca="1" si="143">IF(_arpuP3=0,0,_p.lost*BU$69)</f>
        <v>14.979099730746784</v>
      </c>
      <c r="BW68" s="33">
        <f t="shared" ca="1" si="143"/>
        <v>15.207975027013749</v>
      </c>
      <c r="BX68" s="33">
        <f t="shared" ca="1" si="143"/>
        <v>15.429018543889946</v>
      </c>
      <c r="BY68" s="33">
        <f t="shared" ca="1" si="143"/>
        <v>15.642197738640721</v>
      </c>
      <c r="BZ68" s="33">
        <f t="shared" ca="1" si="143"/>
        <v>15.847478176748197</v>
      </c>
      <c r="CA68" s="33">
        <f t="shared" ca="1" si="143"/>
        <v>16.044823506484892</v>
      </c>
      <c r="CB68" s="33">
        <f t="shared" ca="1" si="143"/>
        <v>16.234195432854715</v>
      </c>
      <c r="CC68" s="33">
        <f t="shared" ca="1" si="143"/>
        <v>16.415553690889944</v>
      </c>
      <c r="CD68" s="33">
        <f t="shared" ref="CD68:DY68" ca="1" si="144">IF(_arpuP3=0,0,_p.lost*CC$69)</f>
        <v>16.58885601829251</v>
      </c>
      <c r="CE68" s="33">
        <f t="shared" ca="1" si="144"/>
        <v>16.754058127407699</v>
      </c>
      <c r="CF68" s="33">
        <f t="shared" ca="1" si="144"/>
        <v>16.911113676518102</v>
      </c>
      <c r="CG68" s="33">
        <f t="shared" ca="1" si="144"/>
        <v>17.059974240445513</v>
      </c>
      <c r="CH68" s="33">
        <f t="shared" ca="1" si="144"/>
        <v>17.200589280447915</v>
      </c>
      <c r="CI68" s="33">
        <f t="shared" ca="1" si="144"/>
        <v>17.332906113398838</v>
      </c>
      <c r="CJ68" s="33">
        <f t="shared" ca="1" si="144"/>
        <v>17.456869880235772</v>
      </c>
      <c r="CK68" s="33">
        <f t="shared" ca="1" si="144"/>
        <v>17.572423513664173</v>
      </c>
      <c r="CL68" s="33">
        <f t="shared" ca="1" si="144"/>
        <v>17.679507705103322</v>
      </c>
      <c r="CM68" s="33">
        <f t="shared" ca="1" si="144"/>
        <v>17.778060870860006</v>
      </c>
      <c r="CN68" s="33">
        <f t="shared" ca="1" si="144"/>
        <v>17.86801911751569</v>
      </c>
      <c r="CO68" s="33">
        <f t="shared" ca="1" si="144"/>
        <v>17.949316206512517</v>
      </c>
      <c r="CP68" s="33">
        <f t="shared" ca="1" si="144"/>
        <v>18.021883517923232</v>
      </c>
      <c r="CQ68" s="33">
        <f t="shared" ca="1" si="144"/>
        <v>18.085650013389767</v>
      </c>
      <c r="CR68" s="33">
        <f t="shared" ca="1" si="144"/>
        <v>18.140542198214966</v>
      </c>
      <c r="CS68" s="33">
        <f t="shared" ca="1" si="144"/>
        <v>18.186484082591509</v>
      </c>
      <c r="CT68" s="33">
        <f t="shared" ca="1" si="144"/>
        <v>18.223397141951875</v>
      </c>
      <c r="CU68" s="33">
        <f t="shared" ca="1" si="144"/>
        <v>18.251200276422775</v>
      </c>
      <c r="CV68" s="33">
        <f t="shared" ca="1" si="144"/>
        <v>18.269809769367196</v>
      </c>
      <c r="CW68" s="33">
        <f t="shared" ca="1" si="144"/>
        <v>18.28749308618843</v>
      </c>
      <c r="CX68" s="33">
        <f t="shared" ca="1" si="144"/>
        <v>18.304620776705953</v>
      </c>
      <c r="CY68" s="33">
        <f t="shared" ca="1" si="144"/>
        <v>18.32119082132008</v>
      </c>
      <c r="CZ68" s="33">
        <f t="shared" ca="1" si="144"/>
        <v>18.337201069109891</v>
      </c>
      <c r="DA68" s="33">
        <f t="shared" ca="1" si="144"/>
        <v>18.352649236116061</v>
      </c>
      <c r="DB68" s="33">
        <f t="shared" ca="1" si="144"/>
        <v>18.367532903580312</v>
      </c>
      <c r="DC68" s="33">
        <f t="shared" ca="1" si="144"/>
        <v>18.38184951614063</v>
      </c>
      <c r="DD68" s="33">
        <f t="shared" ca="1" si="144"/>
        <v>18.395596379981463</v>
      </c>
      <c r="DE68" s="33">
        <f t="shared" ca="1" si="144"/>
        <v>18.408770660938131</v>
      </c>
      <c r="DF68" s="33">
        <f t="shared" ca="1" si="144"/>
        <v>18.421369382554559</v>
      </c>
      <c r="DG68" s="33">
        <f t="shared" ca="1" si="144"/>
        <v>18.433389424093541</v>
      </c>
      <c r="DH68" s="33">
        <f t="shared" ca="1" si="144"/>
        <v>18.44482751849862</v>
      </c>
      <c r="DI68" s="33">
        <f t="shared" ca="1" si="144"/>
        <v>18.455680250306767</v>
      </c>
      <c r="DJ68" s="33">
        <f t="shared" ca="1" si="144"/>
        <v>18.465944053510896</v>
      </c>
      <c r="DK68" s="33">
        <f t="shared" ca="1" si="144"/>
        <v>18.475615209371323</v>
      </c>
      <c r="DL68" s="33">
        <f t="shared" ca="1" si="144"/>
        <v>18.484689844175257</v>
      </c>
      <c r="DM68" s="33">
        <f t="shared" ca="1" si="144"/>
        <v>18.4931639269433</v>
      </c>
      <c r="DN68" s="33">
        <f t="shared" ca="1" si="144"/>
        <v>18.501033267082054</v>
      </c>
      <c r="DO68" s="33">
        <f t="shared" ca="1" si="144"/>
        <v>18.508293511981787</v>
      </c>
      <c r="DP68" s="33">
        <f t="shared" ca="1" si="144"/>
        <v>18.514940144558128</v>
      </c>
      <c r="DQ68" s="33">
        <f t="shared" ca="1" si="144"/>
        <v>18.52096848073683</v>
      </c>
      <c r="DR68" s="33">
        <f t="shared" ca="1" si="144"/>
        <v>18.526373666880428</v>
      </c>
      <c r="DS68" s="33">
        <f t="shared" ca="1" si="144"/>
        <v>18.531150677155807</v>
      </c>
      <c r="DT68" s="33">
        <f t="shared" ca="1" si="144"/>
        <v>18.535294310841511</v>
      </c>
      <c r="DU68" s="33">
        <f t="shared" ca="1" si="144"/>
        <v>18.538799189573702</v>
      </c>
      <c r="DV68" s="33">
        <f t="shared" ca="1" si="144"/>
        <v>18.541659754529583</v>
      </c>
      <c r="DW68" s="33">
        <f t="shared" ca="1" si="144"/>
        <v>18.543870263547134</v>
      </c>
      <c r="DX68" s="33">
        <f t="shared" ca="1" si="144"/>
        <v>18.545424788179965</v>
      </c>
      <c r="DY68" s="33">
        <f t="shared" ca="1" si="144"/>
        <v>18.546317210686034</v>
      </c>
    </row>
    <row r="69" spans="2:129" outlineLevel="1">
      <c r="C69" s="55" t="s">
        <v>125</v>
      </c>
      <c r="D69" s="55"/>
      <c r="E69" s="55"/>
      <c r="F69" s="55" t="s">
        <v>287</v>
      </c>
      <c r="H69" s="221"/>
      <c r="I69" s="582">
        <f>'Model Assumptions'!I25</f>
        <v>800</v>
      </c>
      <c r="J69" s="118">
        <f t="shared" ref="J69:AO69" ca="1" si="145">+_activeinstallationsBoPP3+_NewSalesP3+_RetainedSalesP3-_EndingContractP3-_RepossessedP3-_LostP3</f>
        <v>825.24719103868131</v>
      </c>
      <c r="K69" s="118">
        <f t="shared" ca="1" si="145"/>
        <v>851.26191016697578</v>
      </c>
      <c r="L69" s="118">
        <f t="shared" ca="1" si="145"/>
        <v>878.05688210398728</v>
      </c>
      <c r="M69" s="118">
        <f t="shared" ca="1" si="145"/>
        <v>905.64511232162874</v>
      </c>
      <c r="N69" s="118">
        <f t="shared" ca="1" si="145"/>
        <v>934.03989239709381</v>
      </c>
      <c r="O69" s="118">
        <f t="shared" ca="1" si="145"/>
        <v>963.25480547500422</v>
      </c>
      <c r="P69" s="118">
        <f t="shared" ca="1" si="145"/>
        <v>993.30373184139955</v>
      </c>
      <c r="Q69" s="118">
        <f t="shared" ca="1" si="145"/>
        <v>1024.20085461178</v>
      </c>
      <c r="R69" s="118">
        <f t="shared" ca="1" si="145"/>
        <v>1055.9606655354592</v>
      </c>
      <c r="S69" s="118">
        <f t="shared" ca="1" si="145"/>
        <v>1088.5979709185235</v>
      </c>
      <c r="T69" s="118">
        <f t="shared" ca="1" si="145"/>
        <v>1122.127897667752</v>
      </c>
      <c r="U69" s="118">
        <f t="shared" ca="1" si="145"/>
        <v>1156.565899457883</v>
      </c>
      <c r="V69" s="118">
        <f t="shared" ca="1" si="145"/>
        <v>1191.9277630246752</v>
      </c>
      <c r="W69" s="118">
        <f t="shared" ca="1" si="145"/>
        <v>1228.2296145862531</v>
      </c>
      <c r="X69" s="118">
        <f t="shared" ca="1" si="145"/>
        <v>1265.4879263952782</v>
      </c>
      <c r="Y69" s="118">
        <f t="shared" ca="1" si="145"/>
        <v>1303.7195234245373</v>
      </c>
      <c r="Z69" s="118">
        <f t="shared" ca="1" si="145"/>
        <v>1342.9415901885943</v>
      </c>
      <c r="AA69" s="118">
        <f t="shared" ca="1" si="145"/>
        <v>1383.1716777042034</v>
      </c>
      <c r="AB69" s="118">
        <f t="shared" ca="1" si="145"/>
        <v>1424.4277105922326</v>
      </c>
      <c r="AC69" s="118">
        <f t="shared" ca="1" si="145"/>
        <v>1466.7279943239093</v>
      </c>
      <c r="AD69" s="118">
        <f t="shared" ca="1" si="145"/>
        <v>1510.0912226142477</v>
      </c>
      <c r="AE69" s="118">
        <f t="shared" ca="1" si="145"/>
        <v>1554.5364849655807</v>
      </c>
      <c r="AF69" s="118">
        <f t="shared" ca="1" si="145"/>
        <v>1600.0832743641761</v>
      </c>
      <c r="AG69" s="118">
        <f t="shared" ca="1" si="145"/>
        <v>1646.751495132977</v>
      </c>
      <c r="AH69" s="118">
        <f t="shared" ca="1" si="145"/>
        <v>1694.5614709435649</v>
      </c>
      <c r="AI69" s="118">
        <f t="shared" ca="1" si="145"/>
        <v>1743.5339529905118</v>
      </c>
      <c r="AJ69" s="118">
        <f t="shared" ca="1" si="145"/>
        <v>1793.6901283313432</v>
      </c>
      <c r="AK69" s="118">
        <f t="shared" ca="1" si="145"/>
        <v>1845.0516283954075</v>
      </c>
      <c r="AL69" s="118">
        <f t="shared" ca="1" si="145"/>
        <v>1897.640537665005</v>
      </c>
      <c r="AM69" s="118">
        <f t="shared" ca="1" si="145"/>
        <v>1951.4794025322039</v>
      </c>
      <c r="AN69" s="118">
        <f t="shared" ca="1" si="145"/>
        <v>1989.0786262158933</v>
      </c>
      <c r="AO69" s="118">
        <f t="shared" ca="1" si="145"/>
        <v>2027.4704015357611</v>
      </c>
      <c r="AP69" s="118">
        <f t="shared" ref="AP69:BU69" ca="1" si="146">+_activeinstallationsBoPP3+_NewSalesP3+_RetainedSalesP3-_EndingContractP3-_RepossessedP3-_LostP3</f>
        <v>2066.6701738529046</v>
      </c>
      <c r="AQ69" s="118">
        <f t="shared" ca="1" si="146"/>
        <v>2106.6937014923619</v>
      </c>
      <c r="AR69" s="118">
        <f t="shared" ca="1" si="146"/>
        <v>2147.5570619618184</v>
      </c>
      <c r="AS69" s="118">
        <f t="shared" ca="1" si="146"/>
        <v>2189.2766582951035</v>
      </c>
      <c r="AT69" s="118">
        <f t="shared" ca="1" si="146"/>
        <v>2231.8692255229485</v>
      </c>
      <c r="AU69" s="118">
        <f t="shared" ca="1" si="146"/>
        <v>2275.3518372735653</v>
      </c>
      <c r="AV69" s="118">
        <f t="shared" ca="1" si="146"/>
        <v>2319.7419125056281</v>
      </c>
      <c r="AW69" s="118">
        <f t="shared" ca="1" si="146"/>
        <v>2365.0572223763011</v>
      </c>
      <c r="AX69" s="118">
        <f t="shared" ca="1" si="146"/>
        <v>2411.3158972470164</v>
      </c>
      <c r="AY69" s="118">
        <f t="shared" ca="1" si="146"/>
        <v>2458.5364338297486</v>
      </c>
      <c r="AZ69" s="118">
        <f t="shared" ca="1" si="146"/>
        <v>2506.7377024765929</v>
      </c>
      <c r="BA69" s="118">
        <f t="shared" ca="1" si="146"/>
        <v>2555.9389546155062</v>
      </c>
      <c r="BB69" s="118">
        <f t="shared" ca="1" si="146"/>
        <v>2606.1598303351388</v>
      </c>
      <c r="BC69" s="118">
        <f t="shared" ca="1" si="146"/>
        <v>2657.4203661217252</v>
      </c>
      <c r="BD69" s="118">
        <f t="shared" ca="1" si="146"/>
        <v>2709.7410027510791</v>
      </c>
      <c r="BE69" s="118">
        <f t="shared" ca="1" si="146"/>
        <v>2763.1425933387854</v>
      </c>
      <c r="BF69" s="118">
        <f t="shared" ca="1" si="146"/>
        <v>2817.6464115517542</v>
      </c>
      <c r="BG69" s="118">
        <f t="shared" ca="1" si="146"/>
        <v>2873.2741599843553</v>
      </c>
      <c r="BH69" s="118">
        <f t="shared" ca="1" si="146"/>
        <v>2930.0479787024274</v>
      </c>
      <c r="BI69" s="118">
        <f t="shared" ca="1" si="146"/>
        <v>2987.9904539585118</v>
      </c>
      <c r="BJ69" s="118">
        <f t="shared" ca="1" si="146"/>
        <v>3047.1246270817323</v>
      </c>
      <c r="BK69" s="118">
        <f t="shared" ca="1" si="146"/>
        <v>3107.4740035458112</v>
      </c>
      <c r="BL69" s="118">
        <f t="shared" ca="1" si="146"/>
        <v>3169.0625622187827</v>
      </c>
      <c r="BM69" s="118">
        <f t="shared" ca="1" si="146"/>
        <v>3231.9147647980276</v>
      </c>
      <c r="BN69" s="118">
        <f t="shared" ca="1" si="146"/>
        <v>3296.0555654343434</v>
      </c>
      <c r="BO69" s="118">
        <f t="shared" ca="1" si="146"/>
        <v>3361.5104205488169</v>
      </c>
      <c r="BP69" s="118">
        <f t="shared" ca="1" si="146"/>
        <v>3428.3052988463569</v>
      </c>
      <c r="BQ69" s="118">
        <f t="shared" ca="1" si="146"/>
        <v>3496.4666915298167</v>
      </c>
      <c r="BR69" s="118">
        <f t="shared" ca="1" si="146"/>
        <v>3561.4451832100708</v>
      </c>
      <c r="BS69" s="118">
        <f t="shared" ca="1" si="146"/>
        <v>3624.4936650705372</v>
      </c>
      <c r="BT69" s="118">
        <f t="shared" ca="1" si="146"/>
        <v>3685.6058327113537</v>
      </c>
      <c r="BU69" s="118">
        <f t="shared" ca="1" si="146"/>
        <v>3744.774932686696</v>
      </c>
      <c r="BV69" s="118">
        <f t="shared" ref="BV69:DY69" ca="1" si="147">+_activeinstallationsBoPP3+_NewSalesP3+_RetainedSalesP3-_EndingContractP3-_RepossessedP3-_LostP3</f>
        <v>3801.9937567534371</v>
      </c>
      <c r="BW69" s="118">
        <f t="shared" ca="1" si="147"/>
        <v>3857.2546359724865</v>
      </c>
      <c r="BX69" s="118">
        <f t="shared" ca="1" si="147"/>
        <v>3910.5494346601804</v>
      </c>
      <c r="BY69" s="118">
        <f t="shared" ca="1" si="147"/>
        <v>3961.8695441870491</v>
      </c>
      <c r="BZ69" s="118">
        <f t="shared" ca="1" si="147"/>
        <v>4011.2058766212226</v>
      </c>
      <c r="CA69" s="118">
        <f t="shared" ca="1" si="147"/>
        <v>4058.5488582136791</v>
      </c>
      <c r="CB69" s="118">
        <f t="shared" ca="1" si="147"/>
        <v>4103.8884227224862</v>
      </c>
      <c r="CC69" s="118">
        <f t="shared" ca="1" si="147"/>
        <v>4147.2140045731276</v>
      </c>
      <c r="CD69" s="118">
        <f t="shared" ca="1" si="147"/>
        <v>4188.5145318519244</v>
      </c>
      <c r="CE69" s="118">
        <f t="shared" ca="1" si="147"/>
        <v>4227.7784191295259</v>
      </c>
      <c r="CF69" s="118">
        <f t="shared" ca="1" si="147"/>
        <v>4264.9935601113784</v>
      </c>
      <c r="CG69" s="118">
        <f t="shared" ca="1" si="147"/>
        <v>4300.1473201119788</v>
      </c>
      <c r="CH69" s="118">
        <f t="shared" ca="1" si="147"/>
        <v>4333.226528349709</v>
      </c>
      <c r="CI69" s="118">
        <f t="shared" ca="1" si="147"/>
        <v>4364.217470058943</v>
      </c>
      <c r="CJ69" s="118">
        <f t="shared" ca="1" si="147"/>
        <v>4393.1058784160432</v>
      </c>
      <c r="CK69" s="118">
        <f t="shared" ca="1" si="147"/>
        <v>4419.8769262758306</v>
      </c>
      <c r="CL69" s="118">
        <f t="shared" ca="1" si="147"/>
        <v>4444.5152177150012</v>
      </c>
      <c r="CM69" s="118">
        <f t="shared" ca="1" si="147"/>
        <v>4467.0047793789226</v>
      </c>
      <c r="CN69" s="118">
        <f t="shared" ca="1" si="147"/>
        <v>4487.3290516281295</v>
      </c>
      <c r="CO69" s="118">
        <f t="shared" ca="1" si="147"/>
        <v>4505.4708794808075</v>
      </c>
      <c r="CP69" s="118">
        <f t="shared" ca="1" si="147"/>
        <v>4521.412503347442</v>
      </c>
      <c r="CQ69" s="118">
        <f t="shared" ca="1" si="147"/>
        <v>4535.1355495537418</v>
      </c>
      <c r="CR69" s="118">
        <f t="shared" ca="1" si="147"/>
        <v>4546.6210206478772</v>
      </c>
      <c r="CS69" s="118">
        <f t="shared" ca="1" si="147"/>
        <v>4555.8492854879687</v>
      </c>
      <c r="CT69" s="118">
        <f t="shared" ca="1" si="147"/>
        <v>4562.8000691056941</v>
      </c>
      <c r="CU69" s="118">
        <f t="shared" ca="1" si="147"/>
        <v>4567.4524423417988</v>
      </c>
      <c r="CV69" s="118">
        <f t="shared" ca="1" si="147"/>
        <v>4571.8732715471078</v>
      </c>
      <c r="CW69" s="118">
        <f t="shared" ca="1" si="147"/>
        <v>4576.1551941764883</v>
      </c>
      <c r="CX69" s="118">
        <f t="shared" ca="1" si="147"/>
        <v>4580.2977053300201</v>
      </c>
      <c r="CY69" s="118">
        <f t="shared" ca="1" si="147"/>
        <v>4584.3002672774728</v>
      </c>
      <c r="CZ69" s="118">
        <f t="shared" ca="1" si="147"/>
        <v>4588.162309029015</v>
      </c>
      <c r="DA69" s="118">
        <f t="shared" ca="1" si="147"/>
        <v>4591.8832258950779</v>
      </c>
      <c r="DB69" s="118">
        <f t="shared" ca="1" si="147"/>
        <v>4595.462379035157</v>
      </c>
      <c r="DC69" s="118">
        <f t="shared" ca="1" si="147"/>
        <v>4598.8990949953659</v>
      </c>
      <c r="DD69" s="118">
        <f t="shared" ca="1" si="147"/>
        <v>4602.1926652345328</v>
      </c>
      <c r="DE69" s="118">
        <f t="shared" ca="1" si="147"/>
        <v>4605.3423456386399</v>
      </c>
      <c r="DF69" s="118">
        <f t="shared" ca="1" si="147"/>
        <v>4608.3473560233851</v>
      </c>
      <c r="DG69" s="118">
        <f t="shared" ca="1" si="147"/>
        <v>4611.2068796246549</v>
      </c>
      <c r="DH69" s="118">
        <f t="shared" ca="1" si="147"/>
        <v>4613.9200625766916</v>
      </c>
      <c r="DI69" s="118">
        <f t="shared" ca="1" si="147"/>
        <v>4616.4860133777238</v>
      </c>
      <c r="DJ69" s="118">
        <f t="shared" ca="1" si="147"/>
        <v>4618.9038023428311</v>
      </c>
      <c r="DK69" s="118">
        <f t="shared" ca="1" si="147"/>
        <v>4621.1724610438141</v>
      </c>
      <c r="DL69" s="118">
        <f t="shared" ca="1" si="147"/>
        <v>4623.290981735825</v>
      </c>
      <c r="DM69" s="118">
        <f t="shared" ca="1" si="147"/>
        <v>4625.2583167705134</v>
      </c>
      <c r="DN69" s="118">
        <f t="shared" ca="1" si="147"/>
        <v>4627.0733779954462</v>
      </c>
      <c r="DO69" s="118">
        <f t="shared" ca="1" si="147"/>
        <v>4628.735036139532</v>
      </c>
      <c r="DP69" s="118">
        <f t="shared" ca="1" si="147"/>
        <v>4630.2421201842071</v>
      </c>
      <c r="DQ69" s="118">
        <f t="shared" ca="1" si="147"/>
        <v>4631.5934167201067</v>
      </c>
      <c r="DR69" s="118">
        <f t="shared" ca="1" si="147"/>
        <v>4632.7876692889513</v>
      </c>
      <c r="DS69" s="118">
        <f t="shared" ca="1" si="147"/>
        <v>4633.8235777103773</v>
      </c>
      <c r="DT69" s="118">
        <f t="shared" ca="1" si="147"/>
        <v>4634.6997973934249</v>
      </c>
      <c r="DU69" s="118">
        <f t="shared" ca="1" si="147"/>
        <v>4635.4149386323952</v>
      </c>
      <c r="DV69" s="118">
        <f t="shared" ca="1" si="147"/>
        <v>4635.9675658867836</v>
      </c>
      <c r="DW69" s="118">
        <f t="shared" ca="1" si="147"/>
        <v>4636.3561970449909</v>
      </c>
      <c r="DX69" s="118">
        <f t="shared" ca="1" si="147"/>
        <v>4636.5793026715082</v>
      </c>
      <c r="DY69" s="118">
        <f t="shared" ca="1" si="147"/>
        <v>4636.6353052372497</v>
      </c>
    </row>
    <row r="70" spans="2:129" outlineLevel="1">
      <c r="J70" s="11"/>
      <c r="K70" s="5"/>
      <c r="L70" s="11"/>
      <c r="M70" s="5"/>
      <c r="N70" s="11"/>
      <c r="O70" s="5"/>
      <c r="P70" s="11"/>
      <c r="Q70" s="11"/>
      <c r="R70" s="5"/>
      <c r="S70" s="5"/>
      <c r="T70" s="5"/>
      <c r="U70" s="5"/>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row>
    <row r="71" spans="2:129" outlineLevel="1">
      <c r="D71" s="5" t="s">
        <v>81</v>
      </c>
      <c r="F71" s="5" t="s">
        <v>288</v>
      </c>
      <c r="J71" s="35">
        <f ca="1">SUM(J64:J65)</f>
        <v>52.972534329035412</v>
      </c>
      <c r="K71" s="35">
        <f t="shared" ref="K71:BV71" ca="1" si="148">SUM(K64:K65)</f>
        <v>53.992534329035415</v>
      </c>
      <c r="L71" s="35">
        <f t="shared" ca="1" si="148"/>
        <v>55.032934329035413</v>
      </c>
      <c r="M71" s="35">
        <f t="shared" ca="1" si="148"/>
        <v>56.094142329035414</v>
      </c>
      <c r="N71" s="35">
        <f t="shared" ca="1" si="148"/>
        <v>57.176574489035417</v>
      </c>
      <c r="O71" s="35">
        <f t="shared" ca="1" si="148"/>
        <v>58.280655292235416</v>
      </c>
      <c r="P71" s="35">
        <f t="shared" ca="1" si="148"/>
        <v>59.406817711499414</v>
      </c>
      <c r="Q71" s="35">
        <f t="shared" ca="1" si="148"/>
        <v>60.555503379148696</v>
      </c>
      <c r="R71" s="35">
        <f t="shared" ca="1" si="148"/>
        <v>61.727162760150961</v>
      </c>
      <c r="S71" s="35">
        <f t="shared" ca="1" si="148"/>
        <v>62.922255328773275</v>
      </c>
      <c r="T71" s="35">
        <f t="shared" ca="1" si="148"/>
        <v>64.141249748768033</v>
      </c>
      <c r="U71" s="35">
        <f t="shared" ca="1" si="148"/>
        <v>65.384624057162696</v>
      </c>
      <c r="V71" s="35">
        <f t="shared" ca="1" si="148"/>
        <v>66.652865851725238</v>
      </c>
      <c r="W71" s="35">
        <f t="shared" ca="1" si="148"/>
        <v>67.946472482179033</v>
      </c>
      <c r="X71" s="35">
        <f t="shared" ca="1" si="148"/>
        <v>69.265951245241908</v>
      </c>
      <c r="Y71" s="35">
        <f t="shared" ca="1" si="148"/>
        <v>70.611819583566046</v>
      </c>
      <c r="Z71" s="35">
        <f t="shared" ca="1" si="148"/>
        <v>71.984605288656667</v>
      </c>
      <c r="AA71" s="35">
        <f t="shared" ca="1" si="148"/>
        <v>73.384846707849093</v>
      </c>
      <c r="AB71" s="35">
        <f t="shared" ca="1" si="148"/>
        <v>74.813092955425361</v>
      </c>
      <c r="AC71" s="35">
        <f t="shared" ca="1" si="148"/>
        <v>76.269904127953168</v>
      </c>
      <c r="AD71" s="35">
        <f t="shared" ca="1" si="148"/>
        <v>77.755851523931526</v>
      </c>
      <c r="AE71" s="35">
        <f t="shared" ca="1" si="148"/>
        <v>79.271517867829445</v>
      </c>
      <c r="AF71" s="35">
        <f t="shared" ca="1" si="148"/>
        <v>80.817497538605323</v>
      </c>
      <c r="AG71" s="35">
        <f t="shared" ca="1" si="148"/>
        <v>82.39439680279672</v>
      </c>
      <c r="AH71" s="35">
        <f t="shared" ca="1" si="148"/>
        <v>84.00283405227195</v>
      </c>
      <c r="AI71" s="35">
        <f t="shared" ca="1" si="148"/>
        <v>85.643440046736686</v>
      </c>
      <c r="AJ71" s="35">
        <f t="shared" ca="1" si="148"/>
        <v>87.316858161090707</v>
      </c>
      <c r="AK71" s="35">
        <f t="shared" ca="1" si="148"/>
        <v>89.023744637731809</v>
      </c>
      <c r="AL71" s="35">
        <f t="shared" ca="1" si="148"/>
        <v>90.764768843905742</v>
      </c>
      <c r="AM71" s="35">
        <f t="shared" ca="1" si="148"/>
        <v>92.540613534203146</v>
      </c>
      <c r="AN71" s="35">
        <f t="shared" ca="1" si="148"/>
        <v>96.297821131522184</v>
      </c>
      <c r="AO71" s="35">
        <f t="shared" ca="1" si="148"/>
        <v>98.220859385393211</v>
      </c>
      <c r="AP71" s="35">
        <f t="shared" ca="1" si="148"/>
        <v>100.18235840434167</v>
      </c>
      <c r="AQ71" s="35">
        <f t="shared" ca="1" si="148"/>
        <v>102.18308740366909</v>
      </c>
      <c r="AR71" s="35">
        <f t="shared" ca="1" si="148"/>
        <v>104.22383098298306</v>
      </c>
      <c r="AS71" s="35">
        <f t="shared" ca="1" si="148"/>
        <v>106.30538943388329</v>
      </c>
      <c r="AT71" s="35">
        <f t="shared" ca="1" si="148"/>
        <v>108.42857905380154</v>
      </c>
      <c r="AU71" s="35">
        <f t="shared" ca="1" si="148"/>
        <v>110.59423246611816</v>
      </c>
      <c r="AV71" s="35">
        <f t="shared" ca="1" si="148"/>
        <v>112.80319894668111</v>
      </c>
      <c r="AW71" s="35">
        <f t="shared" ca="1" si="148"/>
        <v>115.05634475685532</v>
      </c>
      <c r="AX71" s="35">
        <f t="shared" ca="1" si="148"/>
        <v>117.354553483233</v>
      </c>
      <c r="AY71" s="35">
        <f t="shared" ca="1" si="148"/>
        <v>119.69872638413825</v>
      </c>
      <c r="AZ71" s="35">
        <f t="shared" ca="1" si="148"/>
        <v>122.0897827430616</v>
      </c>
      <c r="BA71" s="35">
        <f t="shared" ca="1" si="148"/>
        <v>124.52866022916341</v>
      </c>
      <c r="BB71" s="35">
        <f t="shared" ca="1" si="148"/>
        <v>127.01631526498727</v>
      </c>
      <c r="BC71" s="35">
        <f t="shared" ca="1" si="148"/>
        <v>129.55372340152761</v>
      </c>
      <c r="BD71" s="35">
        <f t="shared" ca="1" si="148"/>
        <v>132.14187970079874</v>
      </c>
      <c r="BE71" s="35">
        <f t="shared" ca="1" si="148"/>
        <v>134.78179912605529</v>
      </c>
      <c r="BF71" s="35">
        <f t="shared" ca="1" si="148"/>
        <v>137.47451693981697</v>
      </c>
      <c r="BG71" s="35">
        <f t="shared" ca="1" si="148"/>
        <v>140.22108910985389</v>
      </c>
      <c r="BH71" s="35">
        <f t="shared" ca="1" si="148"/>
        <v>143.02259272329155</v>
      </c>
      <c r="BI71" s="35">
        <f t="shared" ca="1" si="148"/>
        <v>145.88012640899797</v>
      </c>
      <c r="BJ71" s="35">
        <f t="shared" ca="1" si="148"/>
        <v>148.79481076841853</v>
      </c>
      <c r="BK71" s="35">
        <f t="shared" ca="1" si="148"/>
        <v>151.76778881502747</v>
      </c>
      <c r="BL71" s="35">
        <f t="shared" ca="1" si="148"/>
        <v>154.80022642256861</v>
      </c>
      <c r="BM71" s="35">
        <f t="shared" ca="1" si="148"/>
        <v>157.89331278226058</v>
      </c>
      <c r="BN71" s="35">
        <f t="shared" ca="1" si="148"/>
        <v>161.04826086914639</v>
      </c>
      <c r="BO71" s="35">
        <f t="shared" ca="1" si="148"/>
        <v>164.26630791776989</v>
      </c>
      <c r="BP71" s="35">
        <f t="shared" ca="1" si="148"/>
        <v>167.54871590736587</v>
      </c>
      <c r="BQ71" s="35">
        <f t="shared" ca="1" si="148"/>
        <v>170.89677205675378</v>
      </c>
      <c r="BR71" s="35">
        <f t="shared" ca="1" si="148"/>
        <v>171.1746928430172</v>
      </c>
      <c r="BS71" s="35">
        <f t="shared" ca="1" si="148"/>
        <v>171.31694005446002</v>
      </c>
      <c r="BT71" s="35">
        <f t="shared" ca="1" si="148"/>
        <v>171.46203221013172</v>
      </c>
      <c r="BU71" s="35">
        <f t="shared" ca="1" si="148"/>
        <v>171.61002620891685</v>
      </c>
      <c r="BV71" s="35">
        <f t="shared" ca="1" si="148"/>
        <v>171.76098008767767</v>
      </c>
      <c r="BW71" s="35">
        <f t="shared" ref="BW71:CC71" ca="1" si="149">SUM(BW64:BW65)</f>
        <v>171.91495304401371</v>
      </c>
      <c r="BX71" s="35">
        <f t="shared" ca="1" si="149"/>
        <v>172.07200545947649</v>
      </c>
      <c r="BY71" s="35">
        <f t="shared" ca="1" si="149"/>
        <v>172.23219892324852</v>
      </c>
      <c r="BZ71" s="35">
        <f t="shared" ca="1" si="149"/>
        <v>172.39559625629596</v>
      </c>
      <c r="CA71" s="35">
        <f t="shared" ca="1" si="149"/>
        <v>172.56226153600437</v>
      </c>
      <c r="CB71" s="35">
        <f t="shared" ca="1" si="149"/>
        <v>172.73226012130695</v>
      </c>
      <c r="CC71" s="35">
        <f t="shared" ca="1" si="149"/>
        <v>172.90565867831558</v>
      </c>
      <c r="CD71" s="35">
        <f t="shared" ref="CD71:DY71" ca="1" si="150">SUM(CD64:CD65)</f>
        <v>173.0825252064644</v>
      </c>
      <c r="CE71" s="35">
        <f t="shared" ca="1" si="150"/>
        <v>173.26292906517617</v>
      </c>
      <c r="CF71" s="35">
        <f t="shared" ca="1" si="150"/>
        <v>173.44694100106219</v>
      </c>
      <c r="CG71" s="35">
        <f t="shared" ca="1" si="150"/>
        <v>173.63463317566593</v>
      </c>
      <c r="CH71" s="35">
        <f t="shared" ca="1" si="150"/>
        <v>173.82607919376173</v>
      </c>
      <c r="CI71" s="35">
        <f t="shared" ca="1" si="150"/>
        <v>174.02135413221944</v>
      </c>
      <c r="CJ71" s="35">
        <f t="shared" ca="1" si="150"/>
        <v>174.22053456944633</v>
      </c>
      <c r="CK71" s="35">
        <f t="shared" ca="1" si="150"/>
        <v>174.42369861541775</v>
      </c>
      <c r="CL71" s="35">
        <f t="shared" ca="1" si="150"/>
        <v>174.63092594230858</v>
      </c>
      <c r="CM71" s="35">
        <f t="shared" ca="1" si="150"/>
        <v>174.84229781573725</v>
      </c>
      <c r="CN71" s="35">
        <f t="shared" ca="1" si="150"/>
        <v>175.05789712663449</v>
      </c>
      <c r="CO71" s="35">
        <f t="shared" ca="1" si="150"/>
        <v>175.27780842374966</v>
      </c>
      <c r="CP71" s="35">
        <f t="shared" ca="1" si="150"/>
        <v>175.50211794680715</v>
      </c>
      <c r="CQ71" s="35">
        <f t="shared" ca="1" si="150"/>
        <v>175.7309136603258</v>
      </c>
      <c r="CR71" s="35">
        <f t="shared" ca="1" si="150"/>
        <v>175.96428528811481</v>
      </c>
      <c r="CS71" s="35">
        <f t="shared" ca="1" si="150"/>
        <v>176.20232434845957</v>
      </c>
      <c r="CT71" s="35">
        <f t="shared" ca="1" si="150"/>
        <v>176.44512419001126</v>
      </c>
      <c r="CU71" s="35">
        <f t="shared" ca="1" si="150"/>
        <v>176.69278002839397</v>
      </c>
      <c r="CV71" s="35">
        <f t="shared" ca="1" si="150"/>
        <v>176.71333783933113</v>
      </c>
      <c r="CW71" s="35">
        <f t="shared" ca="1" si="150"/>
        <v>176.7238598708729</v>
      </c>
      <c r="CX71" s="35">
        <f t="shared" ca="1" si="150"/>
        <v>176.73459234304551</v>
      </c>
      <c r="CY71" s="35">
        <f t="shared" ca="1" si="150"/>
        <v>176.74553946466156</v>
      </c>
      <c r="CZ71" s="35">
        <f t="shared" ca="1" si="150"/>
        <v>176.75670552870994</v>
      </c>
      <c r="DA71" s="35">
        <f t="shared" ca="1" si="150"/>
        <v>176.7680949140393</v>
      </c>
      <c r="DB71" s="35">
        <f t="shared" ca="1" si="150"/>
        <v>176.77971208707521</v>
      </c>
      <c r="DC71" s="35">
        <f t="shared" ca="1" si="150"/>
        <v>176.79156160357186</v>
      </c>
      <c r="DD71" s="35">
        <f t="shared" ca="1" si="150"/>
        <v>176.80364811039846</v>
      </c>
      <c r="DE71" s="35">
        <f t="shared" ca="1" si="150"/>
        <v>176.81597634736158</v>
      </c>
      <c r="DF71" s="35">
        <f t="shared" ca="1" si="150"/>
        <v>176.82855114906394</v>
      </c>
      <c r="DG71" s="35">
        <f t="shared" ca="1" si="150"/>
        <v>176.84137744680038</v>
      </c>
      <c r="DH71" s="35">
        <f t="shared" ca="1" si="150"/>
        <v>176.85446027049153</v>
      </c>
      <c r="DI71" s="35">
        <f t="shared" ca="1" si="150"/>
        <v>176.86780475065652</v>
      </c>
      <c r="DJ71" s="35">
        <f t="shared" ca="1" si="150"/>
        <v>176.8814161204248</v>
      </c>
      <c r="DK71" s="35">
        <f t="shared" ca="1" si="150"/>
        <v>176.89529971758844</v>
      </c>
      <c r="DL71" s="35">
        <f t="shared" ca="1" si="150"/>
        <v>176.90946098669536</v>
      </c>
      <c r="DM71" s="35">
        <f t="shared" ca="1" si="150"/>
        <v>176.92390548118442</v>
      </c>
      <c r="DN71" s="35">
        <f t="shared" ca="1" si="150"/>
        <v>176.93863886556323</v>
      </c>
      <c r="DO71" s="35">
        <f t="shared" ca="1" si="150"/>
        <v>176.95366691762965</v>
      </c>
      <c r="DP71" s="35">
        <f t="shared" ca="1" si="150"/>
        <v>176.9689955307374</v>
      </c>
      <c r="DQ71" s="35">
        <f t="shared" ca="1" si="150"/>
        <v>176.98463071610729</v>
      </c>
      <c r="DR71" s="35">
        <f t="shared" ca="1" si="150"/>
        <v>177.00057860518459</v>
      </c>
      <c r="DS71" s="35">
        <f t="shared" ca="1" si="150"/>
        <v>177.01684545204341</v>
      </c>
      <c r="DT71" s="35">
        <f t="shared" ca="1" si="150"/>
        <v>177.03343763583945</v>
      </c>
      <c r="DU71" s="35">
        <f t="shared" ca="1" si="150"/>
        <v>177.05036166331138</v>
      </c>
      <c r="DV71" s="35">
        <f t="shared" ca="1" si="150"/>
        <v>177.06762417133277</v>
      </c>
      <c r="DW71" s="35">
        <f t="shared" ca="1" si="150"/>
        <v>177.08523192951455</v>
      </c>
      <c r="DX71" s="35">
        <f t="shared" ca="1" si="150"/>
        <v>177.10319184285999</v>
      </c>
      <c r="DY71" s="35">
        <f t="shared" ca="1" si="150"/>
        <v>177.12151095447234</v>
      </c>
    </row>
    <row r="72" spans="2:129" outlineLevel="1">
      <c r="D72" s="5" t="s">
        <v>106</v>
      </c>
      <c r="F72" s="5" t="s">
        <v>289</v>
      </c>
      <c r="H72" s="35"/>
      <c r="I72" s="592">
        <f>'Model Assumptions'!I27</f>
        <v>1000</v>
      </c>
      <c r="J72" s="35">
        <f ca="1">+I72+J71</f>
        <v>1052.9725343290354</v>
      </c>
      <c r="K72" s="35">
        <f t="shared" ref="K72:BV72" ca="1" si="151">+J72+K71</f>
        <v>1106.9650686580708</v>
      </c>
      <c r="L72" s="35">
        <f t="shared" ca="1" si="151"/>
        <v>1161.9980029871062</v>
      </c>
      <c r="M72" s="35">
        <f t="shared" ca="1" si="151"/>
        <v>1218.0921453161416</v>
      </c>
      <c r="N72" s="35">
        <f t="shared" ca="1" si="151"/>
        <v>1275.2687198051769</v>
      </c>
      <c r="O72" s="35">
        <f t="shared" ca="1" si="151"/>
        <v>1333.5493750974124</v>
      </c>
      <c r="P72" s="35">
        <f t="shared" ca="1" si="151"/>
        <v>1392.9561928089117</v>
      </c>
      <c r="Q72" s="35">
        <f t="shared" ca="1" si="151"/>
        <v>1453.5116961880603</v>
      </c>
      <c r="R72" s="35">
        <f t="shared" ca="1" si="151"/>
        <v>1515.2388589482114</v>
      </c>
      <c r="S72" s="35">
        <f t="shared" ca="1" si="151"/>
        <v>1578.1611142769846</v>
      </c>
      <c r="T72" s="35">
        <f t="shared" ca="1" si="151"/>
        <v>1642.3023640257527</v>
      </c>
      <c r="U72" s="35">
        <f t="shared" ca="1" si="151"/>
        <v>1707.6869880829154</v>
      </c>
      <c r="V72" s="35">
        <f t="shared" ca="1" si="151"/>
        <v>1774.3398539346406</v>
      </c>
      <c r="W72" s="35">
        <f t="shared" ca="1" si="151"/>
        <v>1842.2863264168195</v>
      </c>
      <c r="X72" s="35">
        <f t="shared" ca="1" si="151"/>
        <v>1911.5522776620614</v>
      </c>
      <c r="Y72" s="35">
        <f t="shared" ca="1" si="151"/>
        <v>1982.1640972456275</v>
      </c>
      <c r="Z72" s="35">
        <f t="shared" ca="1" si="151"/>
        <v>2054.148702534284</v>
      </c>
      <c r="AA72" s="35">
        <f t="shared" ca="1" si="151"/>
        <v>2127.5335492421332</v>
      </c>
      <c r="AB72" s="35">
        <f t="shared" ca="1" si="151"/>
        <v>2202.3466421975586</v>
      </c>
      <c r="AC72" s="35">
        <f t="shared" ca="1" si="151"/>
        <v>2278.616546325512</v>
      </c>
      <c r="AD72" s="35">
        <f t="shared" ca="1" si="151"/>
        <v>2356.3723978494436</v>
      </c>
      <c r="AE72" s="35">
        <f t="shared" ca="1" si="151"/>
        <v>2435.6439157172731</v>
      </c>
      <c r="AF72" s="35">
        <f t="shared" ca="1" si="151"/>
        <v>2516.4614132558786</v>
      </c>
      <c r="AG72" s="35">
        <f t="shared" ca="1" si="151"/>
        <v>2598.8558100586752</v>
      </c>
      <c r="AH72" s="35">
        <f t="shared" ca="1" si="151"/>
        <v>2682.8586441109469</v>
      </c>
      <c r="AI72" s="35">
        <f t="shared" ca="1" si="151"/>
        <v>2768.5020841576834</v>
      </c>
      <c r="AJ72" s="35">
        <f t="shared" ca="1" si="151"/>
        <v>2855.8189423187741</v>
      </c>
      <c r="AK72" s="35">
        <f t="shared" ca="1" si="151"/>
        <v>2944.842686956506</v>
      </c>
      <c r="AL72" s="35">
        <f t="shared" ca="1" si="151"/>
        <v>3035.6074558004116</v>
      </c>
      <c r="AM72" s="35">
        <f t="shared" ca="1" si="151"/>
        <v>3128.1480693346148</v>
      </c>
      <c r="AN72" s="35">
        <f t="shared" ca="1" si="151"/>
        <v>3224.4458904661369</v>
      </c>
      <c r="AO72" s="35">
        <f t="shared" ca="1" si="151"/>
        <v>3322.6667498515303</v>
      </c>
      <c r="AP72" s="35">
        <f t="shared" ca="1" si="151"/>
        <v>3422.8491082558721</v>
      </c>
      <c r="AQ72" s="35">
        <f t="shared" ca="1" si="151"/>
        <v>3525.0321956595412</v>
      </c>
      <c r="AR72" s="35">
        <f t="shared" ca="1" si="151"/>
        <v>3629.2560266425244</v>
      </c>
      <c r="AS72" s="35">
        <f t="shared" ca="1" si="151"/>
        <v>3735.5614160764076</v>
      </c>
      <c r="AT72" s="35">
        <f t="shared" ca="1" si="151"/>
        <v>3843.9899951302091</v>
      </c>
      <c r="AU72" s="35">
        <f t="shared" ca="1" si="151"/>
        <v>3954.5842275963273</v>
      </c>
      <c r="AV72" s="35">
        <f t="shared" ca="1" si="151"/>
        <v>4067.3874265430086</v>
      </c>
      <c r="AW72" s="35">
        <f t="shared" ca="1" si="151"/>
        <v>4182.4437712998642</v>
      </c>
      <c r="AX72" s="35">
        <f t="shared" ca="1" si="151"/>
        <v>4299.7983247830971</v>
      </c>
      <c r="AY72" s="35">
        <f t="shared" ca="1" si="151"/>
        <v>4419.4970511672354</v>
      </c>
      <c r="AZ72" s="35">
        <f t="shared" ca="1" si="151"/>
        <v>4541.5868339102972</v>
      </c>
      <c r="BA72" s="35">
        <f t="shared" ca="1" si="151"/>
        <v>4666.1154941394607</v>
      </c>
      <c r="BB72" s="35">
        <f t="shared" ca="1" si="151"/>
        <v>4793.1318094044482</v>
      </c>
      <c r="BC72" s="35">
        <f t="shared" ca="1" si="151"/>
        <v>4922.6855328059755</v>
      </c>
      <c r="BD72" s="35">
        <f t="shared" ca="1" si="151"/>
        <v>5054.8274125067746</v>
      </c>
      <c r="BE72" s="35">
        <f t="shared" ca="1" si="151"/>
        <v>5189.60921163283</v>
      </c>
      <c r="BF72" s="35">
        <f t="shared" ca="1" si="151"/>
        <v>5327.0837285726466</v>
      </c>
      <c r="BG72" s="35">
        <f t="shared" ca="1" si="151"/>
        <v>5467.3048176825005</v>
      </c>
      <c r="BH72" s="35">
        <f t="shared" ca="1" si="151"/>
        <v>5610.3274104057919</v>
      </c>
      <c r="BI72" s="35">
        <f t="shared" ca="1" si="151"/>
        <v>5756.2075368147898</v>
      </c>
      <c r="BJ72" s="35">
        <f t="shared" ca="1" si="151"/>
        <v>5905.0023475832086</v>
      </c>
      <c r="BK72" s="35">
        <f t="shared" ca="1" si="151"/>
        <v>6056.770136398236</v>
      </c>
      <c r="BL72" s="35">
        <f t="shared" ca="1" si="151"/>
        <v>6211.5703628208048</v>
      </c>
      <c r="BM72" s="35">
        <f t="shared" ca="1" si="151"/>
        <v>6369.463675603065</v>
      </c>
      <c r="BN72" s="35">
        <f t="shared" ca="1" si="151"/>
        <v>6530.5119364722113</v>
      </c>
      <c r="BO72" s="35">
        <f t="shared" ca="1" si="151"/>
        <v>6694.7782443899814</v>
      </c>
      <c r="BP72" s="35">
        <f t="shared" ca="1" si="151"/>
        <v>6862.3269602973469</v>
      </c>
      <c r="BQ72" s="35">
        <f t="shared" ca="1" si="151"/>
        <v>7033.2237323541003</v>
      </c>
      <c r="BR72" s="35">
        <f t="shared" ca="1" si="151"/>
        <v>7204.3984251971178</v>
      </c>
      <c r="BS72" s="35">
        <f t="shared" ca="1" si="151"/>
        <v>7375.7153652515781</v>
      </c>
      <c r="BT72" s="35">
        <f t="shared" ca="1" si="151"/>
        <v>7547.1773974617099</v>
      </c>
      <c r="BU72" s="35">
        <f t="shared" ca="1" si="151"/>
        <v>7718.7874236706266</v>
      </c>
      <c r="BV72" s="35">
        <f t="shared" ca="1" si="151"/>
        <v>7890.5484037583046</v>
      </c>
      <c r="BW72" s="35">
        <f t="shared" ref="BW72:CC72" ca="1" si="152">+BV72+BW71</f>
        <v>8062.4633568023182</v>
      </c>
      <c r="BX72" s="35">
        <f t="shared" ca="1" si="152"/>
        <v>8234.5353622617949</v>
      </c>
      <c r="BY72" s="35">
        <f t="shared" ca="1" si="152"/>
        <v>8406.7675611850427</v>
      </c>
      <c r="BZ72" s="35">
        <f t="shared" ca="1" si="152"/>
        <v>8579.1631574413386</v>
      </c>
      <c r="CA72" s="35">
        <f t="shared" ca="1" si="152"/>
        <v>8751.725418977343</v>
      </c>
      <c r="CB72" s="35">
        <f t="shared" ca="1" si="152"/>
        <v>8924.4576790986503</v>
      </c>
      <c r="CC72" s="35">
        <f t="shared" ca="1" si="152"/>
        <v>9097.3633377769656</v>
      </c>
      <c r="CD72" s="35">
        <f t="shared" ref="CD72:DY72" ca="1" si="153">+CC72+CD71</f>
        <v>9270.4458629834298</v>
      </c>
      <c r="CE72" s="35">
        <f t="shared" ca="1" si="153"/>
        <v>9443.7087920486065</v>
      </c>
      <c r="CF72" s="35">
        <f t="shared" ca="1" si="153"/>
        <v>9617.1557330496689</v>
      </c>
      <c r="CG72" s="35">
        <f t="shared" ca="1" si="153"/>
        <v>9790.7903662253357</v>
      </c>
      <c r="CH72" s="35">
        <f t="shared" ca="1" si="153"/>
        <v>9964.6164454190966</v>
      </c>
      <c r="CI72" s="35">
        <f t="shared" ca="1" si="153"/>
        <v>10138.637799551316</v>
      </c>
      <c r="CJ72" s="35">
        <f t="shared" ca="1" si="153"/>
        <v>10312.858334120761</v>
      </c>
      <c r="CK72" s="35">
        <f t="shared" ca="1" si="153"/>
        <v>10487.282032736179</v>
      </c>
      <c r="CL72" s="35">
        <f t="shared" ca="1" si="153"/>
        <v>10661.912958678487</v>
      </c>
      <c r="CM72" s="35">
        <f t="shared" ca="1" si="153"/>
        <v>10836.755256494225</v>
      </c>
      <c r="CN72" s="35">
        <f t="shared" ca="1" si="153"/>
        <v>11011.81315362086</v>
      </c>
      <c r="CO72" s="35">
        <f t="shared" ca="1" si="153"/>
        <v>11187.090962044609</v>
      </c>
      <c r="CP72" s="35">
        <f t="shared" ca="1" si="153"/>
        <v>11362.593079991417</v>
      </c>
      <c r="CQ72" s="35">
        <f t="shared" ca="1" si="153"/>
        <v>11538.323993651742</v>
      </c>
      <c r="CR72" s="35">
        <f t="shared" ca="1" si="153"/>
        <v>11714.288278939857</v>
      </c>
      <c r="CS72" s="35">
        <f t="shared" ca="1" si="153"/>
        <v>11890.490603288317</v>
      </c>
      <c r="CT72" s="35">
        <f t="shared" ca="1" si="153"/>
        <v>12066.935727478329</v>
      </c>
      <c r="CU72" s="35">
        <f t="shared" ca="1" si="153"/>
        <v>12243.628507506723</v>
      </c>
      <c r="CV72" s="35">
        <f t="shared" ca="1" si="153"/>
        <v>12420.341845346054</v>
      </c>
      <c r="CW72" s="35">
        <f t="shared" ca="1" si="153"/>
        <v>12597.065705216928</v>
      </c>
      <c r="CX72" s="35">
        <f t="shared" ca="1" si="153"/>
        <v>12773.800297559974</v>
      </c>
      <c r="CY72" s="35">
        <f t="shared" ca="1" si="153"/>
        <v>12950.545837024636</v>
      </c>
      <c r="CZ72" s="35">
        <f t="shared" ca="1" si="153"/>
        <v>13127.302542553345</v>
      </c>
      <c r="DA72" s="35">
        <f t="shared" ca="1" si="153"/>
        <v>13304.070637467385</v>
      </c>
      <c r="DB72" s="35">
        <f t="shared" ca="1" si="153"/>
        <v>13480.850349554459</v>
      </c>
      <c r="DC72" s="35">
        <f t="shared" ca="1" si="153"/>
        <v>13657.641911158031</v>
      </c>
      <c r="DD72" s="35">
        <f t="shared" ca="1" si="153"/>
        <v>13834.44555926843</v>
      </c>
      <c r="DE72" s="35">
        <f t="shared" ca="1" si="153"/>
        <v>14011.261535615791</v>
      </c>
      <c r="DF72" s="35">
        <f t="shared" ca="1" si="153"/>
        <v>14188.090086764854</v>
      </c>
      <c r="DG72" s="35">
        <f t="shared" ca="1" si="153"/>
        <v>14364.931464211655</v>
      </c>
      <c r="DH72" s="35">
        <f t="shared" ca="1" si="153"/>
        <v>14541.785924482147</v>
      </c>
      <c r="DI72" s="35">
        <f t="shared" ca="1" si="153"/>
        <v>14718.653729232803</v>
      </c>
      <c r="DJ72" s="35">
        <f t="shared" ca="1" si="153"/>
        <v>14895.535145353228</v>
      </c>
      <c r="DK72" s="35">
        <f t="shared" ca="1" si="153"/>
        <v>15072.430445070817</v>
      </c>
      <c r="DL72" s="35">
        <f t="shared" ca="1" si="153"/>
        <v>15249.339906057512</v>
      </c>
      <c r="DM72" s="35">
        <f t="shared" ca="1" si="153"/>
        <v>15426.263811538696</v>
      </c>
      <c r="DN72" s="35">
        <f t="shared" ca="1" si="153"/>
        <v>15603.20245040426</v>
      </c>
      <c r="DO72" s="35">
        <f t="shared" ca="1" si="153"/>
        <v>15780.156117321891</v>
      </c>
      <c r="DP72" s="35">
        <f t="shared" ca="1" si="153"/>
        <v>15957.125112852627</v>
      </c>
      <c r="DQ72" s="35">
        <f t="shared" ca="1" si="153"/>
        <v>16134.109743568735</v>
      </c>
      <c r="DR72" s="35">
        <f t="shared" ca="1" si="153"/>
        <v>16311.110322173919</v>
      </c>
      <c r="DS72" s="35">
        <f t="shared" ca="1" si="153"/>
        <v>16488.127167625964</v>
      </c>
      <c r="DT72" s="35">
        <f t="shared" ca="1" si="153"/>
        <v>16665.160605261804</v>
      </c>
      <c r="DU72" s="35">
        <f t="shared" ca="1" si="153"/>
        <v>16842.210966925115</v>
      </c>
      <c r="DV72" s="35">
        <f t="shared" ca="1" si="153"/>
        <v>17019.278591096449</v>
      </c>
      <c r="DW72" s="35">
        <f t="shared" ca="1" si="153"/>
        <v>17196.363823025964</v>
      </c>
      <c r="DX72" s="35">
        <f t="shared" ca="1" si="153"/>
        <v>17373.467014868824</v>
      </c>
      <c r="DY72" s="35">
        <f t="shared" ca="1" si="153"/>
        <v>17550.588525823296</v>
      </c>
    </row>
    <row r="73" spans="2:129" outlineLevel="1">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row>
    <row r="74" spans="2:129" outlineLevel="1">
      <c r="B74" s="6" t="s">
        <v>252</v>
      </c>
      <c r="J74" s="91"/>
      <c r="K74" s="5"/>
      <c r="L74" s="11"/>
      <c r="M74" s="5"/>
      <c r="N74" s="11"/>
      <c r="O74" s="5"/>
      <c r="P74" s="11"/>
      <c r="Q74" s="11"/>
      <c r="R74" s="5"/>
      <c r="S74" s="5"/>
      <c r="T74" s="5"/>
      <c r="U74" s="5"/>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row>
    <row r="75" spans="2:129" outlineLevel="1">
      <c r="C75" s="5" t="s">
        <v>4</v>
      </c>
      <c r="F75" s="5" t="s">
        <v>254</v>
      </c>
      <c r="I75" s="35"/>
      <c r="J75" s="35">
        <f>I81</f>
        <v>3000</v>
      </c>
      <c r="K75" s="35">
        <f t="shared" ref="K75:BV75" ca="1" si="154">J81</f>
        <v>3085.6112091591876</v>
      </c>
      <c r="L75" s="35">
        <f t="shared" ca="1" si="154"/>
        <v>3174.4463062267832</v>
      </c>
      <c r="M75" s="35">
        <f t="shared" ca="1" si="154"/>
        <v>3266.5546523237031</v>
      </c>
      <c r="N75" s="35">
        <f t="shared" ca="1" si="154"/>
        <v>3361.9867469596538</v>
      </c>
      <c r="O75" s="35">
        <f t="shared" ca="1" si="154"/>
        <v>3460.7942492892448</v>
      </c>
      <c r="P75" s="35">
        <f t="shared" ca="1" si="154"/>
        <v>3563.0299998083401</v>
      </c>
      <c r="Q75" s="35">
        <f t="shared" ca="1" si="154"/>
        <v>3668.7480424993</v>
      </c>
      <c r="R75" s="35">
        <f t="shared" ca="1" si="154"/>
        <v>3778.0036474339481</v>
      </c>
      <c r="S75" s="35">
        <f t="shared" ca="1" si="154"/>
        <v>3890.8533338432585</v>
      </c>
      <c r="T75" s="35">
        <f t="shared" ca="1" si="154"/>
        <v>4007.3548936629654</v>
      </c>
      <c r="U75" s="35">
        <f t="shared" ca="1" si="154"/>
        <v>4127.5674155644538</v>
      </c>
      <c r="V75" s="35">
        <f t="shared" ca="1" si="154"/>
        <v>4251.5513094805056</v>
      </c>
      <c r="W75" s="35">
        <f t="shared" ca="1" si="154"/>
        <v>4379.3683316356473</v>
      </c>
      <c r="X75" s="35">
        <f t="shared" ca="1" si="154"/>
        <v>4511.0816100910524</v>
      </c>
      <c r="Y75" s="35">
        <f t="shared" ca="1" si="154"/>
        <v>4646.7556708141556</v>
      </c>
      <c r="Z75" s="35">
        <f t="shared" ca="1" si="154"/>
        <v>4786.4564642833247</v>
      </c>
      <c r="AA75" s="35">
        <f t="shared" ca="1" si="154"/>
        <v>4930.2513926381644</v>
      </c>
      <c r="AB75" s="35">
        <f t="shared" ca="1" si="154"/>
        <v>5078.2093373862253</v>
      </c>
      <c r="AC75" s="35">
        <f t="shared" ca="1" si="154"/>
        <v>5230.4006876771109</v>
      </c>
      <c r="AD75" s="35">
        <f t="shared" ca="1" si="154"/>
        <v>5386.8973691551992</v>
      </c>
      <c r="AE75" s="35">
        <f t="shared" ca="1" si="154"/>
        <v>5547.7728734024195</v>
      </c>
      <c r="AF75" s="35">
        <f t="shared" ca="1" si="154"/>
        <v>5713.1022879827597</v>
      </c>
      <c r="AG75" s="35">
        <f t="shared" ca="1" si="154"/>
        <v>5882.9623271003993</v>
      </c>
      <c r="AH75" s="35">
        <f t="shared" ca="1" si="154"/>
        <v>6057.4313628836289</v>
      </c>
      <c r="AI75" s="35">
        <f t="shared" ca="1" si="154"/>
        <v>6173.7832274099337</v>
      </c>
      <c r="AJ75" s="35">
        <f t="shared" ca="1" si="154"/>
        <v>6292.648987135789</v>
      </c>
      <c r="AK75" s="35">
        <f t="shared" ca="1" si="154"/>
        <v>6414.0770513860971</v>
      </c>
      <c r="AL75" s="35">
        <f t="shared" ca="1" si="154"/>
        <v>6538.1168163580478</v>
      </c>
      <c r="AM75" s="35">
        <f t="shared" ca="1" si="154"/>
        <v>6664.8186846717063</v>
      </c>
      <c r="AN75" s="35">
        <f t="shared" ca="1" si="154"/>
        <v>6794.2340853134865</v>
      </c>
      <c r="AO75" s="35">
        <f t="shared" ca="1" si="154"/>
        <v>6926.4154939803302</v>
      </c>
      <c r="AP75" s="35">
        <f t="shared" ca="1" si="154"/>
        <v>7061.4164538326168</v>
      </c>
      <c r="AQ75" s="35">
        <f t="shared" ca="1" si="154"/>
        <v>7199.2915966639339</v>
      </c>
      <c r="AR75" s="35">
        <f t="shared" ca="1" si="154"/>
        <v>7340.0966644960436</v>
      </c>
      <c r="AS75" s="35">
        <f t="shared" ca="1" si="154"/>
        <v>7483.8885316075193</v>
      </c>
      <c r="AT75" s="35">
        <f t="shared" ca="1" si="154"/>
        <v>7630.7252270047202</v>
      </c>
      <c r="AU75" s="35">
        <f t="shared" ca="1" si="154"/>
        <v>7780.6659573439274</v>
      </c>
      <c r="AV75" s="35">
        <f t="shared" ca="1" si="154"/>
        <v>7933.7711303136402</v>
      </c>
      <c r="AW75" s="35">
        <f t="shared" ca="1" si="154"/>
        <v>8090.10237848623</v>
      </c>
      <c r="AX75" s="35">
        <f t="shared" ca="1" si="154"/>
        <v>8249.7225836483194</v>
      </c>
      <c r="AY75" s="35">
        <f t="shared" ca="1" si="154"/>
        <v>8412.6959016194396</v>
      </c>
      <c r="AZ75" s="35">
        <f t="shared" ca="1" si="154"/>
        <v>8579.0877875687147</v>
      </c>
      <c r="BA75" s="35">
        <f t="shared" ca="1" si="154"/>
        <v>8748.9650218395163</v>
      </c>
      <c r="BB75" s="35">
        <f t="shared" ca="1" si="154"/>
        <v>8922.395736292252</v>
      </c>
      <c r="BC75" s="35">
        <f t="shared" ca="1" si="154"/>
        <v>9099.4494411755932</v>
      </c>
      <c r="BD75" s="35">
        <f t="shared" ca="1" si="154"/>
        <v>9280.1970525367396</v>
      </c>
      <c r="BE75" s="35">
        <f t="shared" ca="1" si="154"/>
        <v>9464.7109201814455</v>
      </c>
      <c r="BF75" s="35">
        <f t="shared" ca="1" si="154"/>
        <v>9653.0648561948165</v>
      </c>
      <c r="BG75" s="35">
        <f t="shared" ca="1" si="154"/>
        <v>9840.3996158404116</v>
      </c>
      <c r="BH75" s="35">
        <f t="shared" ca="1" si="154"/>
        <v>10031.549248359535</v>
      </c>
      <c r="BI75" s="35">
        <f t="shared" ca="1" si="154"/>
        <v>10226.589369432846</v>
      </c>
      <c r="BJ75" s="35">
        <f t="shared" ca="1" si="154"/>
        <v>10425.597113872393</v>
      </c>
      <c r="BK75" s="35">
        <f t="shared" ca="1" si="154"/>
        <v>10628.651165936055</v>
      </c>
      <c r="BL75" s="35">
        <f t="shared" ca="1" si="154"/>
        <v>10835.831790248958</v>
      </c>
      <c r="BM75" s="35">
        <f t="shared" ca="1" si="154"/>
        <v>11047.22086334401</v>
      </c>
      <c r="BN75" s="35">
        <f t="shared" ca="1" si="154"/>
        <v>11262.901905833893</v>
      </c>
      <c r="BO75" s="35">
        <f t="shared" ca="1" si="154"/>
        <v>11482.960115227173</v>
      </c>
      <c r="BP75" s="35">
        <f t="shared" ca="1" si="154"/>
        <v>11707.482399401386</v>
      </c>
      <c r="BQ75" s="35">
        <f t="shared" ca="1" si="154"/>
        <v>11936.557410746216</v>
      </c>
      <c r="BR75" s="35">
        <f t="shared" ca="1" si="154"/>
        <v>12170.275580990206</v>
      </c>
      <c r="BS75" s="35">
        <f t="shared" ca="1" si="154"/>
        <v>12395.605033571157</v>
      </c>
      <c r="BT75" s="35">
        <f t="shared" ca="1" si="154"/>
        <v>12612.508624946484</v>
      </c>
      <c r="BU75" s="35">
        <f t="shared" ca="1" si="154"/>
        <v>12820.94716239465</v>
      </c>
      <c r="BV75" s="35">
        <f t="shared" ca="1" si="154"/>
        <v>13020.879376094656</v>
      </c>
      <c r="BW75" s="35">
        <f t="shared" ref="BW75:CC75" ca="1" si="155">BV81</f>
        <v>13212.261890516509</v>
      </c>
      <c r="BX75" s="35">
        <f t="shared" ca="1" si="155"/>
        <v>13395.04919511017</v>
      </c>
      <c r="BY75" s="35">
        <f t="shared" ca="1" si="155"/>
        <v>13569.193614280241</v>
      </c>
      <c r="BZ75" s="35">
        <f t="shared" ca="1" si="155"/>
        <v>13734.645276633402</v>
      </c>
      <c r="CA75" s="35">
        <f t="shared" ca="1" si="155"/>
        <v>13891.352083485323</v>
      </c>
      <c r="CB75" s="35">
        <f t="shared" ca="1" si="155"/>
        <v>14039.259676613457</v>
      </c>
      <c r="CC75" s="35">
        <f t="shared" ca="1" si="155"/>
        <v>14178.311405241939</v>
      </c>
      <c r="CD75" s="35">
        <f t="shared" ref="CD75:DY75" ca="1" si="156">CC81</f>
        <v>14308.448292244397</v>
      </c>
      <c r="CE75" s="35">
        <f t="shared" ca="1" si="156"/>
        <v>14429.221302885247</v>
      </c>
      <c r="CF75" s="35">
        <f t="shared" ca="1" si="156"/>
        <v>14540.94046749351</v>
      </c>
      <c r="CG75" s="35">
        <f t="shared" ca="1" si="156"/>
        <v>14643.539402210987</v>
      </c>
      <c r="CH75" s="35">
        <f t="shared" ca="1" si="156"/>
        <v>14736.949248571689</v>
      </c>
      <c r="CI75" s="35">
        <f t="shared" ca="1" si="156"/>
        <v>14821.098635478995</v>
      </c>
      <c r="CJ75" s="35">
        <f t="shared" ca="1" si="156"/>
        <v>14895.913640307645</v>
      </c>
      <c r="CK75" s="35">
        <f t="shared" ca="1" si="156"/>
        <v>14961.317749114227</v>
      </c>
      <c r="CL75" s="35">
        <f t="shared" ca="1" si="156"/>
        <v>15017.231815939491</v>
      </c>
      <c r="CM75" s="35">
        <f t="shared" ca="1" si="156"/>
        <v>15063.574021185388</v>
      </c>
      <c r="CN75" s="35">
        <f t="shared" ca="1" si="156"/>
        <v>15100.259829049483</v>
      </c>
      <c r="CO75" s="35">
        <f t="shared" ca="1" si="156"/>
        <v>15127.201943999013</v>
      </c>
      <c r="CP75" s="35">
        <f t="shared" ca="1" si="156"/>
        <v>15144.310266266401</v>
      </c>
      <c r="CQ75" s="35">
        <f t="shared" ca="1" si="156"/>
        <v>15160.772049358859</v>
      </c>
      <c r="CR75" s="35">
        <f t="shared" ca="1" si="156"/>
        <v>15176.584249549091</v>
      </c>
      <c r="CS75" s="35">
        <f t="shared" ca="1" si="156"/>
        <v>15191.743663364694</v>
      </c>
      <c r="CT75" s="35">
        <f t="shared" ca="1" si="156"/>
        <v>15206.246925381958</v>
      </c>
      <c r="CU75" s="35">
        <f t="shared" ca="1" si="156"/>
        <v>15220.090505965667</v>
      </c>
      <c r="CV75" s="35">
        <f t="shared" ca="1" si="156"/>
        <v>15233.270708953885</v>
      </c>
      <c r="CW75" s="35">
        <f t="shared" ca="1" si="156"/>
        <v>15245.783669286779</v>
      </c>
      <c r="CX75" s="35">
        <f t="shared" ca="1" si="156"/>
        <v>15257.625350578386</v>
      </c>
      <c r="CY75" s="35">
        <f t="shared" ca="1" si="156"/>
        <v>15268.791542630366</v>
      </c>
      <c r="CZ75" s="35">
        <f t="shared" ca="1" si="156"/>
        <v>15279.277858886579</v>
      </c>
      <c r="DA75" s="35">
        <f t="shared" ca="1" si="156"/>
        <v>15289.079733827475</v>
      </c>
      <c r="DB75" s="35">
        <f t="shared" ca="1" si="156"/>
        <v>15298.192420303158</v>
      </c>
      <c r="DC75" s="35">
        <f t="shared" ca="1" si="156"/>
        <v>15306.580526324458</v>
      </c>
      <c r="DD75" s="35">
        <f t="shared" ca="1" si="156"/>
        <v>15314.268299108202</v>
      </c>
      <c r="DE75" s="35">
        <f t="shared" ca="1" si="156"/>
        <v>15321.250412943218</v>
      </c>
      <c r="DF75" s="35">
        <f t="shared" ca="1" si="156"/>
        <v>15327.521348794575</v>
      </c>
      <c r="DG75" s="35">
        <f t="shared" ca="1" si="156"/>
        <v>15333.075391305201</v>
      </c>
      <c r="DH75" s="35">
        <f t="shared" ca="1" si="156"/>
        <v>15337.906625728865</v>
      </c>
      <c r="DI75" s="35">
        <f t="shared" ca="1" si="156"/>
        <v>15342.008934793197</v>
      </c>
      <c r="DJ75" s="35">
        <f t="shared" ca="1" si="156"/>
        <v>15345.375995491486</v>
      </c>
      <c r="DK75" s="35">
        <f t="shared" ca="1" si="156"/>
        <v>15348.001275801886</v>
      </c>
      <c r="DL75" s="35">
        <f t="shared" ca="1" si="156"/>
        <v>15349.878031332659</v>
      </c>
      <c r="DM75" s="35">
        <f t="shared" ca="1" si="156"/>
        <v>15350.999301892069</v>
      </c>
      <c r="DN75" s="35">
        <f t="shared" ca="1" si="156"/>
        <v>15351.357907981508</v>
      </c>
      <c r="DO75" s="35">
        <f t="shared" ca="1" si="156"/>
        <v>15351.675572475193</v>
      </c>
      <c r="DP75" s="35">
        <f t="shared" ca="1" si="156"/>
        <v>15351.951957678382</v>
      </c>
      <c r="DQ75" s="35">
        <f t="shared" ca="1" si="156"/>
        <v>15352.18671433107</v>
      </c>
      <c r="DR75" s="35">
        <f t="shared" ca="1" si="156"/>
        <v>15352.379481424794</v>
      </c>
      <c r="DS75" s="35">
        <f t="shared" ca="1" si="156"/>
        <v>15352.529886015296</v>
      </c>
      <c r="DT75" s="35">
        <f t="shared" ca="1" si="156"/>
        <v>15352.637543030958</v>
      </c>
      <c r="DU75" s="35">
        <f t="shared" ca="1" si="156"/>
        <v>15352.702055076952</v>
      </c>
      <c r="DV75" s="35">
        <f t="shared" ca="1" si="156"/>
        <v>15352.723012234987</v>
      </c>
      <c r="DW75" s="35">
        <f t="shared" ca="1" si="156"/>
        <v>15352.699991858588</v>
      </c>
      <c r="DX75" s="35">
        <f t="shared" ca="1" si="156"/>
        <v>15352.632558363846</v>
      </c>
      <c r="DY75" s="35">
        <f t="shared" ca="1" si="156"/>
        <v>15352.520263015502</v>
      </c>
    </row>
    <row r="76" spans="2:129" outlineLevel="1">
      <c r="C76" s="79" t="s">
        <v>5</v>
      </c>
      <c r="D76" s="55" t="s">
        <v>316</v>
      </c>
      <c r="E76" s="55"/>
      <c r="F76" s="55" t="s">
        <v>255</v>
      </c>
      <c r="G76" s="55"/>
      <c r="H76" s="55"/>
      <c r="I76" s="55"/>
      <c r="J76" s="137">
        <f>+J16</f>
        <v>204</v>
      </c>
      <c r="K76" s="137">
        <f t="shared" ref="K76:AO76" si="157">+K16</f>
        <v>208.08</v>
      </c>
      <c r="L76" s="137">
        <f t="shared" si="157"/>
        <v>212.24160000000001</v>
      </c>
      <c r="M76" s="137">
        <f t="shared" si="157"/>
        <v>216.48643200000001</v>
      </c>
      <c r="N76" s="137">
        <f t="shared" si="157"/>
        <v>220.81616064000002</v>
      </c>
      <c r="O76" s="137">
        <f t="shared" si="157"/>
        <v>225.23248385280002</v>
      </c>
      <c r="P76" s="137">
        <f t="shared" si="157"/>
        <v>229.73713352985601</v>
      </c>
      <c r="Q76" s="137">
        <f t="shared" si="157"/>
        <v>234.33187620045314</v>
      </c>
      <c r="R76" s="118">
        <f t="shared" si="157"/>
        <v>239.0185137244622</v>
      </c>
      <c r="S76" s="118">
        <f t="shared" si="157"/>
        <v>243.79888399895145</v>
      </c>
      <c r="T76" s="118">
        <f t="shared" si="157"/>
        <v>248.67486167893048</v>
      </c>
      <c r="U76" s="118">
        <f t="shared" si="157"/>
        <v>253.64835891250911</v>
      </c>
      <c r="V76" s="118">
        <f t="shared" si="157"/>
        <v>258.72132609075931</v>
      </c>
      <c r="W76" s="118">
        <f t="shared" si="157"/>
        <v>263.89575261257448</v>
      </c>
      <c r="X76" s="118">
        <f t="shared" si="157"/>
        <v>269.17366766482598</v>
      </c>
      <c r="Y76" s="118">
        <f t="shared" si="157"/>
        <v>274.55714101812254</v>
      </c>
      <c r="Z76" s="118">
        <f t="shared" si="157"/>
        <v>280.04828383848502</v>
      </c>
      <c r="AA76" s="118">
        <f t="shared" si="157"/>
        <v>285.64924951525472</v>
      </c>
      <c r="AB76" s="118">
        <f t="shared" si="157"/>
        <v>291.3622345055598</v>
      </c>
      <c r="AC76" s="118">
        <f t="shared" si="157"/>
        <v>297.18947919567103</v>
      </c>
      <c r="AD76" s="118">
        <f t="shared" si="157"/>
        <v>303.13326877958445</v>
      </c>
      <c r="AE76" s="118">
        <f t="shared" si="157"/>
        <v>309.19593415517613</v>
      </c>
      <c r="AF76" s="118">
        <f t="shared" si="157"/>
        <v>315.37985283827965</v>
      </c>
      <c r="AG76" s="118">
        <f t="shared" si="157"/>
        <v>321.68744989504523</v>
      </c>
      <c r="AH76" s="118">
        <f t="shared" si="157"/>
        <v>328.12119889294615</v>
      </c>
      <c r="AI76" s="118">
        <f t="shared" si="157"/>
        <v>334.6836228708051</v>
      </c>
      <c r="AJ76" s="118">
        <f t="shared" si="157"/>
        <v>341.37729532822118</v>
      </c>
      <c r="AK76" s="118">
        <f t="shared" si="157"/>
        <v>348.20484123478559</v>
      </c>
      <c r="AL76" s="118">
        <f t="shared" si="157"/>
        <v>355.16893805948132</v>
      </c>
      <c r="AM76" s="118">
        <f t="shared" si="157"/>
        <v>362.27231682067094</v>
      </c>
      <c r="AN76" s="118">
        <f t="shared" si="157"/>
        <v>369.51776315708435</v>
      </c>
      <c r="AO76" s="118">
        <f t="shared" si="157"/>
        <v>376.90811842022606</v>
      </c>
      <c r="AP76" s="118">
        <f t="shared" ref="AP76:BU76" si="158">+AP16</f>
        <v>384.44628078863059</v>
      </c>
      <c r="AQ76" s="118">
        <f t="shared" si="158"/>
        <v>392.13520640440322</v>
      </c>
      <c r="AR76" s="118">
        <f t="shared" si="158"/>
        <v>399.97791053249131</v>
      </c>
      <c r="AS76" s="118">
        <f t="shared" si="158"/>
        <v>407.97746874314112</v>
      </c>
      <c r="AT76" s="118">
        <f t="shared" si="158"/>
        <v>416.13701811800394</v>
      </c>
      <c r="AU76" s="118">
        <f t="shared" si="158"/>
        <v>424.45975848036403</v>
      </c>
      <c r="AV76" s="118">
        <f t="shared" si="158"/>
        <v>432.94895364997132</v>
      </c>
      <c r="AW76" s="118">
        <f t="shared" si="158"/>
        <v>441.60793272297076</v>
      </c>
      <c r="AX76" s="118">
        <f t="shared" si="158"/>
        <v>450.44009137743018</v>
      </c>
      <c r="AY76" s="118">
        <f t="shared" si="158"/>
        <v>459.44889320497879</v>
      </c>
      <c r="AZ76" s="118">
        <f t="shared" si="158"/>
        <v>468.63787106907836</v>
      </c>
      <c r="BA76" s="118">
        <f t="shared" si="158"/>
        <v>478.01062849045991</v>
      </c>
      <c r="BB76" s="118">
        <f t="shared" si="158"/>
        <v>487.57084106026912</v>
      </c>
      <c r="BC76" s="118">
        <f t="shared" si="158"/>
        <v>497.32225788147451</v>
      </c>
      <c r="BD76" s="118">
        <f t="shared" si="158"/>
        <v>507.26870303910403</v>
      </c>
      <c r="BE76" s="118">
        <f t="shared" si="158"/>
        <v>517.41407709988607</v>
      </c>
      <c r="BF76" s="118">
        <f t="shared" si="158"/>
        <v>527.76235864188379</v>
      </c>
      <c r="BG76" s="118">
        <f t="shared" si="158"/>
        <v>538.31760581472145</v>
      </c>
      <c r="BH76" s="118">
        <f t="shared" si="158"/>
        <v>549.0839579310159</v>
      </c>
      <c r="BI76" s="118">
        <f t="shared" si="158"/>
        <v>560.0656370896362</v>
      </c>
      <c r="BJ76" s="118">
        <f t="shared" si="158"/>
        <v>571.26694983142897</v>
      </c>
      <c r="BK76" s="118">
        <f t="shared" si="158"/>
        <v>582.6922888280576</v>
      </c>
      <c r="BL76" s="118">
        <f t="shared" si="158"/>
        <v>594.34613460461878</v>
      </c>
      <c r="BM76" s="118">
        <f t="shared" si="158"/>
        <v>606.23305729671119</v>
      </c>
      <c r="BN76" s="118">
        <f t="shared" si="158"/>
        <v>618.35771844264548</v>
      </c>
      <c r="BO76" s="118">
        <f t="shared" si="158"/>
        <v>630.72487281149836</v>
      </c>
      <c r="BP76" s="118">
        <f t="shared" si="158"/>
        <v>643.33937026772833</v>
      </c>
      <c r="BQ76" s="118">
        <f t="shared" si="158"/>
        <v>656.20615767308288</v>
      </c>
      <c r="BR76" s="118">
        <f t="shared" si="158"/>
        <v>656.20615767308288</v>
      </c>
      <c r="BS76" s="118">
        <f t="shared" si="158"/>
        <v>656.20615767308288</v>
      </c>
      <c r="BT76" s="118">
        <f t="shared" si="158"/>
        <v>656.20615767308288</v>
      </c>
      <c r="BU76" s="118">
        <f t="shared" si="158"/>
        <v>656.20615767308288</v>
      </c>
      <c r="BV76" s="118">
        <f t="shared" ref="BV76:CC76" si="159">+BV16</f>
        <v>656.20615767308288</v>
      </c>
      <c r="BW76" s="118">
        <f t="shared" si="159"/>
        <v>656.20615767308288</v>
      </c>
      <c r="BX76" s="118">
        <f t="shared" si="159"/>
        <v>656.20615767308288</v>
      </c>
      <c r="BY76" s="118">
        <f t="shared" si="159"/>
        <v>656.20615767308288</v>
      </c>
      <c r="BZ76" s="118">
        <f t="shared" si="159"/>
        <v>656.20615767308288</v>
      </c>
      <c r="CA76" s="118">
        <f t="shared" si="159"/>
        <v>656.20615767308288</v>
      </c>
      <c r="CB76" s="118">
        <f t="shared" si="159"/>
        <v>656.20615767308288</v>
      </c>
      <c r="CC76" s="118">
        <f t="shared" si="159"/>
        <v>656.20615767308288</v>
      </c>
      <c r="CD76" s="118">
        <f t="shared" ref="CD76:DY76" si="160">+CD16</f>
        <v>656.20615767308288</v>
      </c>
      <c r="CE76" s="118">
        <f t="shared" si="160"/>
        <v>656.20615767308288</v>
      </c>
      <c r="CF76" s="118">
        <f t="shared" si="160"/>
        <v>656.20615767308288</v>
      </c>
      <c r="CG76" s="118">
        <f t="shared" si="160"/>
        <v>656.20615767308288</v>
      </c>
      <c r="CH76" s="118">
        <f t="shared" si="160"/>
        <v>656.20615767308288</v>
      </c>
      <c r="CI76" s="118">
        <f t="shared" si="160"/>
        <v>656.20615767308288</v>
      </c>
      <c r="CJ76" s="118">
        <f t="shared" si="160"/>
        <v>656.20615767308288</v>
      </c>
      <c r="CK76" s="118">
        <f t="shared" si="160"/>
        <v>656.20615767308288</v>
      </c>
      <c r="CL76" s="118">
        <f t="shared" si="160"/>
        <v>656.20615767308288</v>
      </c>
      <c r="CM76" s="118">
        <f t="shared" si="160"/>
        <v>656.20615767308288</v>
      </c>
      <c r="CN76" s="118">
        <f t="shared" si="160"/>
        <v>656.20615767308288</v>
      </c>
      <c r="CO76" s="118">
        <f t="shared" si="160"/>
        <v>656.20615767308288</v>
      </c>
      <c r="CP76" s="118">
        <f t="shared" si="160"/>
        <v>656.20615767308288</v>
      </c>
      <c r="CQ76" s="118">
        <f t="shared" si="160"/>
        <v>656.20615767308288</v>
      </c>
      <c r="CR76" s="118">
        <f t="shared" si="160"/>
        <v>656.20615767308288</v>
      </c>
      <c r="CS76" s="118">
        <f t="shared" si="160"/>
        <v>656.20615767308288</v>
      </c>
      <c r="CT76" s="118">
        <f t="shared" si="160"/>
        <v>656.20615767308288</v>
      </c>
      <c r="CU76" s="118">
        <f t="shared" si="160"/>
        <v>656.20615767308288</v>
      </c>
      <c r="CV76" s="118">
        <f t="shared" si="160"/>
        <v>656.20615767308288</v>
      </c>
      <c r="CW76" s="118">
        <f t="shared" si="160"/>
        <v>656.20615767308288</v>
      </c>
      <c r="CX76" s="118">
        <f t="shared" si="160"/>
        <v>656.20615767308288</v>
      </c>
      <c r="CY76" s="118">
        <f t="shared" si="160"/>
        <v>656.20615767308288</v>
      </c>
      <c r="CZ76" s="118">
        <f t="shared" si="160"/>
        <v>656.20615767308288</v>
      </c>
      <c r="DA76" s="118">
        <f t="shared" si="160"/>
        <v>656.20615767308288</v>
      </c>
      <c r="DB76" s="118">
        <f t="shared" si="160"/>
        <v>656.20615767308288</v>
      </c>
      <c r="DC76" s="118">
        <f t="shared" si="160"/>
        <v>656.20615767308288</v>
      </c>
      <c r="DD76" s="118">
        <f t="shared" si="160"/>
        <v>656.20615767308288</v>
      </c>
      <c r="DE76" s="118">
        <f t="shared" si="160"/>
        <v>656.20615767308288</v>
      </c>
      <c r="DF76" s="118">
        <f t="shared" si="160"/>
        <v>656.20615767308288</v>
      </c>
      <c r="DG76" s="118">
        <f t="shared" si="160"/>
        <v>656.20615767308288</v>
      </c>
      <c r="DH76" s="118">
        <f t="shared" si="160"/>
        <v>656.20615767308288</v>
      </c>
      <c r="DI76" s="118">
        <f t="shared" si="160"/>
        <v>656.20615767308288</v>
      </c>
      <c r="DJ76" s="118">
        <f t="shared" si="160"/>
        <v>656.20615767308288</v>
      </c>
      <c r="DK76" s="118">
        <f t="shared" si="160"/>
        <v>656.20615767308288</v>
      </c>
      <c r="DL76" s="118">
        <f t="shared" si="160"/>
        <v>656.20615767308288</v>
      </c>
      <c r="DM76" s="118">
        <f t="shared" si="160"/>
        <v>656.20615767308288</v>
      </c>
      <c r="DN76" s="118">
        <f t="shared" si="160"/>
        <v>656.20615767308288</v>
      </c>
      <c r="DO76" s="118">
        <f t="shared" si="160"/>
        <v>656.20615767308288</v>
      </c>
      <c r="DP76" s="118">
        <f t="shared" si="160"/>
        <v>656.20615767308288</v>
      </c>
      <c r="DQ76" s="118">
        <f t="shared" si="160"/>
        <v>656.20615767308288</v>
      </c>
      <c r="DR76" s="118">
        <f t="shared" si="160"/>
        <v>656.20615767308288</v>
      </c>
      <c r="DS76" s="118">
        <f t="shared" si="160"/>
        <v>656.20615767308288</v>
      </c>
      <c r="DT76" s="118">
        <f t="shared" si="160"/>
        <v>656.20615767308288</v>
      </c>
      <c r="DU76" s="118">
        <f t="shared" si="160"/>
        <v>656.20615767308288</v>
      </c>
      <c r="DV76" s="118">
        <f t="shared" si="160"/>
        <v>656.20615767308288</v>
      </c>
      <c r="DW76" s="118">
        <f t="shared" si="160"/>
        <v>656.20615767308288</v>
      </c>
      <c r="DX76" s="118">
        <f t="shared" si="160"/>
        <v>656.20615767308288</v>
      </c>
      <c r="DY76" s="118">
        <f t="shared" si="160"/>
        <v>656.20615767308288</v>
      </c>
    </row>
    <row r="77" spans="2:129" outlineLevel="1">
      <c r="C77" s="8" t="s">
        <v>5</v>
      </c>
      <c r="D77" s="5" t="s">
        <v>0</v>
      </c>
      <c r="F77" s="5" t="s">
        <v>256</v>
      </c>
      <c r="G77" s="62" t="s">
        <v>642</v>
      </c>
      <c r="J77" s="33">
        <f t="shared" ref="J77:AO77" ca="1" si="161">IF(_arpuP4=0,0,J78*_RetentionRate)</f>
        <v>9.8209767600902325</v>
      </c>
      <c r="K77" s="33">
        <f t="shared" ca="1" si="161"/>
        <v>9.8209767600902325</v>
      </c>
      <c r="L77" s="33">
        <f t="shared" ca="1" si="161"/>
        <v>9.8209767600902325</v>
      </c>
      <c r="M77" s="33">
        <f t="shared" ca="1" si="161"/>
        <v>9.8209767600902325</v>
      </c>
      <c r="N77" s="33">
        <f t="shared" ca="1" si="161"/>
        <v>9.8209767600902325</v>
      </c>
      <c r="O77" s="33">
        <f t="shared" ca="1" si="161"/>
        <v>9.8209767600902325</v>
      </c>
      <c r="P77" s="33">
        <f t="shared" ca="1" si="161"/>
        <v>9.8209767600902325</v>
      </c>
      <c r="Q77" s="33">
        <f t="shared" ca="1" si="161"/>
        <v>9.8209767600902325</v>
      </c>
      <c r="R77" s="33">
        <f t="shared" ca="1" si="161"/>
        <v>9.8209767600902325</v>
      </c>
      <c r="S77" s="33">
        <f t="shared" ca="1" si="161"/>
        <v>9.8209767600902325</v>
      </c>
      <c r="T77" s="33">
        <f t="shared" ca="1" si="161"/>
        <v>9.8209767600902325</v>
      </c>
      <c r="U77" s="33">
        <f t="shared" ca="1" si="161"/>
        <v>9.8209767600902325</v>
      </c>
      <c r="V77" s="33">
        <f t="shared" ca="1" si="161"/>
        <v>9.8209767600902325</v>
      </c>
      <c r="W77" s="33">
        <f t="shared" ca="1" si="161"/>
        <v>9.8209767600902325</v>
      </c>
      <c r="X77" s="33">
        <f t="shared" ca="1" si="161"/>
        <v>9.8209767600902325</v>
      </c>
      <c r="Y77" s="33">
        <f t="shared" ca="1" si="161"/>
        <v>9.8209767600902325</v>
      </c>
      <c r="Z77" s="33">
        <f t="shared" ca="1" si="161"/>
        <v>9.8209767600902325</v>
      </c>
      <c r="AA77" s="33">
        <f t="shared" ca="1" si="161"/>
        <v>9.8209767600902325</v>
      </c>
      <c r="AB77" s="33">
        <f t="shared" ca="1" si="161"/>
        <v>9.8209767600902325</v>
      </c>
      <c r="AC77" s="33">
        <f t="shared" ca="1" si="161"/>
        <v>9.8209767600902325</v>
      </c>
      <c r="AD77" s="33">
        <f t="shared" ca="1" si="161"/>
        <v>9.8209767600902325</v>
      </c>
      <c r="AE77" s="33">
        <f t="shared" ca="1" si="161"/>
        <v>9.8209767600902325</v>
      </c>
      <c r="AF77" s="33">
        <f t="shared" ca="1" si="161"/>
        <v>9.8209767600902325</v>
      </c>
      <c r="AG77" s="33">
        <f t="shared" ca="1" si="161"/>
        <v>9.8209767600902325</v>
      </c>
      <c r="AH77" s="33">
        <f t="shared" ca="1" si="161"/>
        <v>16.799446748645121</v>
      </c>
      <c r="AI77" s="33">
        <f t="shared" ca="1" si="161"/>
        <v>17.120003430094467</v>
      </c>
      <c r="AJ77" s="33">
        <f t="shared" ca="1" si="161"/>
        <v>17.446971245172797</v>
      </c>
      <c r="AK77" s="33">
        <f t="shared" ca="1" si="161"/>
        <v>17.780478416552697</v>
      </c>
      <c r="AL77" s="33">
        <f t="shared" ca="1" si="161"/>
        <v>18.120655731360195</v>
      </c>
      <c r="AM77" s="33">
        <f t="shared" ca="1" si="161"/>
        <v>18.467636592463844</v>
      </c>
      <c r="AN77" s="33">
        <f t="shared" ca="1" si="161"/>
        <v>18.821557070789559</v>
      </c>
      <c r="AO77" s="33">
        <f t="shared" ca="1" si="161"/>
        <v>19.182555958681796</v>
      </c>
      <c r="AP77" s="33">
        <f t="shared" ref="AP77:BU77" ca="1" si="162">IF(_arpuP4=0,0,AP78*_RetentionRate)</f>
        <v>19.550774824331874</v>
      </c>
      <c r="AQ77" s="33">
        <f t="shared" ca="1" si="162"/>
        <v>19.926358067294956</v>
      </c>
      <c r="AR77" s="33">
        <f t="shared" ca="1" si="162"/>
        <v>20.309452975117296</v>
      </c>
      <c r="AS77" s="33">
        <f t="shared" ca="1" si="162"/>
        <v>20.700209781096088</v>
      </c>
      <c r="AT77" s="33">
        <f t="shared" ca="1" si="162"/>
        <v>21.098781723194453</v>
      </c>
      <c r="AU77" s="33">
        <f t="shared" ca="1" si="162"/>
        <v>21.505325104134783</v>
      </c>
      <c r="AV77" s="33">
        <f t="shared" ca="1" si="162"/>
        <v>21.919999352693921</v>
      </c>
      <c r="AW77" s="33">
        <f t="shared" ca="1" si="162"/>
        <v>22.342967086224249</v>
      </c>
      <c r="AX77" s="33">
        <f t="shared" ca="1" si="162"/>
        <v>22.774394174425176</v>
      </c>
      <c r="AY77" s="33">
        <f t="shared" ca="1" si="162"/>
        <v>23.214449804390124</v>
      </c>
      <c r="AZ77" s="33">
        <f t="shared" ca="1" si="162"/>
        <v>23.663306546954367</v>
      </c>
      <c r="BA77" s="33">
        <f t="shared" ca="1" si="162"/>
        <v>24.121140424369898</v>
      </c>
      <c r="BB77" s="33">
        <f t="shared" ca="1" si="162"/>
        <v>24.588130979333741</v>
      </c>
      <c r="BC77" s="33">
        <f t="shared" ca="1" si="162"/>
        <v>25.064461345396857</v>
      </c>
      <c r="BD77" s="33">
        <f t="shared" ca="1" si="162"/>
        <v>25.550318318781237</v>
      </c>
      <c r="BE77" s="33">
        <f t="shared" ca="1" si="162"/>
        <v>26.045892431633305</v>
      </c>
      <c r="BF77" s="33">
        <f t="shared" ca="1" si="162"/>
        <v>27.099661159371092</v>
      </c>
      <c r="BG77" s="33">
        <f t="shared" ca="1" si="162"/>
        <v>27.640441904132832</v>
      </c>
      <c r="BH77" s="33">
        <f t="shared" ca="1" si="162"/>
        <v>28.192038263789801</v>
      </c>
      <c r="BI77" s="33">
        <f t="shared" ca="1" si="162"/>
        <v>28.754666550639907</v>
      </c>
      <c r="BJ77" s="33">
        <f t="shared" ca="1" si="162"/>
        <v>29.328547403227027</v>
      </c>
      <c r="BK77" s="33">
        <f t="shared" ca="1" si="162"/>
        <v>29.913905872865879</v>
      </c>
      <c r="BL77" s="33">
        <f t="shared" ca="1" si="162"/>
        <v>30.510971511897509</v>
      </c>
      <c r="BM77" s="33">
        <f t="shared" ca="1" si="162"/>
        <v>31.119978463709778</v>
      </c>
      <c r="BN77" s="33">
        <f t="shared" ca="1" si="162"/>
        <v>31.741165554558286</v>
      </c>
      <c r="BO77" s="33">
        <f t="shared" ca="1" si="162"/>
        <v>32.374776387223768</v>
      </c>
      <c r="BP77" s="33">
        <f t="shared" ca="1" si="162"/>
        <v>33.021059436542565</v>
      </c>
      <c r="BQ77" s="33">
        <f t="shared" ca="1" si="162"/>
        <v>33.68026814684773</v>
      </c>
      <c r="BR77" s="33">
        <f t="shared" ca="1" si="162"/>
        <v>34.352661031358998</v>
      </c>
      <c r="BS77" s="33">
        <f t="shared" ca="1" si="162"/>
        <v>35.03850177356049</v>
      </c>
      <c r="BT77" s="33">
        <f t="shared" ca="1" si="162"/>
        <v>35.738059330606021</v>
      </c>
      <c r="BU77" s="33">
        <f t="shared" ca="1" si="162"/>
        <v>36.45160803879245</v>
      </c>
      <c r="BV77" s="33">
        <f t="shared" ref="BV77:DA77" ca="1" si="163">IF(_arpuP4=0,0,BV78*_RetentionRate)</f>
        <v>37.179427721142616</v>
      </c>
      <c r="BW77" s="33">
        <f t="shared" ca="1" si="163"/>
        <v>37.921803797139788</v>
      </c>
      <c r="BX77" s="33">
        <f t="shared" ca="1" si="163"/>
        <v>38.679027394656892</v>
      </c>
      <c r="BY77" s="33">
        <f t="shared" ca="1" si="163"/>
        <v>39.451395464124346</v>
      </c>
      <c r="BZ77" s="33">
        <f t="shared" ca="1" si="163"/>
        <v>40.239210894981149</v>
      </c>
      <c r="CA77" s="33">
        <f t="shared" ca="1" si="163"/>
        <v>41.042782634455087</v>
      </c>
      <c r="CB77" s="33">
        <f t="shared" ca="1" si="163"/>
        <v>41.862425808718505</v>
      </c>
      <c r="CC77" s="33">
        <f t="shared" ca="1" si="163"/>
        <v>42.698461846467183</v>
      </c>
      <c r="CD77" s="33">
        <f t="shared" ca="1" si="163"/>
        <v>43.594296012198811</v>
      </c>
      <c r="CE77" s="33">
        <f t="shared" ca="1" si="163"/>
        <v>44.466086670663259</v>
      </c>
      <c r="CF77" s="33">
        <f t="shared" ca="1" si="163"/>
        <v>45.355313142297</v>
      </c>
      <c r="CG77" s="33">
        <f t="shared" ca="1" si="163"/>
        <v>46.262324143363408</v>
      </c>
      <c r="CH77" s="33">
        <f t="shared" ca="1" si="163"/>
        <v>47.18747536445116</v>
      </c>
      <c r="CI77" s="33">
        <f t="shared" ca="1" si="163"/>
        <v>48.131129609960652</v>
      </c>
      <c r="CJ77" s="33">
        <f t="shared" ca="1" si="163"/>
        <v>49.093656940380356</v>
      </c>
      <c r="CK77" s="33">
        <f t="shared" ca="1" si="163"/>
        <v>50.075434817408436</v>
      </c>
      <c r="CL77" s="33">
        <f t="shared" ca="1" si="163"/>
        <v>51.076848251977083</v>
      </c>
      <c r="CM77" s="33">
        <f t="shared" ca="1" si="163"/>
        <v>52.098289955237092</v>
      </c>
      <c r="CN77" s="33">
        <f t="shared" ca="1" si="163"/>
        <v>53.140160492562316</v>
      </c>
      <c r="CO77" s="33">
        <f t="shared" ca="1" si="163"/>
        <v>54.202868440634035</v>
      </c>
      <c r="CP77" s="33">
        <f t="shared" ca="1" si="163"/>
        <v>54.25569687977351</v>
      </c>
      <c r="CQ77" s="33">
        <f t="shared" ca="1" si="163"/>
        <v>54.309581887695778</v>
      </c>
      <c r="CR77" s="33">
        <f t="shared" ca="1" si="163"/>
        <v>54.364544595776501</v>
      </c>
      <c r="CS77" s="33">
        <f t="shared" ca="1" si="163"/>
        <v>54.420606558018825</v>
      </c>
      <c r="CT77" s="33">
        <f t="shared" ca="1" si="163"/>
        <v>54.47778975950601</v>
      </c>
      <c r="CU77" s="33">
        <f t="shared" ca="1" si="163"/>
        <v>54.53611662502292</v>
      </c>
      <c r="CV77" s="33">
        <f t="shared" ca="1" si="163"/>
        <v>54.595610027850199</v>
      </c>
      <c r="CW77" s="33">
        <f t="shared" ca="1" si="163"/>
        <v>54.656293298733999</v>
      </c>
      <c r="CX77" s="33">
        <f t="shared" ca="1" si="163"/>
        <v>54.718190235035472</v>
      </c>
      <c r="CY77" s="33">
        <f t="shared" ca="1" si="163"/>
        <v>54.781325110062987</v>
      </c>
      <c r="CZ77" s="33">
        <f t="shared" ca="1" si="163"/>
        <v>54.845722682591045</v>
      </c>
      <c r="DA77" s="33">
        <f t="shared" ca="1" si="163"/>
        <v>54.911408206569675</v>
      </c>
      <c r="DB77" s="33">
        <f t="shared" ref="DB77:DY77" ca="1" si="164">IF(_arpuP4=0,0,DB78*_RetentionRate)</f>
        <v>54.981791938750035</v>
      </c>
      <c r="DC77" s="33">
        <f t="shared" ca="1" si="164"/>
        <v>55.050286625121572</v>
      </c>
      <c r="DD77" s="33">
        <f t="shared" ca="1" si="164"/>
        <v>55.120151205220544</v>
      </c>
      <c r="DE77" s="33">
        <f t="shared" ca="1" si="164"/>
        <v>55.191413076921506</v>
      </c>
      <c r="DF77" s="33">
        <f t="shared" ca="1" si="164"/>
        <v>55.264100186056481</v>
      </c>
      <c r="DG77" s="33">
        <f t="shared" ca="1" si="164"/>
        <v>55.338241037374161</v>
      </c>
      <c r="DH77" s="33">
        <f t="shared" ca="1" si="164"/>
        <v>55.413864705718176</v>
      </c>
      <c r="DI77" s="33">
        <f t="shared" ca="1" si="164"/>
        <v>55.491000847429092</v>
      </c>
      <c r="DJ77" s="33">
        <f t="shared" ca="1" si="164"/>
        <v>55.569679711974224</v>
      </c>
      <c r="DK77" s="33">
        <f t="shared" ca="1" si="164"/>
        <v>55.649932153810248</v>
      </c>
      <c r="DL77" s="33">
        <f t="shared" ca="1" si="164"/>
        <v>55.731789644482994</v>
      </c>
      <c r="DM77" s="33">
        <f t="shared" ca="1" si="164"/>
        <v>55.815284284969202</v>
      </c>
      <c r="DN77" s="33">
        <f t="shared" ca="1" si="164"/>
        <v>55.819434899953684</v>
      </c>
      <c r="DO77" s="33">
        <f t="shared" ca="1" si="164"/>
        <v>55.823668527237864</v>
      </c>
      <c r="DP77" s="33">
        <f t="shared" ca="1" si="164"/>
        <v>55.827986827067711</v>
      </c>
      <c r="DQ77" s="33">
        <f t="shared" ca="1" si="164"/>
        <v>55.832391492894175</v>
      </c>
      <c r="DR77" s="33">
        <f t="shared" ca="1" si="164"/>
        <v>55.836884252037159</v>
      </c>
      <c r="DS77" s="33">
        <f t="shared" ca="1" si="164"/>
        <v>55.841466866363</v>
      </c>
      <c r="DT77" s="33">
        <f t="shared" ca="1" si="164"/>
        <v>55.846141132975362</v>
      </c>
      <c r="DU77" s="33">
        <f t="shared" ca="1" si="164"/>
        <v>55.850908884919967</v>
      </c>
      <c r="DV77" s="33">
        <f t="shared" ca="1" si="164"/>
        <v>55.855771991903467</v>
      </c>
      <c r="DW77" s="33">
        <f t="shared" ca="1" si="164"/>
        <v>55.860732361026649</v>
      </c>
      <c r="DX77" s="33">
        <f t="shared" ca="1" si="164"/>
        <v>55.865791937532279</v>
      </c>
      <c r="DY77" s="33">
        <f t="shared" ca="1" si="164"/>
        <v>55.87095270556803</v>
      </c>
    </row>
    <row r="78" spans="2:129" outlineLevel="1">
      <c r="C78" s="8" t="s">
        <v>6</v>
      </c>
      <c r="D78" s="5" t="s">
        <v>2</v>
      </c>
      <c r="F78" s="5" t="s">
        <v>257</v>
      </c>
      <c r="G78" s="62" t="s">
        <v>643</v>
      </c>
      <c r="J78" s="33">
        <f t="shared" ref="J78:AO78" ca="1" si="165">IF(_arpuP4=0,J76,IF(J3&gt;_NrInstallmentsP4,SUM(OFFSET(J78,-2,-_NrInstallmentsP4),OFFSET(J78,-1,-_NrInstallmentsP4))*(1-_Churn)^_NrInstallmentsP4,0))+IF(J$3-1&lt;_NrInstallmentsP4,$J75/_NrInstallmentsP4*(1-_Churn)^_NrInstallmentsP4,0)</f>
        <v>98.209767600902325</v>
      </c>
      <c r="K78" s="33">
        <f t="shared" ca="1" si="165"/>
        <v>98.209767600902325</v>
      </c>
      <c r="L78" s="33">
        <f t="shared" ca="1" si="165"/>
        <v>98.209767600902325</v>
      </c>
      <c r="M78" s="33">
        <f t="shared" ca="1" si="165"/>
        <v>98.209767600902325</v>
      </c>
      <c r="N78" s="33">
        <f t="shared" ca="1" si="165"/>
        <v>98.209767600902325</v>
      </c>
      <c r="O78" s="33">
        <f t="shared" ca="1" si="165"/>
        <v>98.209767600902325</v>
      </c>
      <c r="P78" s="33">
        <f t="shared" ca="1" si="165"/>
        <v>98.209767600902325</v>
      </c>
      <c r="Q78" s="33">
        <f t="shared" ca="1" si="165"/>
        <v>98.209767600902325</v>
      </c>
      <c r="R78" s="33">
        <f t="shared" ca="1" si="165"/>
        <v>98.209767600902325</v>
      </c>
      <c r="S78" s="33">
        <f t="shared" ca="1" si="165"/>
        <v>98.209767600902325</v>
      </c>
      <c r="T78" s="33">
        <f t="shared" ca="1" si="165"/>
        <v>98.209767600902325</v>
      </c>
      <c r="U78" s="33">
        <f t="shared" ca="1" si="165"/>
        <v>98.209767600902325</v>
      </c>
      <c r="V78" s="33">
        <f t="shared" ca="1" si="165"/>
        <v>98.209767600902325</v>
      </c>
      <c r="W78" s="33">
        <f t="shared" ca="1" si="165"/>
        <v>98.209767600902325</v>
      </c>
      <c r="X78" s="33">
        <f t="shared" ca="1" si="165"/>
        <v>98.209767600902325</v>
      </c>
      <c r="Y78" s="33">
        <f t="shared" ca="1" si="165"/>
        <v>98.209767600902325</v>
      </c>
      <c r="Z78" s="33">
        <f t="shared" ca="1" si="165"/>
        <v>98.209767600902325</v>
      </c>
      <c r="AA78" s="33">
        <f t="shared" ca="1" si="165"/>
        <v>98.209767600902325</v>
      </c>
      <c r="AB78" s="33">
        <f t="shared" ca="1" si="165"/>
        <v>98.209767600902325</v>
      </c>
      <c r="AC78" s="33">
        <f t="shared" ca="1" si="165"/>
        <v>98.209767600902325</v>
      </c>
      <c r="AD78" s="33">
        <f t="shared" ca="1" si="165"/>
        <v>98.209767600902325</v>
      </c>
      <c r="AE78" s="33">
        <f t="shared" ca="1" si="165"/>
        <v>98.209767600902325</v>
      </c>
      <c r="AF78" s="33">
        <f t="shared" ca="1" si="165"/>
        <v>98.209767600902325</v>
      </c>
      <c r="AG78" s="33">
        <f t="shared" ca="1" si="165"/>
        <v>98.209767600902325</v>
      </c>
      <c r="AH78" s="33">
        <f t="shared" ca="1" si="165"/>
        <v>167.99446748645119</v>
      </c>
      <c r="AI78" s="33">
        <f t="shared" ca="1" si="165"/>
        <v>171.20003430094468</v>
      </c>
      <c r="AJ78" s="33">
        <f t="shared" ca="1" si="165"/>
        <v>174.46971245172796</v>
      </c>
      <c r="AK78" s="33">
        <f t="shared" ca="1" si="165"/>
        <v>177.80478416552697</v>
      </c>
      <c r="AL78" s="33">
        <f t="shared" ca="1" si="165"/>
        <v>181.20655731360193</v>
      </c>
      <c r="AM78" s="33">
        <f t="shared" ca="1" si="165"/>
        <v>184.67636592463842</v>
      </c>
      <c r="AN78" s="33">
        <f t="shared" ca="1" si="165"/>
        <v>188.21557070789558</v>
      </c>
      <c r="AO78" s="33">
        <f t="shared" ca="1" si="165"/>
        <v>191.82555958681795</v>
      </c>
      <c r="AP78" s="33">
        <f t="shared" ref="AP78:BU78" ca="1" si="166">IF(_arpuP4=0,AP76,IF(AP3&gt;_NrInstallmentsP4,SUM(OFFSET(AP78,-2,-_NrInstallmentsP4),OFFSET(AP78,-1,-_NrInstallmentsP4))*(1-_Churn)^_NrInstallmentsP4,0))+IF(AP$3-1&lt;_NrInstallmentsP4,$J75/_NrInstallmentsP4*(1-_Churn)^_NrInstallmentsP4,0)</f>
        <v>195.50774824331873</v>
      </c>
      <c r="AQ78" s="33">
        <f t="shared" ca="1" si="166"/>
        <v>199.26358067294953</v>
      </c>
      <c r="AR78" s="33">
        <f t="shared" ca="1" si="166"/>
        <v>203.09452975117296</v>
      </c>
      <c r="AS78" s="33">
        <f t="shared" ca="1" si="166"/>
        <v>207.00209781096086</v>
      </c>
      <c r="AT78" s="33">
        <f t="shared" ca="1" si="166"/>
        <v>210.98781723194452</v>
      </c>
      <c r="AU78" s="33">
        <f t="shared" ca="1" si="166"/>
        <v>215.05325104134781</v>
      </c>
      <c r="AV78" s="33">
        <f t="shared" ca="1" si="166"/>
        <v>219.19999352693921</v>
      </c>
      <c r="AW78" s="33">
        <f t="shared" ca="1" si="166"/>
        <v>223.42967086224246</v>
      </c>
      <c r="AX78" s="33">
        <f t="shared" ca="1" si="166"/>
        <v>227.74394174425174</v>
      </c>
      <c r="AY78" s="33">
        <f t="shared" ca="1" si="166"/>
        <v>232.14449804390122</v>
      </c>
      <c r="AZ78" s="33">
        <f t="shared" ca="1" si="166"/>
        <v>236.63306546954365</v>
      </c>
      <c r="BA78" s="33">
        <f t="shared" ca="1" si="166"/>
        <v>241.21140424369898</v>
      </c>
      <c r="BB78" s="33">
        <f t="shared" ca="1" si="166"/>
        <v>245.88130979333741</v>
      </c>
      <c r="BC78" s="33">
        <f t="shared" ca="1" si="166"/>
        <v>250.64461345396856</v>
      </c>
      <c r="BD78" s="33">
        <f t="shared" ca="1" si="166"/>
        <v>255.50318318781237</v>
      </c>
      <c r="BE78" s="33">
        <f t="shared" ca="1" si="166"/>
        <v>260.45892431633303</v>
      </c>
      <c r="BF78" s="33">
        <f t="shared" ca="1" si="166"/>
        <v>270.9966115937109</v>
      </c>
      <c r="BG78" s="33">
        <f t="shared" ca="1" si="166"/>
        <v>276.40441904132831</v>
      </c>
      <c r="BH78" s="33">
        <f t="shared" ca="1" si="166"/>
        <v>281.920382637898</v>
      </c>
      <c r="BI78" s="33">
        <f t="shared" ca="1" si="166"/>
        <v>287.54666550639905</v>
      </c>
      <c r="BJ78" s="33">
        <f t="shared" ca="1" si="166"/>
        <v>293.28547403227026</v>
      </c>
      <c r="BK78" s="33">
        <f t="shared" ca="1" si="166"/>
        <v>299.13905872865877</v>
      </c>
      <c r="BL78" s="33">
        <f t="shared" ca="1" si="166"/>
        <v>305.10971511897509</v>
      </c>
      <c r="BM78" s="33">
        <f t="shared" ca="1" si="166"/>
        <v>311.19978463709776</v>
      </c>
      <c r="BN78" s="33">
        <f t="shared" ca="1" si="166"/>
        <v>317.41165554558285</v>
      </c>
      <c r="BO78" s="33">
        <f t="shared" ca="1" si="166"/>
        <v>323.74776387223767</v>
      </c>
      <c r="BP78" s="33">
        <f t="shared" ca="1" si="166"/>
        <v>330.21059436542561</v>
      </c>
      <c r="BQ78" s="33">
        <f t="shared" ca="1" si="166"/>
        <v>336.80268146847726</v>
      </c>
      <c r="BR78" s="33">
        <f t="shared" ca="1" si="166"/>
        <v>343.52661031358997</v>
      </c>
      <c r="BS78" s="33">
        <f t="shared" ca="1" si="166"/>
        <v>350.38501773560489</v>
      </c>
      <c r="BT78" s="33">
        <f t="shared" ca="1" si="166"/>
        <v>357.38059330606018</v>
      </c>
      <c r="BU78" s="33">
        <f t="shared" ca="1" si="166"/>
        <v>364.51608038792449</v>
      </c>
      <c r="BV78" s="33">
        <f t="shared" ref="BV78:DA78" ca="1" si="167">IF(_arpuP4=0,BV76,IF(BV3&gt;_NrInstallmentsP4,SUM(OFFSET(BV78,-2,-_NrInstallmentsP4),OFFSET(BV78,-1,-_NrInstallmentsP4))*(1-_Churn)^_NrInstallmentsP4,0))+IF(BV$3-1&lt;_NrInstallmentsP4,$J75/_NrInstallmentsP4*(1-_Churn)^_NrInstallmentsP4,0)</f>
        <v>371.79427721142616</v>
      </c>
      <c r="BW78" s="33">
        <f t="shared" ca="1" si="167"/>
        <v>379.21803797139785</v>
      </c>
      <c r="BX78" s="33">
        <f t="shared" ca="1" si="167"/>
        <v>386.7902739465689</v>
      </c>
      <c r="BY78" s="33">
        <f t="shared" ca="1" si="167"/>
        <v>394.51395464124346</v>
      </c>
      <c r="BZ78" s="33">
        <f t="shared" ca="1" si="167"/>
        <v>402.39210894981147</v>
      </c>
      <c r="CA78" s="33">
        <f t="shared" ca="1" si="167"/>
        <v>410.42782634455085</v>
      </c>
      <c r="CB78" s="33">
        <f t="shared" ca="1" si="167"/>
        <v>418.62425808718501</v>
      </c>
      <c r="CC78" s="33">
        <f t="shared" ca="1" si="167"/>
        <v>426.98461846467183</v>
      </c>
      <c r="CD78" s="33">
        <f t="shared" ca="1" si="167"/>
        <v>435.94296012198805</v>
      </c>
      <c r="CE78" s="33">
        <f t="shared" ca="1" si="167"/>
        <v>444.66086670663253</v>
      </c>
      <c r="CF78" s="33">
        <f t="shared" ca="1" si="167"/>
        <v>453.55313142296995</v>
      </c>
      <c r="CG78" s="33">
        <f t="shared" ca="1" si="167"/>
        <v>462.62324143363406</v>
      </c>
      <c r="CH78" s="33">
        <f t="shared" ca="1" si="167"/>
        <v>471.8747536445116</v>
      </c>
      <c r="CI78" s="33">
        <f t="shared" ca="1" si="167"/>
        <v>481.31129609960652</v>
      </c>
      <c r="CJ78" s="33">
        <f t="shared" ca="1" si="167"/>
        <v>490.9365694038035</v>
      </c>
      <c r="CK78" s="33">
        <f t="shared" ca="1" si="167"/>
        <v>500.75434817408433</v>
      </c>
      <c r="CL78" s="33">
        <f t="shared" ca="1" si="167"/>
        <v>510.76848251977077</v>
      </c>
      <c r="CM78" s="33">
        <f t="shared" ca="1" si="167"/>
        <v>520.9828995523709</v>
      </c>
      <c r="CN78" s="33">
        <f t="shared" ca="1" si="167"/>
        <v>531.40160492562313</v>
      </c>
      <c r="CO78" s="33">
        <f t="shared" ca="1" si="167"/>
        <v>542.02868440634029</v>
      </c>
      <c r="CP78" s="33">
        <f t="shared" ca="1" si="167"/>
        <v>542.55696879773507</v>
      </c>
      <c r="CQ78" s="33">
        <f t="shared" ca="1" si="167"/>
        <v>543.09581887695776</v>
      </c>
      <c r="CR78" s="33">
        <f t="shared" ca="1" si="167"/>
        <v>543.64544595776499</v>
      </c>
      <c r="CS78" s="33">
        <f t="shared" ca="1" si="167"/>
        <v>544.20606558018824</v>
      </c>
      <c r="CT78" s="33">
        <f t="shared" ca="1" si="167"/>
        <v>544.77789759506004</v>
      </c>
      <c r="CU78" s="33">
        <f t="shared" ca="1" si="167"/>
        <v>545.36116625022919</v>
      </c>
      <c r="CV78" s="33">
        <f t="shared" ca="1" si="167"/>
        <v>545.95610027850194</v>
      </c>
      <c r="CW78" s="33">
        <f t="shared" ca="1" si="167"/>
        <v>546.56293298733999</v>
      </c>
      <c r="CX78" s="33">
        <f t="shared" ca="1" si="167"/>
        <v>547.18190235035468</v>
      </c>
      <c r="CY78" s="33">
        <f t="shared" ca="1" si="167"/>
        <v>547.81325110062983</v>
      </c>
      <c r="CZ78" s="33">
        <f t="shared" ca="1" si="167"/>
        <v>548.45722682591042</v>
      </c>
      <c r="DA78" s="33">
        <f t="shared" ca="1" si="167"/>
        <v>549.11408206569672</v>
      </c>
      <c r="DB78" s="33">
        <f t="shared" ref="DB78:DY78" ca="1" si="168">IF(_arpuP4=0,DB76,IF(DB3&gt;_NrInstallmentsP4,SUM(OFFSET(DB78,-2,-_NrInstallmentsP4),OFFSET(DB78,-1,-_NrInstallmentsP4))*(1-_Churn)^_NrInstallmentsP4,0))+IF(DB$3-1&lt;_NrInstallmentsP4,$J75/_NrInstallmentsP4*(1-_Churn)^_NrInstallmentsP4,0)</f>
        <v>549.8179193875003</v>
      </c>
      <c r="DC78" s="33">
        <f t="shared" ca="1" si="168"/>
        <v>550.50286625121566</v>
      </c>
      <c r="DD78" s="33">
        <f t="shared" ca="1" si="168"/>
        <v>551.20151205220543</v>
      </c>
      <c r="DE78" s="33">
        <f t="shared" ca="1" si="168"/>
        <v>551.91413076921503</v>
      </c>
      <c r="DF78" s="33">
        <f t="shared" ca="1" si="168"/>
        <v>552.64100186056476</v>
      </c>
      <c r="DG78" s="33">
        <f t="shared" ca="1" si="168"/>
        <v>553.38241037374155</v>
      </c>
      <c r="DH78" s="33">
        <f t="shared" ca="1" si="168"/>
        <v>554.13864705718174</v>
      </c>
      <c r="DI78" s="33">
        <f t="shared" ca="1" si="168"/>
        <v>554.91000847429086</v>
      </c>
      <c r="DJ78" s="33">
        <f t="shared" ca="1" si="168"/>
        <v>555.6967971197422</v>
      </c>
      <c r="DK78" s="33">
        <f t="shared" ca="1" si="168"/>
        <v>556.49932153810244</v>
      </c>
      <c r="DL78" s="33">
        <f t="shared" ca="1" si="168"/>
        <v>557.3178964448299</v>
      </c>
      <c r="DM78" s="33">
        <f t="shared" ca="1" si="168"/>
        <v>558.15284284969198</v>
      </c>
      <c r="DN78" s="33">
        <f t="shared" ca="1" si="168"/>
        <v>558.19434899953683</v>
      </c>
      <c r="DO78" s="33">
        <f t="shared" ca="1" si="168"/>
        <v>558.23668527237862</v>
      </c>
      <c r="DP78" s="33">
        <f t="shared" ca="1" si="168"/>
        <v>558.27986827067707</v>
      </c>
      <c r="DQ78" s="33">
        <f t="shared" ca="1" si="168"/>
        <v>558.32391492894169</v>
      </c>
      <c r="DR78" s="33">
        <f t="shared" ca="1" si="168"/>
        <v>558.36884252037157</v>
      </c>
      <c r="DS78" s="33">
        <f t="shared" ca="1" si="168"/>
        <v>558.41466866362998</v>
      </c>
      <c r="DT78" s="33">
        <f t="shared" ca="1" si="168"/>
        <v>558.46141132975356</v>
      </c>
      <c r="DU78" s="33">
        <f t="shared" ca="1" si="168"/>
        <v>558.50908884919966</v>
      </c>
      <c r="DV78" s="33">
        <f t="shared" ca="1" si="168"/>
        <v>558.55771991903464</v>
      </c>
      <c r="DW78" s="33">
        <f t="shared" ca="1" si="168"/>
        <v>558.60732361026646</v>
      </c>
      <c r="DX78" s="33">
        <f t="shared" ca="1" si="168"/>
        <v>558.65791937532276</v>
      </c>
      <c r="DY78" s="33">
        <f t="shared" ca="1" si="168"/>
        <v>558.70952705568027</v>
      </c>
    </row>
    <row r="79" spans="2:129" outlineLevel="1">
      <c r="C79" s="8" t="s">
        <v>6</v>
      </c>
      <c r="D79" s="5" t="s">
        <v>3</v>
      </c>
      <c r="F79" s="5" t="s">
        <v>258</v>
      </c>
      <c r="J79" s="33">
        <f>IF(_arpuP4=0,0,_p.repossessed*I$81)</f>
        <v>18</v>
      </c>
      <c r="K79" s="33">
        <f t="shared" ref="K79:AO79" ca="1" si="169">IF(_arpuP4=0,0,_p.repossessed*J$81)</f>
        <v>18.513667254955127</v>
      </c>
      <c r="L79" s="33">
        <f t="shared" ca="1" si="169"/>
        <v>19.046677837360701</v>
      </c>
      <c r="M79" s="33">
        <f t="shared" ca="1" si="169"/>
        <v>19.599327913942219</v>
      </c>
      <c r="N79" s="33">
        <f t="shared" ca="1" si="169"/>
        <v>20.171920481757923</v>
      </c>
      <c r="O79" s="33">
        <f t="shared" ca="1" si="169"/>
        <v>20.764765495735471</v>
      </c>
      <c r="P79" s="33">
        <f t="shared" ca="1" si="169"/>
        <v>21.37817999885004</v>
      </c>
      <c r="Q79" s="33">
        <f t="shared" ca="1" si="169"/>
        <v>22.012488254995802</v>
      </c>
      <c r="R79" s="33">
        <f t="shared" ca="1" si="169"/>
        <v>22.668021884603689</v>
      </c>
      <c r="S79" s="33">
        <f t="shared" ca="1" si="169"/>
        <v>23.345120003059552</v>
      </c>
      <c r="T79" s="33">
        <f t="shared" ca="1" si="169"/>
        <v>24.044129361977792</v>
      </c>
      <c r="U79" s="33">
        <f t="shared" ca="1" si="169"/>
        <v>24.765404493386722</v>
      </c>
      <c r="V79" s="33">
        <f t="shared" ca="1" si="169"/>
        <v>25.509307856883034</v>
      </c>
      <c r="W79" s="33">
        <f t="shared" ca="1" si="169"/>
        <v>26.276209989813886</v>
      </c>
      <c r="X79" s="33">
        <f t="shared" ca="1" si="169"/>
        <v>27.066489660546313</v>
      </c>
      <c r="Y79" s="33">
        <f t="shared" ca="1" si="169"/>
        <v>27.880534024884934</v>
      </c>
      <c r="Z79" s="33">
        <f t="shared" ca="1" si="169"/>
        <v>28.718738785699948</v>
      </c>
      <c r="AA79" s="33">
        <f t="shared" ca="1" si="169"/>
        <v>29.581508355828987</v>
      </c>
      <c r="AB79" s="33">
        <f t="shared" ca="1" si="169"/>
        <v>30.469256024317353</v>
      </c>
      <c r="AC79" s="33">
        <f t="shared" ca="1" si="169"/>
        <v>31.382404126062667</v>
      </c>
      <c r="AD79" s="33">
        <f t="shared" ca="1" si="169"/>
        <v>32.321384214931193</v>
      </c>
      <c r="AE79" s="33">
        <f t="shared" ca="1" si="169"/>
        <v>33.286637240414521</v>
      </c>
      <c r="AF79" s="33">
        <f t="shared" ca="1" si="169"/>
        <v>34.278613727896555</v>
      </c>
      <c r="AG79" s="33">
        <f t="shared" ca="1" si="169"/>
        <v>35.297773962602399</v>
      </c>
      <c r="AH79" s="33">
        <f t="shared" ca="1" si="169"/>
        <v>36.344588177301773</v>
      </c>
      <c r="AI79" s="33">
        <f t="shared" ca="1" si="169"/>
        <v>37.042699364459601</v>
      </c>
      <c r="AJ79" s="33">
        <f t="shared" ca="1" si="169"/>
        <v>37.755893922814735</v>
      </c>
      <c r="AK79" s="33">
        <f t="shared" ca="1" si="169"/>
        <v>38.48446230831658</v>
      </c>
      <c r="AL79" s="33">
        <f t="shared" ca="1" si="169"/>
        <v>39.22870089814829</v>
      </c>
      <c r="AM79" s="33">
        <f t="shared" ca="1" si="169"/>
        <v>39.988912108030242</v>
      </c>
      <c r="AN79" s="33">
        <f t="shared" ca="1" si="169"/>
        <v>40.765404511880917</v>
      </c>
      <c r="AO79" s="33">
        <f t="shared" ca="1" si="169"/>
        <v>41.558492963881982</v>
      </c>
      <c r="AP79" s="33">
        <f t="shared" ref="AP79:BU79" ca="1" si="170">IF(_arpuP4=0,0,_p.repossessed*AO$81)</f>
        <v>42.368498722995703</v>
      </c>
      <c r="AQ79" s="33">
        <f t="shared" ca="1" si="170"/>
        <v>43.195749579983605</v>
      </c>
      <c r="AR79" s="33">
        <f t="shared" ca="1" si="170"/>
        <v>44.040579986976262</v>
      </c>
      <c r="AS79" s="33">
        <f t="shared" ca="1" si="170"/>
        <v>44.903331189645115</v>
      </c>
      <c r="AT79" s="33">
        <f t="shared" ca="1" si="170"/>
        <v>45.784351362028325</v>
      </c>
      <c r="AU79" s="33">
        <f t="shared" ca="1" si="170"/>
        <v>46.683995744063566</v>
      </c>
      <c r="AV79" s="33">
        <f t="shared" ca="1" si="170"/>
        <v>47.602626781881845</v>
      </c>
      <c r="AW79" s="33">
        <f t="shared" ca="1" si="170"/>
        <v>48.540614270917381</v>
      </c>
      <c r="AX79" s="33">
        <f t="shared" ca="1" si="170"/>
        <v>49.498335501889919</v>
      </c>
      <c r="AY79" s="33">
        <f t="shared" ca="1" si="170"/>
        <v>50.476175409716639</v>
      </c>
      <c r="AZ79" s="33">
        <f t="shared" ca="1" si="170"/>
        <v>51.474526725412289</v>
      </c>
      <c r="BA79" s="33">
        <f t="shared" ca="1" si="170"/>
        <v>52.493790131037102</v>
      </c>
      <c r="BB79" s="33">
        <f t="shared" ca="1" si="170"/>
        <v>53.534374417753511</v>
      </c>
      <c r="BC79" s="33">
        <f t="shared" ca="1" si="170"/>
        <v>54.596696647053562</v>
      </c>
      <c r="BD79" s="33">
        <f t="shared" ca="1" si="170"/>
        <v>55.68118231522044</v>
      </c>
      <c r="BE79" s="33">
        <f t="shared" ca="1" si="170"/>
        <v>56.788265521088675</v>
      </c>
      <c r="BF79" s="33">
        <f t="shared" ca="1" si="170"/>
        <v>57.918389137168901</v>
      </c>
      <c r="BG79" s="33">
        <f t="shared" ca="1" si="170"/>
        <v>59.042397695042467</v>
      </c>
      <c r="BH79" s="33">
        <f t="shared" ca="1" si="170"/>
        <v>60.189295490157214</v>
      </c>
      <c r="BI79" s="33">
        <f t="shared" ca="1" si="170"/>
        <v>61.359536216597078</v>
      </c>
      <c r="BJ79" s="33">
        <f t="shared" ca="1" si="170"/>
        <v>62.55358268323436</v>
      </c>
      <c r="BK79" s="33">
        <f t="shared" ca="1" si="170"/>
        <v>63.771906995616334</v>
      </c>
      <c r="BL79" s="33">
        <f t="shared" ca="1" si="170"/>
        <v>65.014990741493747</v>
      </c>
      <c r="BM79" s="33">
        <f t="shared" ca="1" si="170"/>
        <v>66.283325180064054</v>
      </c>
      <c r="BN79" s="33">
        <f t="shared" ca="1" si="170"/>
        <v>67.577411435003356</v>
      </c>
      <c r="BO79" s="33">
        <f t="shared" ca="1" si="170"/>
        <v>68.897760691363047</v>
      </c>
      <c r="BP79" s="33">
        <f t="shared" ca="1" si="170"/>
        <v>70.244894396408313</v>
      </c>
      <c r="BQ79" s="33">
        <f t="shared" ca="1" si="170"/>
        <v>71.619344464477294</v>
      </c>
      <c r="BR79" s="33">
        <f t="shared" ca="1" si="170"/>
        <v>73.021653485941243</v>
      </c>
      <c r="BS79" s="33">
        <f t="shared" ca="1" si="170"/>
        <v>74.373630201426948</v>
      </c>
      <c r="BT79" s="33">
        <f t="shared" ca="1" si="170"/>
        <v>75.6750517496789</v>
      </c>
      <c r="BU79" s="33">
        <f t="shared" ca="1" si="170"/>
        <v>76.925682974367902</v>
      </c>
      <c r="BV79" s="33">
        <f t="shared" ref="BV79:CC79" ca="1" si="171">IF(_arpuP4=0,0,_p.repossessed*BU$81)</f>
        <v>78.125276256567929</v>
      </c>
      <c r="BW79" s="33">
        <f t="shared" ca="1" si="171"/>
        <v>79.27357134309905</v>
      </c>
      <c r="BX79" s="33">
        <f t="shared" ca="1" si="171"/>
        <v>80.370295170661024</v>
      </c>
      <c r="BY79" s="33">
        <f t="shared" ca="1" si="171"/>
        <v>81.41516168568144</v>
      </c>
      <c r="BZ79" s="33">
        <f t="shared" ca="1" si="171"/>
        <v>82.407871659800421</v>
      </c>
      <c r="CA79" s="33">
        <f t="shared" ca="1" si="171"/>
        <v>83.348112500911938</v>
      </c>
      <c r="CB79" s="33">
        <f t="shared" ca="1" si="171"/>
        <v>84.235558059680741</v>
      </c>
      <c r="CC79" s="33">
        <f t="shared" ca="1" si="171"/>
        <v>85.069868431451638</v>
      </c>
      <c r="CD79" s="33">
        <f t="shared" ref="CD79:DY79" ca="1" si="172">IF(_arpuP4=0,0,_p.repossessed*CC$81)</f>
        <v>85.850689753466384</v>
      </c>
      <c r="CE79" s="33">
        <f t="shared" ca="1" si="172"/>
        <v>86.575327817311489</v>
      </c>
      <c r="CF79" s="33">
        <f t="shared" ca="1" si="172"/>
        <v>87.245642804961065</v>
      </c>
      <c r="CG79" s="33">
        <f t="shared" ca="1" si="172"/>
        <v>87.861236413265928</v>
      </c>
      <c r="CH79" s="33">
        <f t="shared" ca="1" si="172"/>
        <v>88.421695491430143</v>
      </c>
      <c r="CI79" s="33">
        <f t="shared" ca="1" si="172"/>
        <v>88.926591812873966</v>
      </c>
      <c r="CJ79" s="33">
        <f t="shared" ca="1" si="172"/>
        <v>89.375481841845868</v>
      </c>
      <c r="CK79" s="33">
        <f t="shared" ca="1" si="172"/>
        <v>89.767906494685363</v>
      </c>
      <c r="CL79" s="33">
        <f t="shared" ca="1" si="172"/>
        <v>90.103390895636949</v>
      </c>
      <c r="CM79" s="33">
        <f t="shared" ca="1" si="172"/>
        <v>90.381444127112331</v>
      </c>
      <c r="CN79" s="33">
        <f t="shared" ca="1" si="172"/>
        <v>90.601558974296893</v>
      </c>
      <c r="CO79" s="33">
        <f t="shared" ca="1" si="172"/>
        <v>90.763211663994085</v>
      </c>
      <c r="CP79" s="33">
        <f t="shared" ca="1" si="172"/>
        <v>90.865861597598411</v>
      </c>
      <c r="CQ79" s="33">
        <f t="shared" ca="1" si="172"/>
        <v>90.964632296153155</v>
      </c>
      <c r="CR79" s="33">
        <f t="shared" ca="1" si="172"/>
        <v>91.059505497294552</v>
      </c>
      <c r="CS79" s="33">
        <f t="shared" ca="1" si="172"/>
        <v>91.150461980188169</v>
      </c>
      <c r="CT79" s="33">
        <f t="shared" ca="1" si="172"/>
        <v>91.237481552291754</v>
      </c>
      <c r="CU79" s="33">
        <f t="shared" ca="1" si="172"/>
        <v>91.320543035794003</v>
      </c>
      <c r="CV79" s="33">
        <f t="shared" ca="1" si="172"/>
        <v>91.399624253723317</v>
      </c>
      <c r="CW79" s="33">
        <f t="shared" ca="1" si="172"/>
        <v>91.47470201572068</v>
      </c>
      <c r="CX79" s="33">
        <f t="shared" ca="1" si="172"/>
        <v>91.545752103470321</v>
      </c>
      <c r="CY79" s="33">
        <f t="shared" ca="1" si="172"/>
        <v>91.612749255782205</v>
      </c>
      <c r="CZ79" s="33">
        <f t="shared" ca="1" si="172"/>
        <v>91.675667153319466</v>
      </c>
      <c r="DA79" s="33">
        <f t="shared" ca="1" si="172"/>
        <v>91.734478402964854</v>
      </c>
      <c r="DB79" s="33">
        <f t="shared" ca="1" si="172"/>
        <v>91.789154521818944</v>
      </c>
      <c r="DC79" s="33">
        <f t="shared" ca="1" si="172"/>
        <v>91.839483157946745</v>
      </c>
      <c r="DD79" s="33">
        <f t="shared" ca="1" si="172"/>
        <v>91.885609794649213</v>
      </c>
      <c r="DE79" s="33">
        <f t="shared" ca="1" si="172"/>
        <v>91.927502477659317</v>
      </c>
      <c r="DF79" s="33">
        <f t="shared" ca="1" si="172"/>
        <v>91.965128092767458</v>
      </c>
      <c r="DG79" s="33">
        <f t="shared" ca="1" si="172"/>
        <v>91.998452347831204</v>
      </c>
      <c r="DH79" s="33">
        <f t="shared" ca="1" si="172"/>
        <v>92.027439754373191</v>
      </c>
      <c r="DI79" s="33">
        <f t="shared" ca="1" si="172"/>
        <v>92.052053608759181</v>
      </c>
      <c r="DJ79" s="33">
        <f t="shared" ca="1" si="172"/>
        <v>92.072255972948923</v>
      </c>
      <c r="DK79" s="33">
        <f t="shared" ca="1" si="172"/>
        <v>92.088007654811321</v>
      </c>
      <c r="DL79" s="33">
        <f t="shared" ca="1" si="172"/>
        <v>92.09926818799596</v>
      </c>
      <c r="DM79" s="33">
        <f t="shared" ca="1" si="172"/>
        <v>92.105995811352415</v>
      </c>
      <c r="DN79" s="33">
        <f t="shared" ca="1" si="172"/>
        <v>92.108147447889053</v>
      </c>
      <c r="DO79" s="33">
        <f t="shared" ca="1" si="172"/>
        <v>92.110053434851153</v>
      </c>
      <c r="DP79" s="33">
        <f t="shared" ca="1" si="172"/>
        <v>92.111711746070299</v>
      </c>
      <c r="DQ79" s="33">
        <f t="shared" ca="1" si="172"/>
        <v>92.113120285986426</v>
      </c>
      <c r="DR79" s="33">
        <f t="shared" ca="1" si="172"/>
        <v>92.114276888548773</v>
      </c>
      <c r="DS79" s="33">
        <f t="shared" ca="1" si="172"/>
        <v>92.115179316091783</v>
      </c>
      <c r="DT79" s="33">
        <f t="shared" ca="1" si="172"/>
        <v>92.115825258185751</v>
      </c>
      <c r="DU79" s="33">
        <f t="shared" ca="1" si="172"/>
        <v>92.116212330461721</v>
      </c>
      <c r="DV79" s="33">
        <f t="shared" ca="1" si="172"/>
        <v>92.116338073409921</v>
      </c>
      <c r="DW79" s="33">
        <f t="shared" ca="1" si="172"/>
        <v>92.116199951151529</v>
      </c>
      <c r="DX79" s="33">
        <f t="shared" ca="1" si="172"/>
        <v>92.115795350183078</v>
      </c>
      <c r="DY79" s="33">
        <f t="shared" ca="1" si="172"/>
        <v>92.11512157809301</v>
      </c>
    </row>
    <row r="80" spans="2:129" outlineLevel="1">
      <c r="C80" s="8" t="s">
        <v>6</v>
      </c>
      <c r="D80" s="5" t="s">
        <v>1</v>
      </c>
      <c r="F80" s="5" t="s">
        <v>259</v>
      </c>
      <c r="J80" s="33">
        <f>IF(_arpuP4=0,0,_p.lost*I$81)</f>
        <v>12</v>
      </c>
      <c r="K80" s="33">
        <f t="shared" ref="K80:AO80" ca="1" si="173">IF(_arpuP4=0,0,_p.lost*J$81)</f>
        <v>12.342444836636751</v>
      </c>
      <c r="L80" s="33">
        <f t="shared" ca="1" si="173"/>
        <v>12.697785224907133</v>
      </c>
      <c r="M80" s="33">
        <f t="shared" ca="1" si="173"/>
        <v>13.066218609294813</v>
      </c>
      <c r="N80" s="33">
        <f t="shared" ca="1" si="173"/>
        <v>13.447946987838616</v>
      </c>
      <c r="O80" s="33">
        <f t="shared" ca="1" si="173"/>
        <v>13.843176997156979</v>
      </c>
      <c r="P80" s="33">
        <f t="shared" ca="1" si="173"/>
        <v>14.252119999233361</v>
      </c>
      <c r="Q80" s="33">
        <f t="shared" ca="1" si="173"/>
        <v>14.6749921699972</v>
      </c>
      <c r="R80" s="33">
        <f t="shared" ca="1" si="173"/>
        <v>15.112014589735793</v>
      </c>
      <c r="S80" s="33">
        <f t="shared" ca="1" si="173"/>
        <v>15.563413335373035</v>
      </c>
      <c r="T80" s="33">
        <f t="shared" ca="1" si="173"/>
        <v>16.029419574651861</v>
      </c>
      <c r="U80" s="33">
        <f t="shared" ca="1" si="173"/>
        <v>16.510269662257816</v>
      </c>
      <c r="V80" s="33">
        <f t="shared" ca="1" si="173"/>
        <v>17.006205237922021</v>
      </c>
      <c r="W80" s="33">
        <f t="shared" ca="1" si="173"/>
        <v>17.517473326542589</v>
      </c>
      <c r="X80" s="33">
        <f t="shared" ca="1" si="173"/>
        <v>18.044326440364209</v>
      </c>
      <c r="Y80" s="33">
        <f t="shared" ca="1" si="173"/>
        <v>18.587022683256624</v>
      </c>
      <c r="Z80" s="33">
        <f t="shared" ca="1" si="173"/>
        <v>19.1458258571333</v>
      </c>
      <c r="AA80" s="33">
        <f t="shared" ca="1" si="173"/>
        <v>19.721005570552659</v>
      </c>
      <c r="AB80" s="33">
        <f t="shared" ca="1" si="173"/>
        <v>20.312837349544903</v>
      </c>
      <c r="AC80" s="33">
        <f t="shared" ca="1" si="173"/>
        <v>20.921602750708445</v>
      </c>
      <c r="AD80" s="33">
        <f t="shared" ca="1" si="173"/>
        <v>21.547589476620796</v>
      </c>
      <c r="AE80" s="33">
        <f t="shared" ca="1" si="173"/>
        <v>22.191091493609679</v>
      </c>
      <c r="AF80" s="33">
        <f t="shared" ca="1" si="173"/>
        <v>22.852409151931038</v>
      </c>
      <c r="AG80" s="33">
        <f t="shared" ca="1" si="173"/>
        <v>23.531849308401597</v>
      </c>
      <c r="AH80" s="33">
        <f t="shared" ca="1" si="173"/>
        <v>24.229725451534517</v>
      </c>
      <c r="AI80" s="33">
        <f t="shared" ca="1" si="173"/>
        <v>24.695132909639735</v>
      </c>
      <c r="AJ80" s="33">
        <f t="shared" ca="1" si="173"/>
        <v>25.170595948543156</v>
      </c>
      <c r="AK80" s="33">
        <f t="shared" ca="1" si="173"/>
        <v>25.656308205544388</v>
      </c>
      <c r="AL80" s="33">
        <f t="shared" ca="1" si="173"/>
        <v>26.152467265432193</v>
      </c>
      <c r="AM80" s="33">
        <f t="shared" ca="1" si="173"/>
        <v>26.659274738686825</v>
      </c>
      <c r="AN80" s="33">
        <f t="shared" ca="1" si="173"/>
        <v>27.176936341253946</v>
      </c>
      <c r="AO80" s="33">
        <f t="shared" ca="1" si="173"/>
        <v>27.70566197592132</v>
      </c>
      <c r="AP80" s="33">
        <f t="shared" ref="AP80:BU80" ca="1" si="174">IF(_arpuP4=0,0,_p.lost*AO$81)</f>
        <v>28.245665815330469</v>
      </c>
      <c r="AQ80" s="33">
        <f t="shared" ca="1" si="174"/>
        <v>28.797166386655736</v>
      </c>
      <c r="AR80" s="33">
        <f t="shared" ca="1" si="174"/>
        <v>29.360386657984176</v>
      </c>
      <c r="AS80" s="33">
        <f t="shared" ca="1" si="174"/>
        <v>29.935554126430077</v>
      </c>
      <c r="AT80" s="33">
        <f t="shared" ca="1" si="174"/>
        <v>30.522900908018883</v>
      </c>
      <c r="AU80" s="33">
        <f t="shared" ca="1" si="174"/>
        <v>31.122663829375711</v>
      </c>
      <c r="AV80" s="33">
        <f t="shared" ca="1" si="174"/>
        <v>31.73508452125456</v>
      </c>
      <c r="AW80" s="33">
        <f t="shared" ca="1" si="174"/>
        <v>32.360409513944923</v>
      </c>
      <c r="AX80" s="33">
        <f t="shared" ca="1" si="174"/>
        <v>32.998890334593277</v>
      </c>
      <c r="AY80" s="33">
        <f t="shared" ca="1" si="174"/>
        <v>33.650783606477759</v>
      </c>
      <c r="AZ80" s="33">
        <f t="shared" ca="1" si="174"/>
        <v>34.316351150274862</v>
      </c>
      <c r="BA80" s="33">
        <f t="shared" ca="1" si="174"/>
        <v>34.995860087358068</v>
      </c>
      <c r="BB80" s="33">
        <f t="shared" ca="1" si="174"/>
        <v>35.689582945169008</v>
      </c>
      <c r="BC80" s="33">
        <f t="shared" ca="1" si="174"/>
        <v>36.397797764702375</v>
      </c>
      <c r="BD80" s="33">
        <f t="shared" ca="1" si="174"/>
        <v>37.120788210146962</v>
      </c>
      <c r="BE80" s="33">
        <f t="shared" ca="1" si="174"/>
        <v>37.858843680725784</v>
      </c>
      <c r="BF80" s="33">
        <f t="shared" ca="1" si="174"/>
        <v>38.612259424779268</v>
      </c>
      <c r="BG80" s="33">
        <f t="shared" ca="1" si="174"/>
        <v>39.361598463361645</v>
      </c>
      <c r="BH80" s="33">
        <f t="shared" ca="1" si="174"/>
        <v>40.126196993438143</v>
      </c>
      <c r="BI80" s="33">
        <f t="shared" ca="1" si="174"/>
        <v>40.906357477731383</v>
      </c>
      <c r="BJ80" s="33">
        <f t="shared" ca="1" si="174"/>
        <v>41.702388455489569</v>
      </c>
      <c r="BK80" s="33">
        <f t="shared" ca="1" si="174"/>
        <v>42.514604663744223</v>
      </c>
      <c r="BL80" s="33">
        <f t="shared" ca="1" si="174"/>
        <v>43.343327160995834</v>
      </c>
      <c r="BM80" s="33">
        <f t="shared" ca="1" si="174"/>
        <v>44.188883453376036</v>
      </c>
      <c r="BN80" s="33">
        <f t="shared" ca="1" si="174"/>
        <v>45.05160762333557</v>
      </c>
      <c r="BO80" s="33">
        <f t="shared" ca="1" si="174"/>
        <v>45.931840460908695</v>
      </c>
      <c r="BP80" s="33">
        <f t="shared" ca="1" si="174"/>
        <v>46.829929597605542</v>
      </c>
      <c r="BQ80" s="33">
        <f t="shared" ca="1" si="174"/>
        <v>47.746229642984865</v>
      </c>
      <c r="BR80" s="33">
        <f t="shared" ca="1" si="174"/>
        <v>48.681102323960829</v>
      </c>
      <c r="BS80" s="33">
        <f t="shared" ca="1" si="174"/>
        <v>49.582420134284632</v>
      </c>
      <c r="BT80" s="33">
        <f t="shared" ca="1" si="174"/>
        <v>50.450034499785936</v>
      </c>
      <c r="BU80" s="33">
        <f t="shared" ca="1" si="174"/>
        <v>51.283788649578604</v>
      </c>
      <c r="BV80" s="33">
        <f t="shared" ref="BV80:CC80" ca="1" si="175">IF(_arpuP4=0,0,_p.lost*BU$81)</f>
        <v>52.083517504378626</v>
      </c>
      <c r="BW80" s="33">
        <f t="shared" ca="1" si="175"/>
        <v>52.84904756206604</v>
      </c>
      <c r="BX80" s="33">
        <f t="shared" ca="1" si="175"/>
        <v>53.58019678044068</v>
      </c>
      <c r="BY80" s="33">
        <f t="shared" ca="1" si="175"/>
        <v>54.276774457120965</v>
      </c>
      <c r="BZ80" s="33">
        <f t="shared" ca="1" si="175"/>
        <v>54.938581106533611</v>
      </c>
      <c r="CA80" s="33">
        <f t="shared" ca="1" si="175"/>
        <v>55.565408333941292</v>
      </c>
      <c r="CB80" s="33">
        <f t="shared" ca="1" si="175"/>
        <v>56.157038706453832</v>
      </c>
      <c r="CC80" s="33">
        <f t="shared" ca="1" si="175"/>
        <v>56.713245620967754</v>
      </c>
      <c r="CD80" s="33">
        <f t="shared" ref="CD80:DY80" ca="1" si="176">IF(_arpuP4=0,0,_p.lost*CC$81)</f>
        <v>57.233793168977591</v>
      </c>
      <c r="CE80" s="33">
        <f t="shared" ca="1" si="176"/>
        <v>57.71688521154099</v>
      </c>
      <c r="CF80" s="33">
        <f t="shared" ca="1" si="176"/>
        <v>58.163761869974046</v>
      </c>
      <c r="CG80" s="33">
        <f t="shared" ca="1" si="176"/>
        <v>58.574157608843947</v>
      </c>
      <c r="CH80" s="33">
        <f t="shared" ca="1" si="176"/>
        <v>58.947796994286755</v>
      </c>
      <c r="CI80" s="33">
        <f t="shared" ca="1" si="176"/>
        <v>59.284394541915979</v>
      </c>
      <c r="CJ80" s="33">
        <f t="shared" ca="1" si="176"/>
        <v>59.583654561230581</v>
      </c>
      <c r="CK80" s="33">
        <f t="shared" ca="1" si="176"/>
        <v>59.845270996456911</v>
      </c>
      <c r="CL80" s="33">
        <f t="shared" ca="1" si="176"/>
        <v>60.068927263757963</v>
      </c>
      <c r="CM80" s="33">
        <f t="shared" ca="1" si="176"/>
        <v>60.254296084741554</v>
      </c>
      <c r="CN80" s="33">
        <f t="shared" ca="1" si="176"/>
        <v>60.401039316197931</v>
      </c>
      <c r="CO80" s="33">
        <f t="shared" ca="1" si="176"/>
        <v>60.508807775996054</v>
      </c>
      <c r="CP80" s="33">
        <f t="shared" ca="1" si="176"/>
        <v>60.5772410650656</v>
      </c>
      <c r="CQ80" s="33">
        <f t="shared" ca="1" si="176"/>
        <v>60.643088197435432</v>
      </c>
      <c r="CR80" s="33">
        <f t="shared" ca="1" si="176"/>
        <v>60.706336998196363</v>
      </c>
      <c r="CS80" s="33">
        <f t="shared" ca="1" si="176"/>
        <v>60.766974653458774</v>
      </c>
      <c r="CT80" s="33">
        <f t="shared" ca="1" si="176"/>
        <v>60.824987701527832</v>
      </c>
      <c r="CU80" s="33">
        <f t="shared" ca="1" si="176"/>
        <v>60.880362023862666</v>
      </c>
      <c r="CV80" s="33">
        <f t="shared" ca="1" si="176"/>
        <v>60.93308283581554</v>
      </c>
      <c r="CW80" s="33">
        <f t="shared" ca="1" si="176"/>
        <v>60.983134677147113</v>
      </c>
      <c r="CX80" s="33">
        <f t="shared" ca="1" si="176"/>
        <v>61.030501402313547</v>
      </c>
      <c r="CY80" s="33">
        <f t="shared" ca="1" si="176"/>
        <v>61.075166170521463</v>
      </c>
      <c r="CZ80" s="33">
        <f t="shared" ca="1" si="176"/>
        <v>61.117111435546313</v>
      </c>
      <c r="DA80" s="33">
        <f t="shared" ca="1" si="176"/>
        <v>61.156318935309905</v>
      </c>
      <c r="DB80" s="33">
        <f t="shared" ca="1" si="176"/>
        <v>61.192769681212631</v>
      </c>
      <c r="DC80" s="33">
        <f t="shared" ca="1" si="176"/>
        <v>61.226322105297832</v>
      </c>
      <c r="DD80" s="33">
        <f t="shared" ca="1" si="176"/>
        <v>61.257073196432806</v>
      </c>
      <c r="DE80" s="33">
        <f t="shared" ca="1" si="176"/>
        <v>61.285001651772873</v>
      </c>
      <c r="DF80" s="33">
        <f t="shared" ca="1" si="176"/>
        <v>61.310085395178298</v>
      </c>
      <c r="DG80" s="33">
        <f t="shared" ca="1" si="176"/>
        <v>61.332301565220803</v>
      </c>
      <c r="DH80" s="33">
        <f t="shared" ca="1" si="176"/>
        <v>61.351626502915458</v>
      </c>
      <c r="DI80" s="33">
        <f t="shared" ca="1" si="176"/>
        <v>61.36803573917279</v>
      </c>
      <c r="DJ80" s="33">
        <f t="shared" ca="1" si="176"/>
        <v>61.381503981965942</v>
      </c>
      <c r="DK80" s="33">
        <f t="shared" ca="1" si="176"/>
        <v>61.392005103207545</v>
      </c>
      <c r="DL80" s="33">
        <f t="shared" ca="1" si="176"/>
        <v>61.399512125330638</v>
      </c>
      <c r="DM80" s="33">
        <f t="shared" ca="1" si="176"/>
        <v>61.403997207568274</v>
      </c>
      <c r="DN80" s="33">
        <f t="shared" ca="1" si="176"/>
        <v>61.405431631926035</v>
      </c>
      <c r="DO80" s="33">
        <f t="shared" ca="1" si="176"/>
        <v>61.406702289900771</v>
      </c>
      <c r="DP80" s="33">
        <f t="shared" ca="1" si="176"/>
        <v>61.40780783071353</v>
      </c>
      <c r="DQ80" s="33">
        <f t="shared" ca="1" si="176"/>
        <v>61.408746857324282</v>
      </c>
      <c r="DR80" s="33">
        <f t="shared" ca="1" si="176"/>
        <v>61.409517925699177</v>
      </c>
      <c r="DS80" s="33">
        <f t="shared" ca="1" si="176"/>
        <v>61.410119544061189</v>
      </c>
      <c r="DT80" s="33">
        <f t="shared" ca="1" si="176"/>
        <v>61.410550172123834</v>
      </c>
      <c r="DU80" s="33">
        <f t="shared" ca="1" si="176"/>
        <v>61.410808220307807</v>
      </c>
      <c r="DV80" s="33">
        <f t="shared" ca="1" si="176"/>
        <v>61.410892048939949</v>
      </c>
      <c r="DW80" s="33">
        <f t="shared" ca="1" si="176"/>
        <v>61.41079996743435</v>
      </c>
      <c r="DX80" s="33">
        <f t="shared" ca="1" si="176"/>
        <v>61.41053023345539</v>
      </c>
      <c r="DY80" s="33">
        <f t="shared" ca="1" si="176"/>
        <v>61.410081052062012</v>
      </c>
    </row>
    <row r="81" spans="2:129" outlineLevel="1">
      <c r="C81" s="55" t="s">
        <v>125</v>
      </c>
      <c r="D81" s="55"/>
      <c r="E81" s="55"/>
      <c r="F81" s="55" t="s">
        <v>260</v>
      </c>
      <c r="G81" s="55"/>
      <c r="H81" s="221"/>
      <c r="I81" s="582">
        <f>'Model Assumptions'!J25</f>
        <v>3000</v>
      </c>
      <c r="J81" s="118">
        <f ca="1">+_activeinstallationsBoPP4+_NewSalesP4+_RetainedSalesP4-_EndingContractP4-_RepossessedP4-_LostP4</f>
        <v>3085.6112091591876</v>
      </c>
      <c r="K81" s="118">
        <f t="shared" ref="K81:P81" ca="1" si="177">+_activeinstallationsBoPP4+_NewSalesP4+_RetainedSalesP4-_EndingContractP4-_RepossessedP4-_LostP4</f>
        <v>3174.4463062267832</v>
      </c>
      <c r="L81" s="118">
        <f t="shared" ca="1" si="177"/>
        <v>3266.5546523237031</v>
      </c>
      <c r="M81" s="118">
        <f t="shared" ca="1" si="177"/>
        <v>3361.9867469596538</v>
      </c>
      <c r="N81" s="118">
        <f t="shared" ca="1" si="177"/>
        <v>3460.7942492892448</v>
      </c>
      <c r="O81" s="118">
        <f t="shared" ca="1" si="177"/>
        <v>3563.0299998083401</v>
      </c>
      <c r="P81" s="118">
        <f t="shared" ca="1" si="177"/>
        <v>3668.7480424993</v>
      </c>
      <c r="Q81" s="118">
        <f t="shared" ref="Q81:AW81" ca="1" si="178">+_activeinstallationsBoPP4+_NewSalesP4+_RetainedSalesP4-_EndingContractP4-_RepossessedP4-_LostP4</f>
        <v>3778.0036474339481</v>
      </c>
      <c r="R81" s="118">
        <f t="shared" ca="1" si="178"/>
        <v>3890.8533338432585</v>
      </c>
      <c r="S81" s="118">
        <f t="shared" ca="1" si="178"/>
        <v>4007.3548936629654</v>
      </c>
      <c r="T81" s="118">
        <f t="shared" ca="1" si="178"/>
        <v>4127.5674155644538</v>
      </c>
      <c r="U81" s="118">
        <f t="shared" ca="1" si="178"/>
        <v>4251.5513094805056</v>
      </c>
      <c r="V81" s="118">
        <f t="shared" ca="1" si="178"/>
        <v>4379.3683316356473</v>
      </c>
      <c r="W81" s="118">
        <f t="shared" ca="1" si="178"/>
        <v>4511.0816100910524</v>
      </c>
      <c r="X81" s="118">
        <f t="shared" ca="1" si="178"/>
        <v>4646.7556708141556</v>
      </c>
      <c r="Y81" s="118">
        <f t="shared" ca="1" si="178"/>
        <v>4786.4564642833247</v>
      </c>
      <c r="Z81" s="118">
        <f t="shared" ca="1" si="178"/>
        <v>4930.2513926381644</v>
      </c>
      <c r="AA81" s="118">
        <f ca="1">+_activeinstallationsBoPP4+_NewSalesP4+_RetainedSalesP4-_EndingContractP4-_RepossessedP4-_LostP4</f>
        <v>5078.2093373862253</v>
      </c>
      <c r="AB81" s="118">
        <f t="shared" ca="1" si="178"/>
        <v>5230.4006876771109</v>
      </c>
      <c r="AC81" s="118">
        <f t="shared" ca="1" si="178"/>
        <v>5386.8973691551992</v>
      </c>
      <c r="AD81" s="118">
        <f t="shared" ca="1" si="178"/>
        <v>5547.7728734024195</v>
      </c>
      <c r="AE81" s="118">
        <f t="shared" ca="1" si="178"/>
        <v>5713.1022879827597</v>
      </c>
      <c r="AF81" s="118">
        <f t="shared" ca="1" si="178"/>
        <v>5882.9623271003993</v>
      </c>
      <c r="AG81" s="118">
        <f t="shared" ca="1" si="178"/>
        <v>6057.4313628836289</v>
      </c>
      <c r="AH81" s="118">
        <f t="shared" ca="1" si="178"/>
        <v>6173.7832274099337</v>
      </c>
      <c r="AI81" s="118">
        <f t="shared" ca="1" si="178"/>
        <v>6292.648987135789</v>
      </c>
      <c r="AJ81" s="118">
        <f t="shared" ca="1" si="178"/>
        <v>6414.0770513860971</v>
      </c>
      <c r="AK81" s="118">
        <f t="shared" ca="1" si="178"/>
        <v>6538.1168163580478</v>
      </c>
      <c r="AL81" s="118">
        <f t="shared" ca="1" si="178"/>
        <v>6664.8186846717063</v>
      </c>
      <c r="AM81" s="118">
        <f t="shared" ca="1" si="178"/>
        <v>6794.2340853134865</v>
      </c>
      <c r="AN81" s="118">
        <f t="shared" ca="1" si="178"/>
        <v>6926.4154939803302</v>
      </c>
      <c r="AO81" s="118">
        <f t="shared" ca="1" si="178"/>
        <v>7061.4164538326168</v>
      </c>
      <c r="AP81" s="118">
        <f t="shared" ca="1" si="178"/>
        <v>7199.2915966639339</v>
      </c>
      <c r="AQ81" s="118">
        <f t="shared" ca="1" si="178"/>
        <v>7340.0966644960436</v>
      </c>
      <c r="AR81" s="118">
        <f t="shared" ca="1" si="178"/>
        <v>7483.8885316075193</v>
      </c>
      <c r="AS81" s="118">
        <f t="shared" ca="1" si="178"/>
        <v>7630.7252270047202</v>
      </c>
      <c r="AT81" s="118">
        <f t="shared" ca="1" si="178"/>
        <v>7780.6659573439274</v>
      </c>
      <c r="AU81" s="118">
        <f t="shared" ca="1" si="178"/>
        <v>7933.7711303136402</v>
      </c>
      <c r="AV81" s="118">
        <f t="shared" ca="1" si="178"/>
        <v>8090.10237848623</v>
      </c>
      <c r="AW81" s="118">
        <f t="shared" ca="1" si="178"/>
        <v>8249.7225836483194</v>
      </c>
      <c r="AX81" s="118">
        <f t="shared" ref="AX81:DI81" ca="1" si="179">+_activeinstallationsBoPP4+_NewSalesP4+_RetainedSalesP4-_EndingContractP4-_RepossessedP4-_LostP4</f>
        <v>8412.6959016194396</v>
      </c>
      <c r="AY81" s="118">
        <f t="shared" ca="1" si="179"/>
        <v>8579.0877875687147</v>
      </c>
      <c r="AZ81" s="118">
        <f t="shared" ca="1" si="179"/>
        <v>8748.9650218395163</v>
      </c>
      <c r="BA81" s="118">
        <f t="shared" ca="1" si="179"/>
        <v>8922.395736292252</v>
      </c>
      <c r="BB81" s="118">
        <f t="shared" ca="1" si="179"/>
        <v>9099.4494411755932</v>
      </c>
      <c r="BC81" s="118">
        <f t="shared" ca="1" si="179"/>
        <v>9280.1970525367396</v>
      </c>
      <c r="BD81" s="118">
        <f t="shared" ca="1" si="179"/>
        <v>9464.7109201814455</v>
      </c>
      <c r="BE81" s="118">
        <f t="shared" ca="1" si="179"/>
        <v>9653.0648561948165</v>
      </c>
      <c r="BF81" s="118">
        <f t="shared" ca="1" si="179"/>
        <v>9840.3996158404116</v>
      </c>
      <c r="BG81" s="118">
        <f t="shared" ca="1" si="179"/>
        <v>10031.549248359535</v>
      </c>
      <c r="BH81" s="118">
        <f t="shared" ca="1" si="179"/>
        <v>10226.589369432846</v>
      </c>
      <c r="BI81" s="118">
        <f t="shared" ca="1" si="179"/>
        <v>10425.597113872393</v>
      </c>
      <c r="BJ81" s="118">
        <f t="shared" ca="1" si="179"/>
        <v>10628.651165936055</v>
      </c>
      <c r="BK81" s="118">
        <f t="shared" ca="1" si="179"/>
        <v>10835.831790248958</v>
      </c>
      <c r="BL81" s="118">
        <f t="shared" ca="1" si="179"/>
        <v>11047.22086334401</v>
      </c>
      <c r="BM81" s="118">
        <f t="shared" ca="1" si="179"/>
        <v>11262.901905833893</v>
      </c>
      <c r="BN81" s="118">
        <f t="shared" ca="1" si="179"/>
        <v>11482.960115227173</v>
      </c>
      <c r="BO81" s="118">
        <f t="shared" ca="1" si="179"/>
        <v>11707.482399401386</v>
      </c>
      <c r="BP81" s="118">
        <f t="shared" ca="1" si="179"/>
        <v>11936.557410746216</v>
      </c>
      <c r="BQ81" s="118">
        <f t="shared" ca="1" si="179"/>
        <v>12170.275580990206</v>
      </c>
      <c r="BR81" s="118">
        <f t="shared" ca="1" si="179"/>
        <v>12395.605033571157</v>
      </c>
      <c r="BS81" s="118">
        <f t="shared" ca="1" si="179"/>
        <v>12612.508624946484</v>
      </c>
      <c r="BT81" s="118">
        <f t="shared" ca="1" si="179"/>
        <v>12820.94716239465</v>
      </c>
      <c r="BU81" s="118">
        <f t="shared" ca="1" si="179"/>
        <v>13020.879376094656</v>
      </c>
      <c r="BV81" s="118">
        <f t="shared" ca="1" si="179"/>
        <v>13212.261890516509</v>
      </c>
      <c r="BW81" s="118">
        <f t="shared" ca="1" si="179"/>
        <v>13395.04919511017</v>
      </c>
      <c r="BX81" s="118">
        <f t="shared" ca="1" si="179"/>
        <v>13569.193614280241</v>
      </c>
      <c r="BY81" s="118">
        <f t="shared" ca="1" si="179"/>
        <v>13734.645276633402</v>
      </c>
      <c r="BZ81" s="118">
        <f t="shared" ca="1" si="179"/>
        <v>13891.352083485323</v>
      </c>
      <c r="CA81" s="118">
        <f t="shared" ca="1" si="179"/>
        <v>14039.259676613457</v>
      </c>
      <c r="CB81" s="118">
        <f t="shared" ca="1" si="179"/>
        <v>14178.311405241939</v>
      </c>
      <c r="CC81" s="118">
        <f t="shared" ca="1" si="179"/>
        <v>14308.448292244397</v>
      </c>
      <c r="CD81" s="118">
        <f t="shared" ca="1" si="179"/>
        <v>14429.221302885247</v>
      </c>
      <c r="CE81" s="118">
        <f t="shared" ca="1" si="179"/>
        <v>14540.94046749351</v>
      </c>
      <c r="CF81" s="118">
        <f t="shared" ca="1" si="179"/>
        <v>14643.539402210987</v>
      </c>
      <c r="CG81" s="118">
        <f t="shared" ca="1" si="179"/>
        <v>14736.949248571689</v>
      </c>
      <c r="CH81" s="118">
        <f t="shared" ca="1" si="179"/>
        <v>14821.098635478995</v>
      </c>
      <c r="CI81" s="118">
        <f t="shared" ca="1" si="179"/>
        <v>14895.913640307645</v>
      </c>
      <c r="CJ81" s="118">
        <f t="shared" ca="1" si="179"/>
        <v>14961.317749114227</v>
      </c>
      <c r="CK81" s="118">
        <f t="shared" ca="1" si="179"/>
        <v>15017.231815939491</v>
      </c>
      <c r="CL81" s="118">
        <f t="shared" ca="1" si="179"/>
        <v>15063.574021185388</v>
      </c>
      <c r="CM81" s="118">
        <f t="shared" ca="1" si="179"/>
        <v>15100.259829049483</v>
      </c>
      <c r="CN81" s="118">
        <f t="shared" ca="1" si="179"/>
        <v>15127.201943999013</v>
      </c>
      <c r="CO81" s="118">
        <f t="shared" ca="1" si="179"/>
        <v>15144.310266266401</v>
      </c>
      <c r="CP81" s="118">
        <f t="shared" ca="1" si="179"/>
        <v>15160.772049358859</v>
      </c>
      <c r="CQ81" s="118">
        <f t="shared" ca="1" si="179"/>
        <v>15176.584249549091</v>
      </c>
      <c r="CR81" s="118">
        <f t="shared" ca="1" si="179"/>
        <v>15191.743663364694</v>
      </c>
      <c r="CS81" s="118">
        <f t="shared" ca="1" si="179"/>
        <v>15206.246925381958</v>
      </c>
      <c r="CT81" s="118">
        <f t="shared" ca="1" si="179"/>
        <v>15220.090505965667</v>
      </c>
      <c r="CU81" s="118">
        <f t="shared" ca="1" si="179"/>
        <v>15233.270708953885</v>
      </c>
      <c r="CV81" s="118">
        <f t="shared" ca="1" si="179"/>
        <v>15245.783669286779</v>
      </c>
      <c r="CW81" s="118">
        <f t="shared" ca="1" si="179"/>
        <v>15257.625350578386</v>
      </c>
      <c r="CX81" s="118">
        <f t="shared" ca="1" si="179"/>
        <v>15268.791542630366</v>
      </c>
      <c r="CY81" s="118">
        <f t="shared" ca="1" si="179"/>
        <v>15279.277858886579</v>
      </c>
      <c r="CZ81" s="118">
        <f t="shared" ca="1" si="179"/>
        <v>15289.079733827475</v>
      </c>
      <c r="DA81" s="118">
        <f t="shared" ca="1" si="179"/>
        <v>15298.192420303158</v>
      </c>
      <c r="DB81" s="118">
        <f t="shared" ca="1" si="179"/>
        <v>15306.580526324458</v>
      </c>
      <c r="DC81" s="118">
        <f t="shared" ca="1" si="179"/>
        <v>15314.268299108202</v>
      </c>
      <c r="DD81" s="118">
        <f t="shared" ca="1" si="179"/>
        <v>15321.250412943218</v>
      </c>
      <c r="DE81" s="118">
        <f t="shared" ca="1" si="179"/>
        <v>15327.521348794575</v>
      </c>
      <c r="DF81" s="118">
        <f t="shared" ca="1" si="179"/>
        <v>15333.075391305201</v>
      </c>
      <c r="DG81" s="118">
        <f t="shared" ca="1" si="179"/>
        <v>15337.906625728865</v>
      </c>
      <c r="DH81" s="118">
        <f t="shared" ca="1" si="179"/>
        <v>15342.008934793197</v>
      </c>
      <c r="DI81" s="118">
        <f t="shared" ca="1" si="179"/>
        <v>15345.375995491486</v>
      </c>
      <c r="DJ81" s="118">
        <f t="shared" ref="DJ81:DY81" ca="1" si="180">+_activeinstallationsBoPP4+_NewSalesP4+_RetainedSalesP4-_EndingContractP4-_RepossessedP4-_LostP4</f>
        <v>15348.001275801886</v>
      </c>
      <c r="DK81" s="118">
        <f t="shared" ca="1" si="180"/>
        <v>15349.878031332659</v>
      </c>
      <c r="DL81" s="118">
        <f t="shared" ca="1" si="180"/>
        <v>15350.999301892069</v>
      </c>
      <c r="DM81" s="118">
        <f t="shared" ca="1" si="180"/>
        <v>15351.357907981508</v>
      </c>
      <c r="DN81" s="118">
        <f t="shared" ca="1" si="180"/>
        <v>15351.675572475193</v>
      </c>
      <c r="DO81" s="118">
        <f t="shared" ca="1" si="180"/>
        <v>15351.951957678382</v>
      </c>
      <c r="DP81" s="118">
        <f t="shared" ca="1" si="180"/>
        <v>15352.18671433107</v>
      </c>
      <c r="DQ81" s="118">
        <f t="shared" ca="1" si="180"/>
        <v>15352.379481424794</v>
      </c>
      <c r="DR81" s="118">
        <f t="shared" ca="1" si="180"/>
        <v>15352.529886015296</v>
      </c>
      <c r="DS81" s="118">
        <f t="shared" ca="1" si="180"/>
        <v>15352.637543030958</v>
      </c>
      <c r="DT81" s="118">
        <f t="shared" ca="1" si="180"/>
        <v>15352.702055076952</v>
      </c>
      <c r="DU81" s="118">
        <f t="shared" ca="1" si="180"/>
        <v>15352.723012234987</v>
      </c>
      <c r="DV81" s="118">
        <f t="shared" ca="1" si="180"/>
        <v>15352.699991858588</v>
      </c>
      <c r="DW81" s="118">
        <f t="shared" ca="1" si="180"/>
        <v>15352.632558363846</v>
      </c>
      <c r="DX81" s="118">
        <f t="shared" ca="1" si="180"/>
        <v>15352.520263015502</v>
      </c>
      <c r="DY81" s="118">
        <f t="shared" ca="1" si="180"/>
        <v>15352.362643708319</v>
      </c>
    </row>
    <row r="82" spans="2:129" outlineLevel="1">
      <c r="J82" s="34"/>
      <c r="K82" s="33"/>
      <c r="L82" s="34"/>
      <c r="M82" s="33"/>
      <c r="N82" s="34"/>
      <c r="O82" s="33"/>
      <c r="P82" s="34"/>
      <c r="Q82" s="34"/>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row>
    <row r="83" spans="2:129" outlineLevel="1">
      <c r="D83" s="5" t="s">
        <v>81</v>
      </c>
      <c r="F83" s="5" t="s">
        <v>261</v>
      </c>
      <c r="J83" s="35">
        <f ca="1">SUM(J76:J77)</f>
        <v>213.82097676009022</v>
      </c>
      <c r="K83" s="35">
        <f t="shared" ref="K83:BV83" ca="1" si="181">SUM(K76:K77)</f>
        <v>217.90097676009026</v>
      </c>
      <c r="L83" s="35">
        <f t="shared" ca="1" si="181"/>
        <v>222.06257676009022</v>
      </c>
      <c r="M83" s="35">
        <f t="shared" ca="1" si="181"/>
        <v>226.30740876009025</v>
      </c>
      <c r="N83" s="35">
        <f t="shared" ca="1" si="181"/>
        <v>230.63713740009024</v>
      </c>
      <c r="O83" s="35">
        <f t="shared" ca="1" si="181"/>
        <v>235.05346061289026</v>
      </c>
      <c r="P83" s="35">
        <f t="shared" ca="1" si="181"/>
        <v>239.55811028994623</v>
      </c>
      <c r="Q83" s="35">
        <f t="shared" ca="1" si="181"/>
        <v>244.15285296054338</v>
      </c>
      <c r="R83" s="35">
        <f t="shared" ca="1" si="181"/>
        <v>248.83949048455241</v>
      </c>
      <c r="S83" s="35">
        <f t="shared" ca="1" si="181"/>
        <v>253.61986075904167</v>
      </c>
      <c r="T83" s="35">
        <f t="shared" ca="1" si="181"/>
        <v>258.4958384390207</v>
      </c>
      <c r="U83" s="35">
        <f t="shared" ca="1" si="181"/>
        <v>263.46933567259936</v>
      </c>
      <c r="V83" s="35">
        <f t="shared" ca="1" si="181"/>
        <v>268.54230285084952</v>
      </c>
      <c r="W83" s="35">
        <f t="shared" ca="1" si="181"/>
        <v>273.7167293726647</v>
      </c>
      <c r="X83" s="35">
        <f t="shared" ca="1" si="181"/>
        <v>278.9946444249162</v>
      </c>
      <c r="Y83" s="35">
        <f t="shared" ca="1" si="181"/>
        <v>284.37811777821275</v>
      </c>
      <c r="Z83" s="35">
        <f t="shared" ca="1" si="181"/>
        <v>289.86926059857524</v>
      </c>
      <c r="AA83" s="35">
        <f t="shared" ca="1" si="181"/>
        <v>295.47022627534494</v>
      </c>
      <c r="AB83" s="35">
        <f t="shared" ca="1" si="181"/>
        <v>301.18321126565002</v>
      </c>
      <c r="AC83" s="35">
        <f t="shared" ca="1" si="181"/>
        <v>307.01045595576124</v>
      </c>
      <c r="AD83" s="35">
        <f t="shared" ca="1" si="181"/>
        <v>312.95424553967467</v>
      </c>
      <c r="AE83" s="35">
        <f t="shared" ca="1" si="181"/>
        <v>319.01691091526635</v>
      </c>
      <c r="AF83" s="35">
        <f t="shared" ca="1" si="181"/>
        <v>325.20082959836986</v>
      </c>
      <c r="AG83" s="35">
        <f t="shared" ca="1" si="181"/>
        <v>331.50842665513545</v>
      </c>
      <c r="AH83" s="35">
        <f t="shared" ca="1" si="181"/>
        <v>344.92064564159125</v>
      </c>
      <c r="AI83" s="35">
        <f t="shared" ca="1" si="181"/>
        <v>351.80362630089957</v>
      </c>
      <c r="AJ83" s="35">
        <f t="shared" ca="1" si="181"/>
        <v>358.82426657339397</v>
      </c>
      <c r="AK83" s="35">
        <f t="shared" ca="1" si="181"/>
        <v>365.98531965133827</v>
      </c>
      <c r="AL83" s="35">
        <f t="shared" ca="1" si="181"/>
        <v>373.28959379084154</v>
      </c>
      <c r="AM83" s="35">
        <f t="shared" ca="1" si="181"/>
        <v>380.7399534131348</v>
      </c>
      <c r="AN83" s="35">
        <f t="shared" ca="1" si="181"/>
        <v>388.33932022787388</v>
      </c>
      <c r="AO83" s="35">
        <f t="shared" ca="1" si="181"/>
        <v>396.09067437890786</v>
      </c>
      <c r="AP83" s="35">
        <f t="shared" ca="1" si="181"/>
        <v>403.99705561296247</v>
      </c>
      <c r="AQ83" s="35">
        <f t="shared" ca="1" si="181"/>
        <v>412.06156447169815</v>
      </c>
      <c r="AR83" s="35">
        <f t="shared" ca="1" si="181"/>
        <v>420.28736350760857</v>
      </c>
      <c r="AS83" s="35">
        <f t="shared" ca="1" si="181"/>
        <v>428.67767852423719</v>
      </c>
      <c r="AT83" s="35">
        <f t="shared" ca="1" si="181"/>
        <v>437.2357998411984</v>
      </c>
      <c r="AU83" s="35">
        <f t="shared" ca="1" si="181"/>
        <v>445.96508358449881</v>
      </c>
      <c r="AV83" s="35">
        <f t="shared" ca="1" si="181"/>
        <v>454.86895300266525</v>
      </c>
      <c r="AW83" s="35">
        <f t="shared" ca="1" si="181"/>
        <v>463.95089980919499</v>
      </c>
      <c r="AX83" s="35">
        <f t="shared" ca="1" si="181"/>
        <v>473.21448555185538</v>
      </c>
      <c r="AY83" s="35">
        <f t="shared" ca="1" si="181"/>
        <v>482.66334300936893</v>
      </c>
      <c r="AZ83" s="35">
        <f t="shared" ca="1" si="181"/>
        <v>492.3011776160327</v>
      </c>
      <c r="BA83" s="35">
        <f t="shared" ca="1" si="181"/>
        <v>502.13176891482982</v>
      </c>
      <c r="BB83" s="35">
        <f t="shared" ca="1" si="181"/>
        <v>512.15897203960287</v>
      </c>
      <c r="BC83" s="35">
        <f t="shared" ca="1" si="181"/>
        <v>522.38671922687138</v>
      </c>
      <c r="BD83" s="35">
        <f t="shared" ca="1" si="181"/>
        <v>532.81902135788528</v>
      </c>
      <c r="BE83" s="35">
        <f t="shared" ca="1" si="181"/>
        <v>543.45996953151939</v>
      </c>
      <c r="BF83" s="35">
        <f t="shared" ca="1" si="181"/>
        <v>554.86201980125486</v>
      </c>
      <c r="BG83" s="35">
        <f t="shared" ca="1" si="181"/>
        <v>565.95804771885423</v>
      </c>
      <c r="BH83" s="35">
        <f t="shared" ca="1" si="181"/>
        <v>577.27599619480566</v>
      </c>
      <c r="BI83" s="35">
        <f t="shared" ca="1" si="181"/>
        <v>588.82030364027605</v>
      </c>
      <c r="BJ83" s="35">
        <f t="shared" ca="1" si="181"/>
        <v>600.59549723465602</v>
      </c>
      <c r="BK83" s="35">
        <f t="shared" ca="1" si="181"/>
        <v>612.60619470092342</v>
      </c>
      <c r="BL83" s="35">
        <f t="shared" ca="1" si="181"/>
        <v>624.85710611651632</v>
      </c>
      <c r="BM83" s="35">
        <f t="shared" ca="1" si="181"/>
        <v>637.35303576042099</v>
      </c>
      <c r="BN83" s="35">
        <f t="shared" ca="1" si="181"/>
        <v>650.09888399720376</v>
      </c>
      <c r="BO83" s="35">
        <f t="shared" ca="1" si="181"/>
        <v>663.09964919872209</v>
      </c>
      <c r="BP83" s="35">
        <f t="shared" ca="1" si="181"/>
        <v>676.36042970427093</v>
      </c>
      <c r="BQ83" s="35">
        <f t="shared" ca="1" si="181"/>
        <v>689.88642581993065</v>
      </c>
      <c r="BR83" s="35">
        <f t="shared" ca="1" si="181"/>
        <v>690.55881870444193</v>
      </c>
      <c r="BS83" s="35">
        <f t="shared" ca="1" si="181"/>
        <v>691.24465944664337</v>
      </c>
      <c r="BT83" s="35">
        <f t="shared" ca="1" si="181"/>
        <v>691.94421700368889</v>
      </c>
      <c r="BU83" s="35">
        <f t="shared" ca="1" si="181"/>
        <v>692.6577657118753</v>
      </c>
      <c r="BV83" s="35">
        <f t="shared" ca="1" si="181"/>
        <v>693.38558539422547</v>
      </c>
      <c r="BW83" s="35">
        <f t="shared" ref="BW83:CC83" ca="1" si="182">SUM(BW76:BW77)</f>
        <v>694.12796147022266</v>
      </c>
      <c r="BX83" s="35">
        <f t="shared" ca="1" si="182"/>
        <v>694.88518506773983</v>
      </c>
      <c r="BY83" s="35">
        <f t="shared" ca="1" si="182"/>
        <v>695.65755313720729</v>
      </c>
      <c r="BZ83" s="35">
        <f t="shared" ca="1" si="182"/>
        <v>696.44536856806405</v>
      </c>
      <c r="CA83" s="35">
        <f t="shared" ca="1" si="182"/>
        <v>697.24894030753796</v>
      </c>
      <c r="CB83" s="35">
        <f t="shared" ca="1" si="182"/>
        <v>698.0685834818014</v>
      </c>
      <c r="CC83" s="35">
        <f t="shared" ca="1" si="182"/>
        <v>698.90461951955012</v>
      </c>
      <c r="CD83" s="35">
        <f t="shared" ref="CD83:DY83" ca="1" si="183">SUM(CD76:CD77)</f>
        <v>699.8004536852817</v>
      </c>
      <c r="CE83" s="35">
        <f t="shared" ca="1" si="183"/>
        <v>700.67224434374612</v>
      </c>
      <c r="CF83" s="35">
        <f t="shared" ca="1" si="183"/>
        <v>701.56147081537983</v>
      </c>
      <c r="CG83" s="35">
        <f t="shared" ca="1" si="183"/>
        <v>702.46848181644634</v>
      </c>
      <c r="CH83" s="35">
        <f t="shared" ca="1" si="183"/>
        <v>703.39363303753407</v>
      </c>
      <c r="CI83" s="35">
        <f t="shared" ca="1" si="183"/>
        <v>704.33728728304357</v>
      </c>
      <c r="CJ83" s="35">
        <f t="shared" ca="1" si="183"/>
        <v>705.29981461346324</v>
      </c>
      <c r="CK83" s="35">
        <f t="shared" ca="1" si="183"/>
        <v>706.28159249049133</v>
      </c>
      <c r="CL83" s="35">
        <f t="shared" ca="1" si="183"/>
        <v>707.28300592506002</v>
      </c>
      <c r="CM83" s="35">
        <f t="shared" ca="1" si="183"/>
        <v>708.30444762831996</v>
      </c>
      <c r="CN83" s="35">
        <f t="shared" ca="1" si="183"/>
        <v>709.34631816564524</v>
      </c>
      <c r="CO83" s="35">
        <f t="shared" ca="1" si="183"/>
        <v>710.40902611371689</v>
      </c>
      <c r="CP83" s="35">
        <f t="shared" ca="1" si="183"/>
        <v>710.46185455285638</v>
      </c>
      <c r="CQ83" s="35">
        <f t="shared" ca="1" si="183"/>
        <v>710.51573956077868</v>
      </c>
      <c r="CR83" s="35">
        <f t="shared" ca="1" si="183"/>
        <v>710.57070226885935</v>
      </c>
      <c r="CS83" s="35">
        <f t="shared" ca="1" si="183"/>
        <v>710.62676423110167</v>
      </c>
      <c r="CT83" s="35">
        <f t="shared" ca="1" si="183"/>
        <v>710.68394743258887</v>
      </c>
      <c r="CU83" s="35">
        <f t="shared" ca="1" si="183"/>
        <v>710.74227429810583</v>
      </c>
      <c r="CV83" s="35">
        <f t="shared" ca="1" si="183"/>
        <v>710.80176770093306</v>
      </c>
      <c r="CW83" s="35">
        <f t="shared" ca="1" si="183"/>
        <v>710.86245097181688</v>
      </c>
      <c r="CX83" s="35">
        <f t="shared" ca="1" si="183"/>
        <v>710.92434790811831</v>
      </c>
      <c r="CY83" s="35">
        <f t="shared" ca="1" si="183"/>
        <v>710.98748278314588</v>
      </c>
      <c r="CZ83" s="35">
        <f t="shared" ca="1" si="183"/>
        <v>711.05188035567392</v>
      </c>
      <c r="DA83" s="35">
        <f t="shared" ca="1" si="183"/>
        <v>711.1175658796526</v>
      </c>
      <c r="DB83" s="35">
        <f t="shared" ca="1" si="183"/>
        <v>711.18794961183289</v>
      </c>
      <c r="DC83" s="35">
        <f t="shared" ca="1" si="183"/>
        <v>711.25644429820443</v>
      </c>
      <c r="DD83" s="35">
        <f t="shared" ca="1" si="183"/>
        <v>711.32630887830339</v>
      </c>
      <c r="DE83" s="35">
        <f t="shared" ca="1" si="183"/>
        <v>711.39757075000443</v>
      </c>
      <c r="DF83" s="35">
        <f t="shared" ca="1" si="183"/>
        <v>711.47025785913934</v>
      </c>
      <c r="DG83" s="35">
        <f t="shared" ca="1" si="183"/>
        <v>711.54439871045702</v>
      </c>
      <c r="DH83" s="35">
        <f t="shared" ca="1" si="183"/>
        <v>711.62002237880108</v>
      </c>
      <c r="DI83" s="35">
        <f t="shared" ca="1" si="183"/>
        <v>711.69715852051195</v>
      </c>
      <c r="DJ83" s="35">
        <f t="shared" ca="1" si="183"/>
        <v>711.77583738505712</v>
      </c>
      <c r="DK83" s="35">
        <f t="shared" ca="1" si="183"/>
        <v>711.85608982689314</v>
      </c>
      <c r="DL83" s="35">
        <f t="shared" ca="1" si="183"/>
        <v>711.93794731756589</v>
      </c>
      <c r="DM83" s="35">
        <f t="shared" ca="1" si="183"/>
        <v>712.02144195805204</v>
      </c>
      <c r="DN83" s="35">
        <f t="shared" ca="1" si="183"/>
        <v>712.02559257303653</v>
      </c>
      <c r="DO83" s="35">
        <f t="shared" ca="1" si="183"/>
        <v>712.02982620032071</v>
      </c>
      <c r="DP83" s="35">
        <f t="shared" ca="1" si="183"/>
        <v>712.03414450015055</v>
      </c>
      <c r="DQ83" s="35">
        <f t="shared" ca="1" si="183"/>
        <v>712.03854916597709</v>
      </c>
      <c r="DR83" s="35">
        <f t="shared" ca="1" si="183"/>
        <v>712.04304192512006</v>
      </c>
      <c r="DS83" s="35">
        <f t="shared" ca="1" si="183"/>
        <v>712.04762453944591</v>
      </c>
      <c r="DT83" s="35">
        <f t="shared" ca="1" si="183"/>
        <v>712.05229880605827</v>
      </c>
      <c r="DU83" s="35">
        <f t="shared" ca="1" si="183"/>
        <v>712.05706655800282</v>
      </c>
      <c r="DV83" s="35">
        <f t="shared" ca="1" si="183"/>
        <v>712.06192966498634</v>
      </c>
      <c r="DW83" s="35">
        <f t="shared" ca="1" si="183"/>
        <v>712.06689003410952</v>
      </c>
      <c r="DX83" s="35">
        <f t="shared" ca="1" si="183"/>
        <v>712.07194961061521</v>
      </c>
      <c r="DY83" s="35">
        <f t="shared" ca="1" si="183"/>
        <v>712.0771103786509</v>
      </c>
    </row>
    <row r="84" spans="2:129" outlineLevel="1">
      <c r="D84" s="5" t="s">
        <v>142</v>
      </c>
      <c r="F84" s="5" t="s">
        <v>262</v>
      </c>
      <c r="H84" s="35"/>
      <c r="I84" s="592">
        <f>'Model Assumptions'!J27</f>
        <v>5000</v>
      </c>
      <c r="J84" s="35">
        <f ca="1">+I84+J83</f>
        <v>5213.8209767600902</v>
      </c>
      <c r="K84" s="35">
        <f t="shared" ref="K84:R84" ca="1" si="184">+J84+K83</f>
        <v>5431.7219535201803</v>
      </c>
      <c r="L84" s="35">
        <f t="shared" ca="1" si="184"/>
        <v>5653.7845302802707</v>
      </c>
      <c r="M84" s="35">
        <f t="shared" ca="1" si="184"/>
        <v>5880.0919390403606</v>
      </c>
      <c r="N84" s="35">
        <f t="shared" ca="1" si="184"/>
        <v>6110.7290764404506</v>
      </c>
      <c r="O84" s="35">
        <f t="shared" ca="1" si="184"/>
        <v>6345.782537053341</v>
      </c>
      <c r="P84" s="35">
        <f t="shared" ca="1" si="184"/>
        <v>6585.3406473432869</v>
      </c>
      <c r="Q84" s="35">
        <f t="shared" ca="1" si="184"/>
        <v>6829.4935003038299</v>
      </c>
      <c r="R84" s="35">
        <f t="shared" ca="1" si="184"/>
        <v>7078.3329907883826</v>
      </c>
      <c r="S84" s="35">
        <f t="shared" ref="S84:CC84" ca="1" si="185">+R84+S83</f>
        <v>7331.952851547424</v>
      </c>
      <c r="T84" s="35">
        <f t="shared" ca="1" si="185"/>
        <v>7590.4486899864451</v>
      </c>
      <c r="U84" s="35">
        <f t="shared" ca="1" si="185"/>
        <v>7853.9180256590444</v>
      </c>
      <c r="V84" s="35">
        <f ca="1">+U84+V83</f>
        <v>8122.4603285098938</v>
      </c>
      <c r="W84" s="35">
        <f t="shared" ca="1" si="185"/>
        <v>8396.1770578825581</v>
      </c>
      <c r="X84" s="35">
        <f t="shared" ca="1" si="185"/>
        <v>8675.1717023074743</v>
      </c>
      <c r="Y84" s="35">
        <f t="shared" ca="1" si="185"/>
        <v>8959.5498200856873</v>
      </c>
      <c r="Z84" s="35">
        <f t="shared" ca="1" si="185"/>
        <v>9249.4190806842635</v>
      </c>
      <c r="AA84" s="35">
        <f t="shared" ca="1" si="185"/>
        <v>9544.8893069596088</v>
      </c>
      <c r="AB84" s="35">
        <f t="shared" ca="1" si="185"/>
        <v>9846.072518225259</v>
      </c>
      <c r="AC84" s="35">
        <f t="shared" ca="1" si="185"/>
        <v>10153.082974181019</v>
      </c>
      <c r="AD84" s="35">
        <f t="shared" ca="1" si="185"/>
        <v>10466.037219720694</v>
      </c>
      <c r="AE84" s="35">
        <f t="shared" ca="1" si="185"/>
        <v>10785.054130635961</v>
      </c>
      <c r="AF84" s="35">
        <f t="shared" ca="1" si="185"/>
        <v>11110.254960234332</v>
      </c>
      <c r="AG84" s="35">
        <f t="shared" ca="1" si="185"/>
        <v>11441.763386889466</v>
      </c>
      <c r="AH84" s="35">
        <f t="shared" ca="1" si="185"/>
        <v>11786.684032531057</v>
      </c>
      <c r="AI84" s="35">
        <f t="shared" ca="1" si="185"/>
        <v>12138.487658831957</v>
      </c>
      <c r="AJ84" s="35">
        <f t="shared" ca="1" si="185"/>
        <v>12497.311925405351</v>
      </c>
      <c r="AK84" s="35">
        <f t="shared" ca="1" si="185"/>
        <v>12863.297245056689</v>
      </c>
      <c r="AL84" s="35">
        <f t="shared" ca="1" si="185"/>
        <v>13236.58683884753</v>
      </c>
      <c r="AM84" s="35">
        <f t="shared" ca="1" si="185"/>
        <v>13617.326792260665</v>
      </c>
      <c r="AN84" s="35">
        <f t="shared" ca="1" si="185"/>
        <v>14005.666112488538</v>
      </c>
      <c r="AO84" s="35">
        <f t="shared" ca="1" si="185"/>
        <v>14401.756786867445</v>
      </c>
      <c r="AP84" s="35">
        <f t="shared" ca="1" si="185"/>
        <v>14805.753842480408</v>
      </c>
      <c r="AQ84" s="35">
        <f t="shared" ca="1" si="185"/>
        <v>15217.815406952106</v>
      </c>
      <c r="AR84" s="35">
        <f t="shared" ca="1" si="185"/>
        <v>15638.102770459715</v>
      </c>
      <c r="AS84" s="35">
        <f t="shared" ca="1" si="185"/>
        <v>16066.780448983951</v>
      </c>
      <c r="AT84" s="35">
        <f t="shared" ca="1" si="185"/>
        <v>16504.016248825148</v>
      </c>
      <c r="AU84" s="35">
        <f t="shared" ca="1" si="185"/>
        <v>16949.981332409647</v>
      </c>
      <c r="AV84" s="35">
        <f t="shared" ca="1" si="185"/>
        <v>17404.850285412311</v>
      </c>
      <c r="AW84" s="35">
        <f t="shared" ca="1" si="185"/>
        <v>17868.801185221506</v>
      </c>
      <c r="AX84" s="35">
        <f t="shared" ca="1" si="185"/>
        <v>18342.015670773362</v>
      </c>
      <c r="AY84" s="35">
        <f t="shared" ca="1" si="185"/>
        <v>18824.67901378273</v>
      </c>
      <c r="AZ84" s="35">
        <f t="shared" ca="1" si="185"/>
        <v>19316.980191398761</v>
      </c>
      <c r="BA84" s="35">
        <f t="shared" ca="1" si="185"/>
        <v>19819.111960313592</v>
      </c>
      <c r="BB84" s="35">
        <f t="shared" ca="1" si="185"/>
        <v>20331.270932353196</v>
      </c>
      <c r="BC84" s="35">
        <f t="shared" ca="1" si="185"/>
        <v>20853.657651580066</v>
      </c>
      <c r="BD84" s="35">
        <f t="shared" ca="1" si="185"/>
        <v>21386.476672937952</v>
      </c>
      <c r="BE84" s="35">
        <f t="shared" ca="1" si="185"/>
        <v>21929.936642469471</v>
      </c>
      <c r="BF84" s="35">
        <f t="shared" ca="1" si="185"/>
        <v>22484.798662270725</v>
      </c>
      <c r="BG84" s="35">
        <f t="shared" ca="1" si="185"/>
        <v>23050.756709989579</v>
      </c>
      <c r="BH84" s="35">
        <f t="shared" ca="1" si="185"/>
        <v>23628.032706184385</v>
      </c>
      <c r="BI84" s="35">
        <f t="shared" ca="1" si="185"/>
        <v>24216.853009824663</v>
      </c>
      <c r="BJ84" s="35">
        <f t="shared" ca="1" si="185"/>
        <v>24817.448507059318</v>
      </c>
      <c r="BK84" s="35">
        <f t="shared" ca="1" si="185"/>
        <v>25430.05470176024</v>
      </c>
      <c r="BL84" s="35">
        <f t="shared" ca="1" si="185"/>
        <v>26054.911807876757</v>
      </c>
      <c r="BM84" s="35">
        <f t="shared" ca="1" si="185"/>
        <v>26692.264843637178</v>
      </c>
      <c r="BN84" s="35">
        <f t="shared" ca="1" si="185"/>
        <v>27342.363727634383</v>
      </c>
      <c r="BO84" s="35">
        <f t="shared" ca="1" si="185"/>
        <v>28005.463376833104</v>
      </c>
      <c r="BP84" s="35">
        <f t="shared" ca="1" si="185"/>
        <v>28681.823806537373</v>
      </c>
      <c r="BQ84" s="35">
        <f t="shared" ca="1" si="185"/>
        <v>29371.710232357305</v>
      </c>
      <c r="BR84" s="35">
        <f t="shared" ca="1" si="185"/>
        <v>30062.269051061747</v>
      </c>
      <c r="BS84" s="35">
        <f t="shared" ca="1" si="185"/>
        <v>30753.513710508389</v>
      </c>
      <c r="BT84" s="35">
        <f t="shared" ca="1" si="185"/>
        <v>31445.457927512078</v>
      </c>
      <c r="BU84" s="35">
        <f t="shared" ca="1" si="185"/>
        <v>32138.115693223954</v>
      </c>
      <c r="BV84" s="35">
        <f t="shared" ca="1" si="185"/>
        <v>32831.501278618176</v>
      </c>
      <c r="BW84" s="35">
        <f t="shared" ca="1" si="185"/>
        <v>33525.629240088398</v>
      </c>
      <c r="BX84" s="35">
        <f t="shared" ca="1" si="185"/>
        <v>34220.514425156136</v>
      </c>
      <c r="BY84" s="35">
        <f t="shared" ca="1" si="185"/>
        <v>34916.171978293343</v>
      </c>
      <c r="BZ84" s="35">
        <f t="shared" ca="1" si="185"/>
        <v>35612.617346861407</v>
      </c>
      <c r="CA84" s="35">
        <f t="shared" ca="1" si="185"/>
        <v>36309.866287168945</v>
      </c>
      <c r="CB84" s="35">
        <f t="shared" ca="1" si="185"/>
        <v>37007.934870650744</v>
      </c>
      <c r="CC84" s="35">
        <f t="shared" ca="1" si="185"/>
        <v>37706.839490170292</v>
      </c>
      <c r="CD84" s="35">
        <f t="shared" ref="CD84:DY84" ca="1" si="186">+CC84+CD83</f>
        <v>38406.639943855575</v>
      </c>
      <c r="CE84" s="35">
        <f t="shared" ca="1" si="186"/>
        <v>39107.312188199321</v>
      </c>
      <c r="CF84" s="35">
        <f t="shared" ca="1" si="186"/>
        <v>39808.873659014702</v>
      </c>
      <c r="CG84" s="35">
        <f t="shared" ca="1" si="186"/>
        <v>40511.342140831148</v>
      </c>
      <c r="CH84" s="35">
        <f t="shared" ca="1" si="186"/>
        <v>41214.735773868684</v>
      </c>
      <c r="CI84" s="35">
        <f t="shared" ca="1" si="186"/>
        <v>41919.073061151728</v>
      </c>
      <c r="CJ84" s="35">
        <f t="shared" ca="1" si="186"/>
        <v>42624.372875765192</v>
      </c>
      <c r="CK84" s="35">
        <f t="shared" ca="1" si="186"/>
        <v>43330.654468255685</v>
      </c>
      <c r="CL84" s="35">
        <f t="shared" ca="1" si="186"/>
        <v>44037.937474180748</v>
      </c>
      <c r="CM84" s="35">
        <f t="shared" ca="1" si="186"/>
        <v>44746.241921809065</v>
      </c>
      <c r="CN84" s="35">
        <f t="shared" ca="1" si="186"/>
        <v>45455.588239974713</v>
      </c>
      <c r="CO84" s="35">
        <f t="shared" ca="1" si="186"/>
        <v>46165.99726608843</v>
      </c>
      <c r="CP84" s="35">
        <f t="shared" ca="1" si="186"/>
        <v>46876.459120641288</v>
      </c>
      <c r="CQ84" s="35">
        <f t="shared" ca="1" si="186"/>
        <v>47586.97486020207</v>
      </c>
      <c r="CR84" s="35">
        <f t="shared" ca="1" si="186"/>
        <v>48297.545562470928</v>
      </c>
      <c r="CS84" s="35">
        <f t="shared" ca="1" si="186"/>
        <v>49008.172326702028</v>
      </c>
      <c r="CT84" s="35">
        <f t="shared" ca="1" si="186"/>
        <v>49718.856274134618</v>
      </c>
      <c r="CU84" s="35">
        <f t="shared" ca="1" si="186"/>
        <v>50429.598548432725</v>
      </c>
      <c r="CV84" s="35">
        <f t="shared" ca="1" si="186"/>
        <v>51140.400316133659</v>
      </c>
      <c r="CW84" s="35">
        <f t="shared" ca="1" si="186"/>
        <v>51851.262767105472</v>
      </c>
      <c r="CX84" s="35">
        <f t="shared" ca="1" si="186"/>
        <v>52562.187115013592</v>
      </c>
      <c r="CY84" s="35">
        <f t="shared" ca="1" si="186"/>
        <v>53273.174597796737</v>
      </c>
      <c r="CZ84" s="35">
        <f t="shared" ca="1" si="186"/>
        <v>53984.226478152414</v>
      </c>
      <c r="DA84" s="35">
        <f t="shared" ca="1" si="186"/>
        <v>54695.344044032063</v>
      </c>
      <c r="DB84" s="35">
        <f t="shared" ca="1" si="186"/>
        <v>55406.531993643897</v>
      </c>
      <c r="DC84" s="35">
        <f t="shared" ca="1" si="186"/>
        <v>56117.788437942101</v>
      </c>
      <c r="DD84" s="35">
        <f t="shared" ca="1" si="186"/>
        <v>56829.114746820407</v>
      </c>
      <c r="DE84" s="35">
        <f t="shared" ca="1" si="186"/>
        <v>57540.512317570414</v>
      </c>
      <c r="DF84" s="35">
        <f t="shared" ca="1" si="186"/>
        <v>58251.982575429553</v>
      </c>
      <c r="DG84" s="35">
        <f t="shared" ca="1" si="186"/>
        <v>58963.526974140012</v>
      </c>
      <c r="DH84" s="35">
        <f t="shared" ca="1" si="186"/>
        <v>59675.146996518815</v>
      </c>
      <c r="DI84" s="35">
        <f t="shared" ca="1" si="186"/>
        <v>60386.844155039325</v>
      </c>
      <c r="DJ84" s="35">
        <f t="shared" ca="1" si="186"/>
        <v>61098.619992424385</v>
      </c>
      <c r="DK84" s="35">
        <f t="shared" ca="1" si="186"/>
        <v>61810.476082251276</v>
      </c>
      <c r="DL84" s="35">
        <f t="shared" ca="1" si="186"/>
        <v>62522.414029568841</v>
      </c>
      <c r="DM84" s="35">
        <f t="shared" ca="1" si="186"/>
        <v>63234.435471526893</v>
      </c>
      <c r="DN84" s="35">
        <f t="shared" ca="1" si="186"/>
        <v>63946.461064099931</v>
      </c>
      <c r="DO84" s="35">
        <f t="shared" ca="1" si="186"/>
        <v>64658.490890300251</v>
      </c>
      <c r="DP84" s="35">
        <f t="shared" ca="1" si="186"/>
        <v>65370.525034800405</v>
      </c>
      <c r="DQ84" s="35">
        <f t="shared" ca="1" si="186"/>
        <v>66082.563583966388</v>
      </c>
      <c r="DR84" s="35">
        <f t="shared" ca="1" si="186"/>
        <v>66794.606625891509</v>
      </c>
      <c r="DS84" s="35">
        <f t="shared" ca="1" si="186"/>
        <v>67506.654250430962</v>
      </c>
      <c r="DT84" s="35">
        <f t="shared" ca="1" si="186"/>
        <v>68218.706549237017</v>
      </c>
      <c r="DU84" s="35">
        <f t="shared" ca="1" si="186"/>
        <v>68930.763615795018</v>
      </c>
      <c r="DV84" s="35">
        <f t="shared" ca="1" si="186"/>
        <v>69642.82554546</v>
      </c>
      <c r="DW84" s="35">
        <f t="shared" ca="1" si="186"/>
        <v>70354.892435494112</v>
      </c>
      <c r="DX84" s="35">
        <f t="shared" ca="1" si="186"/>
        <v>71066.964385104729</v>
      </c>
      <c r="DY84" s="35">
        <f t="shared" ca="1" si="186"/>
        <v>71779.041495483383</v>
      </c>
    </row>
    <row r="85" spans="2:129" outlineLevel="1">
      <c r="J85" s="91"/>
      <c r="K85" s="35"/>
      <c r="L85" s="91"/>
      <c r="M85" s="35"/>
      <c r="N85" s="91"/>
      <c r="O85" s="35"/>
      <c r="P85" s="91"/>
      <c r="Q85" s="91"/>
      <c r="R85" s="35"/>
      <c r="S85" s="35"/>
      <c r="T85" s="35"/>
      <c r="U85" s="35"/>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row>
    <row r="86" spans="2:129" outlineLevel="1">
      <c r="B86" s="6" t="s">
        <v>216</v>
      </c>
      <c r="J86" s="91"/>
      <c r="K86" s="35"/>
      <c r="L86" s="91"/>
      <c r="M86" s="35"/>
      <c r="N86" s="91"/>
      <c r="O86" s="35"/>
      <c r="P86" s="91"/>
      <c r="Q86" s="91"/>
      <c r="R86" s="35"/>
      <c r="S86" s="35"/>
      <c r="T86" s="35"/>
      <c r="U86" s="35"/>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row>
    <row r="87" spans="2:129" outlineLevel="1">
      <c r="C87" s="5" t="s">
        <v>4</v>
      </c>
      <c r="F87" s="5" t="s">
        <v>218</v>
      </c>
      <c r="J87" s="35">
        <f>I93</f>
        <v>100</v>
      </c>
      <c r="K87" s="35">
        <f t="shared" ref="K87:BV87" ca="1" si="187">J93</f>
        <v>198.05370697197293</v>
      </c>
      <c r="L87" s="35">
        <f t="shared" ca="1" si="187"/>
        <v>297.16687687422615</v>
      </c>
      <c r="M87" s="35">
        <f t="shared" ca="1" si="187"/>
        <v>397.36971507745676</v>
      </c>
      <c r="N87" s="35">
        <f t="shared" ca="1" si="187"/>
        <v>498.69294089865514</v>
      </c>
      <c r="O87" s="35">
        <f t="shared" ca="1" si="187"/>
        <v>601.16779878164164</v>
      </c>
      <c r="P87" s="35">
        <f t="shared" ca="1" si="187"/>
        <v>704.82606969219819</v>
      </c>
      <c r="Q87" s="35">
        <f t="shared" ca="1" si="187"/>
        <v>809.70008273217718</v>
      </c>
      <c r="R87" s="35">
        <f t="shared" ca="1" si="187"/>
        <v>915.82272697705491</v>
      </c>
      <c r="S87" s="35">
        <f t="shared" ca="1" si="187"/>
        <v>1023.2274635414883</v>
      </c>
      <c r="T87" s="35">
        <f t="shared" ca="1" si="187"/>
        <v>1131.9483378775219</v>
      </c>
      <c r="U87" s="35">
        <f t="shared" ca="1" si="187"/>
        <v>1242.0199923101848</v>
      </c>
      <c r="V87" s="35">
        <f t="shared" ca="1" si="187"/>
        <v>1353.4776788153104</v>
      </c>
      <c r="W87" s="35">
        <f t="shared" ca="1" si="187"/>
        <v>1466.3572720445097</v>
      </c>
      <c r="X87" s="35">
        <f t="shared" ca="1" si="187"/>
        <v>1580.6952826023248</v>
      </c>
      <c r="Y87" s="35">
        <f t="shared" ca="1" si="187"/>
        <v>1696.5288705806875</v>
      </c>
      <c r="Z87" s="35">
        <f t="shared" ca="1" si="187"/>
        <v>1813.8958593559146</v>
      </c>
      <c r="AA87" s="35">
        <f t="shared" ca="1" si="187"/>
        <v>1932.8347496535707</v>
      </c>
      <c r="AB87" s="35">
        <f t="shared" ca="1" si="187"/>
        <v>2053.3847338866353</v>
      </c>
      <c r="AC87" s="35">
        <f t="shared" ca="1" si="187"/>
        <v>2175.5857107725219</v>
      </c>
      <c r="AD87" s="35">
        <f t="shared" ca="1" si="187"/>
        <v>2299.4783002346053</v>
      </c>
      <c r="AE87" s="35">
        <f t="shared" ca="1" si="187"/>
        <v>2425.103858594025</v>
      </c>
      <c r="AF87" s="35">
        <f t="shared" ca="1" si="187"/>
        <v>2552.5044940576458</v>
      </c>
      <c r="AG87" s="35">
        <f t="shared" ca="1" si="187"/>
        <v>2681.723082508182</v>
      </c>
      <c r="AH87" s="35">
        <f t="shared" ca="1" si="187"/>
        <v>2812.8032836025959</v>
      </c>
      <c r="AI87" s="35">
        <f t="shared" ca="1" si="187"/>
        <v>2876.3791130840868</v>
      </c>
      <c r="AJ87" s="35">
        <f t="shared" ca="1" si="187"/>
        <v>2941.1578911931701</v>
      </c>
      <c r="AK87" s="35">
        <f t="shared" ca="1" si="187"/>
        <v>3007.1643625820188</v>
      </c>
      <c r="AL87" s="35">
        <f t="shared" ca="1" si="187"/>
        <v>3074.4237599390517</v>
      </c>
      <c r="AM87" s="35">
        <f t="shared" ca="1" si="187"/>
        <v>3142.9618138182282</v>
      </c>
      <c r="AN87" s="35">
        <f t="shared" ca="1" si="187"/>
        <v>3212.804762664241</v>
      </c>
      <c r="AO87" s="35">
        <f t="shared" ca="1" si="187"/>
        <v>3283.9793630375343</v>
      </c>
      <c r="AP87" s="35">
        <f t="shared" ca="1" si="187"/>
        <v>3356.5129000431507</v>
      </c>
      <c r="AQ87" s="35">
        <f t="shared" ca="1" si="187"/>
        <v>3430.433197967488</v>
      </c>
      <c r="AR87" s="35">
        <f t="shared" ca="1" si="187"/>
        <v>3505.7686311271341</v>
      </c>
      <c r="AS87" s="35">
        <f t="shared" ca="1" si="187"/>
        <v>3582.5481349340275</v>
      </c>
      <c r="AT87" s="35">
        <f t="shared" ca="1" si="187"/>
        <v>3660.8012171812725</v>
      </c>
      <c r="AU87" s="35">
        <f t="shared" ca="1" si="187"/>
        <v>3740.5579695540337</v>
      </c>
      <c r="AV87" s="35">
        <f t="shared" ca="1" si="187"/>
        <v>3821.8490793700157</v>
      </c>
      <c r="AW87" s="35">
        <f t="shared" ca="1" si="187"/>
        <v>3904.7058415541255</v>
      </c>
      <c r="AX87" s="35">
        <f t="shared" ca="1" si="187"/>
        <v>3989.160170852007</v>
      </c>
      <c r="AY87" s="35">
        <f t="shared" ca="1" si="187"/>
        <v>4075.2446142872363</v>
      </c>
      <c r="AZ87" s="35">
        <f t="shared" ca="1" si="187"/>
        <v>4162.9923638670443</v>
      </c>
      <c r="BA87" s="35">
        <f t="shared" ca="1" si="187"/>
        <v>4252.4372695415659</v>
      </c>
      <c r="BB87" s="35">
        <f t="shared" ca="1" si="187"/>
        <v>4343.6138524216622</v>
      </c>
      <c r="BC87" s="35">
        <f t="shared" ca="1" si="187"/>
        <v>4436.5573182605258</v>
      </c>
      <c r="BD87" s="35">
        <f t="shared" ca="1" si="187"/>
        <v>4531.3035712043193</v>
      </c>
      <c r="BE87" s="35">
        <f t="shared" ca="1" si="187"/>
        <v>4627.8892278172607</v>
      </c>
      <c r="BF87" s="35">
        <f t="shared" ca="1" si="187"/>
        <v>4726.3516313866294</v>
      </c>
      <c r="BG87" s="35">
        <f t="shared" ca="1" si="187"/>
        <v>4821.2754396459286</v>
      </c>
      <c r="BH87" s="35">
        <f t="shared" ca="1" si="187"/>
        <v>4918.0941200576262</v>
      </c>
      <c r="BI87" s="35">
        <f t="shared" ca="1" si="187"/>
        <v>5016.8456061048973</v>
      </c>
      <c r="BJ87" s="35">
        <f t="shared" ca="1" si="187"/>
        <v>5117.5685895801807</v>
      </c>
      <c r="BK87" s="35">
        <f t="shared" ca="1" si="187"/>
        <v>5220.3025357549659</v>
      </c>
      <c r="BL87" s="35">
        <f t="shared" ca="1" si="187"/>
        <v>5325.0876988529426</v>
      </c>
      <c r="BM87" s="35">
        <f t="shared" ca="1" si="187"/>
        <v>5431.965137832578</v>
      </c>
      <c r="BN87" s="35">
        <f t="shared" ca="1" si="187"/>
        <v>5540.9767324853083</v>
      </c>
      <c r="BO87" s="35">
        <f t="shared" ca="1" si="187"/>
        <v>5652.1651998556599</v>
      </c>
      <c r="BP87" s="35">
        <f t="shared" ca="1" si="187"/>
        <v>5765.5741109897399</v>
      </c>
      <c r="BQ87" s="35">
        <f t="shared" ca="1" si="187"/>
        <v>5881.2479080186586</v>
      </c>
      <c r="BR87" s="35">
        <f t="shared" ca="1" si="187"/>
        <v>5999.2319215835923</v>
      </c>
      <c r="BS87" s="35">
        <f t="shared" ca="1" si="187"/>
        <v>6113.0103270325762</v>
      </c>
      <c r="BT87" s="35">
        <f t="shared" ca="1" si="187"/>
        <v>6222.564665087164</v>
      </c>
      <c r="BU87" s="35">
        <f t="shared" ca="1" si="187"/>
        <v>6327.8754507545009</v>
      </c>
      <c r="BV87" s="35">
        <f t="shared" ca="1" si="187"/>
        <v>6428.9221593783259</v>
      </c>
      <c r="BW87" s="35">
        <f t="shared" ref="BW87:CC87" ca="1" si="188">BV93</f>
        <v>6525.683212345336</v>
      </c>
      <c r="BX87" s="35">
        <f t="shared" ca="1" si="188"/>
        <v>6618.1359624406887</v>
      </c>
      <c r="BY87" s="35">
        <f t="shared" ca="1" si="188"/>
        <v>6706.2566788462618</v>
      </c>
      <c r="BZ87" s="35">
        <f t="shared" ca="1" si="188"/>
        <v>6790.0205317751743</v>
      </c>
      <c r="CA87" s="35">
        <f t="shared" ca="1" si="188"/>
        <v>6869.4015767359433</v>
      </c>
      <c r="CB87" s="35">
        <f t="shared" ca="1" si="188"/>
        <v>6944.3727384194708</v>
      </c>
      <c r="CC87" s="35">
        <f t="shared" ca="1" si="188"/>
        <v>7014.905794201979</v>
      </c>
      <c r="CD87" s="35">
        <f t="shared" ref="CD87:DY87" ca="1" si="189">CC93</f>
        <v>7080.9713572567925</v>
      </c>
      <c r="CE87" s="35">
        <f t="shared" ca="1" si="189"/>
        <v>7142.1103954395712</v>
      </c>
      <c r="CF87" s="35">
        <f t="shared" ca="1" si="189"/>
        <v>7198.7149852774319</v>
      </c>
      <c r="CG87" s="35">
        <f t="shared" ca="1" si="189"/>
        <v>7250.752010094564</v>
      </c>
      <c r="CH87" s="35">
        <f t="shared" ca="1" si="189"/>
        <v>7298.1871151587256</v>
      </c>
      <c r="CI87" s="35">
        <f t="shared" ca="1" si="189"/>
        <v>7340.9846886773503</v>
      </c>
      <c r="CJ87" s="35">
        <f t="shared" ca="1" si="189"/>
        <v>7379.1078423559957</v>
      </c>
      <c r="CK87" s="35">
        <f t="shared" ca="1" si="189"/>
        <v>7412.5183915109656</v>
      </c>
      <c r="CL87" s="35">
        <f t="shared" ca="1" si="189"/>
        <v>7441.1768347277593</v>
      </c>
      <c r="CM87" s="35">
        <f t="shared" ca="1" si="189"/>
        <v>7465.0423330568274</v>
      </c>
      <c r="CN87" s="35">
        <f t="shared" ca="1" si="189"/>
        <v>7484.0726887379351</v>
      </c>
      <c r="CO87" s="35">
        <f t="shared" ca="1" si="189"/>
        <v>7498.2243234442667</v>
      </c>
      <c r="CP87" s="35">
        <f t="shared" ca="1" si="189"/>
        <v>7507.4522560372125</v>
      </c>
      <c r="CQ87" s="35">
        <f t="shared" ca="1" si="189"/>
        <v>7516.3501813281027</v>
      </c>
      <c r="CR87" s="35">
        <f t="shared" ca="1" si="189"/>
        <v>7524.9166448304331</v>
      </c>
      <c r="CS87" s="35">
        <f t="shared" ca="1" si="189"/>
        <v>7533.150111511377</v>
      </c>
      <c r="CT87" s="35">
        <f t="shared" ca="1" si="189"/>
        <v>7541.0489646954211</v>
      </c>
      <c r="CU87" s="35">
        <f t="shared" ca="1" si="189"/>
        <v>7548.6115049409318</v>
      </c>
      <c r="CV87" s="35">
        <f t="shared" ca="1" si="189"/>
        <v>7555.835948889162</v>
      </c>
      <c r="CW87" s="35">
        <f t="shared" ca="1" si="189"/>
        <v>7562.7204280851865</v>
      </c>
      <c r="CX87" s="35">
        <f t="shared" ca="1" si="189"/>
        <v>7569.262987770273</v>
      </c>
      <c r="CY87" s="35">
        <f t="shared" ca="1" si="189"/>
        <v>7575.4615856451519</v>
      </c>
      <c r="CZ87" s="35">
        <f t="shared" ca="1" si="189"/>
        <v>7581.3140906036588</v>
      </c>
      <c r="DA87" s="35">
        <f t="shared" ca="1" si="189"/>
        <v>7586.8182814362044</v>
      </c>
      <c r="DB87" s="35">
        <f t="shared" ca="1" si="189"/>
        <v>7591.9718455025204</v>
      </c>
      <c r="DC87" s="35">
        <f t="shared" ca="1" si="189"/>
        <v>7596.7387139067159</v>
      </c>
      <c r="DD87" s="35">
        <f t="shared" ca="1" si="189"/>
        <v>7601.1496875381972</v>
      </c>
      <c r="DE87" s="35">
        <f t="shared" ca="1" si="189"/>
        <v>7605.2021608229188</v>
      </c>
      <c r="DF87" s="35">
        <f t="shared" ca="1" si="189"/>
        <v>7608.8934309521392</v>
      </c>
      <c r="DG87" s="35">
        <f t="shared" ca="1" si="189"/>
        <v>7612.2206963889594</v>
      </c>
      <c r="DH87" s="35">
        <f t="shared" ca="1" si="189"/>
        <v>7615.1810553404821</v>
      </c>
      <c r="DI87" s="35">
        <f t="shared" ca="1" si="189"/>
        <v>7617.7715041949414</v>
      </c>
      <c r="DJ87" s="35">
        <f t="shared" ca="1" si="189"/>
        <v>7619.9889359231574</v>
      </c>
      <c r="DK87" s="35">
        <f t="shared" ca="1" si="189"/>
        <v>7621.8301384436381</v>
      </c>
      <c r="DL87" s="35">
        <f t="shared" ca="1" si="189"/>
        <v>7623.2917929506521</v>
      </c>
      <c r="DM87" s="35">
        <f t="shared" ca="1" si="189"/>
        <v>7624.3704722045677</v>
      </c>
      <c r="DN87" s="35">
        <f t="shared" ca="1" si="189"/>
        <v>7625.0626387837565</v>
      </c>
      <c r="DO87" s="35">
        <f t="shared" ca="1" si="189"/>
        <v>7625.7292059297233</v>
      </c>
      <c r="DP87" s="35">
        <f t="shared" ca="1" si="189"/>
        <v>7626.3700560814514</v>
      </c>
      <c r="DQ87" s="35">
        <f t="shared" ca="1" si="189"/>
        <v>7626.9850653824278</v>
      </c>
      <c r="DR87" s="35">
        <f t="shared" ca="1" si="189"/>
        <v>7627.5741035941755</v>
      </c>
      <c r="DS87" s="35">
        <f t="shared" ca="1" si="189"/>
        <v>7628.1370340076628</v>
      </c>
      <c r="DT87" s="35">
        <f t="shared" ca="1" si="189"/>
        <v>7628.6737133525485</v>
      </c>
      <c r="DU87" s="35">
        <f t="shared" ca="1" si="189"/>
        <v>7629.1839917042307</v>
      </c>
      <c r="DV87" s="35">
        <f t="shared" ca="1" si="189"/>
        <v>7629.6677123886448</v>
      </c>
      <c r="DW87" s="35">
        <f t="shared" ca="1" si="189"/>
        <v>7630.1247118847878</v>
      </c>
      <c r="DX87" s="35">
        <f t="shared" ca="1" si="189"/>
        <v>7630.5548197249163</v>
      </c>
      <c r="DY87" s="35">
        <f t="shared" ca="1" si="189"/>
        <v>7630.9578583923685</v>
      </c>
    </row>
    <row r="88" spans="2:129" outlineLevel="1">
      <c r="C88" s="79" t="s">
        <v>5</v>
      </c>
      <c r="D88" s="55" t="s">
        <v>317</v>
      </c>
      <c r="E88" s="55"/>
      <c r="F88" s="55" t="s">
        <v>219</v>
      </c>
      <c r="G88" s="55"/>
      <c r="H88" s="55"/>
      <c r="I88" s="55"/>
      <c r="J88" s="137">
        <f>+J17</f>
        <v>102</v>
      </c>
      <c r="K88" s="137">
        <f t="shared" ref="K88:AO88" si="190">+K17</f>
        <v>104.04</v>
      </c>
      <c r="L88" s="137">
        <f t="shared" si="190"/>
        <v>106.1208</v>
      </c>
      <c r="M88" s="137">
        <f t="shared" si="190"/>
        <v>108.243216</v>
      </c>
      <c r="N88" s="137">
        <f t="shared" si="190"/>
        <v>110.40808032000001</v>
      </c>
      <c r="O88" s="137">
        <f t="shared" si="190"/>
        <v>112.61624192640001</v>
      </c>
      <c r="P88" s="137">
        <f t="shared" si="190"/>
        <v>114.868566764928</v>
      </c>
      <c r="Q88" s="137">
        <f t="shared" si="190"/>
        <v>117.16593810022657</v>
      </c>
      <c r="R88" s="137">
        <f t="shared" si="190"/>
        <v>119.5092568622311</v>
      </c>
      <c r="S88" s="137">
        <f t="shared" si="190"/>
        <v>121.89944199947573</v>
      </c>
      <c r="T88" s="137">
        <f t="shared" si="190"/>
        <v>124.33743083946524</v>
      </c>
      <c r="U88" s="137">
        <f t="shared" si="190"/>
        <v>126.82417945625456</v>
      </c>
      <c r="V88" s="137">
        <f t="shared" si="190"/>
        <v>129.36066304537965</v>
      </c>
      <c r="W88" s="137">
        <f t="shared" si="190"/>
        <v>131.94787630628724</v>
      </c>
      <c r="X88" s="137">
        <f t="shared" si="190"/>
        <v>134.58683383241299</v>
      </c>
      <c r="Y88" s="137">
        <f t="shared" si="190"/>
        <v>137.27857050906127</v>
      </c>
      <c r="Z88" s="137">
        <f t="shared" si="190"/>
        <v>140.02414191924251</v>
      </c>
      <c r="AA88" s="137">
        <f t="shared" si="190"/>
        <v>142.82462475762736</v>
      </c>
      <c r="AB88" s="137">
        <f t="shared" si="190"/>
        <v>145.6811172527799</v>
      </c>
      <c r="AC88" s="137">
        <f t="shared" si="190"/>
        <v>148.59473959783551</v>
      </c>
      <c r="AD88" s="137">
        <f t="shared" si="190"/>
        <v>151.56663438979223</v>
      </c>
      <c r="AE88" s="137">
        <f t="shared" si="190"/>
        <v>154.59796707758807</v>
      </c>
      <c r="AF88" s="137">
        <f t="shared" si="190"/>
        <v>157.68992641913982</v>
      </c>
      <c r="AG88" s="137">
        <f t="shared" si="190"/>
        <v>160.84372494752262</v>
      </c>
      <c r="AH88" s="137">
        <f t="shared" si="190"/>
        <v>164.06059944647308</v>
      </c>
      <c r="AI88" s="137">
        <f t="shared" si="190"/>
        <v>167.34181143540255</v>
      </c>
      <c r="AJ88" s="137">
        <f t="shared" si="190"/>
        <v>170.68864766411059</v>
      </c>
      <c r="AK88" s="137">
        <f t="shared" si="190"/>
        <v>174.1024206173928</v>
      </c>
      <c r="AL88" s="137">
        <f t="shared" si="190"/>
        <v>177.58446902974066</v>
      </c>
      <c r="AM88" s="137">
        <f t="shared" si="190"/>
        <v>181.13615841033547</v>
      </c>
      <c r="AN88" s="137">
        <f t="shared" si="190"/>
        <v>184.75888157854217</v>
      </c>
      <c r="AO88" s="137">
        <f t="shared" si="190"/>
        <v>188.45405921011303</v>
      </c>
      <c r="AP88" s="137">
        <f t="shared" ref="AP88:BV88" si="191">+AP17</f>
        <v>192.22314039431529</v>
      </c>
      <c r="AQ88" s="137">
        <f t="shared" si="191"/>
        <v>196.06760320220161</v>
      </c>
      <c r="AR88" s="137">
        <f t="shared" si="191"/>
        <v>199.98895526624565</v>
      </c>
      <c r="AS88" s="137">
        <f t="shared" si="191"/>
        <v>203.98873437157056</v>
      </c>
      <c r="AT88" s="137">
        <f t="shared" si="191"/>
        <v>208.06850905900197</v>
      </c>
      <c r="AU88" s="137">
        <f t="shared" si="191"/>
        <v>212.22987924018202</v>
      </c>
      <c r="AV88" s="137">
        <f t="shared" si="191"/>
        <v>216.47447682498566</v>
      </c>
      <c r="AW88" s="137">
        <f t="shared" si="191"/>
        <v>220.80396636148538</v>
      </c>
      <c r="AX88" s="137">
        <f t="shared" si="191"/>
        <v>225.22004568871509</v>
      </c>
      <c r="AY88" s="137">
        <f t="shared" si="191"/>
        <v>229.72444660248939</v>
      </c>
      <c r="AZ88" s="137">
        <f t="shared" si="191"/>
        <v>234.31893553453918</v>
      </c>
      <c r="BA88" s="137">
        <f t="shared" si="191"/>
        <v>239.00531424522995</v>
      </c>
      <c r="BB88" s="137">
        <f t="shared" si="191"/>
        <v>243.78542053013456</v>
      </c>
      <c r="BC88" s="137">
        <f t="shared" si="191"/>
        <v>248.66112894073726</v>
      </c>
      <c r="BD88" s="137">
        <f t="shared" si="191"/>
        <v>253.63435151955201</v>
      </c>
      <c r="BE88" s="137">
        <f t="shared" si="191"/>
        <v>258.70703854994304</v>
      </c>
      <c r="BF88" s="137">
        <f t="shared" si="191"/>
        <v>263.8811793209419</v>
      </c>
      <c r="BG88" s="137">
        <f t="shared" si="191"/>
        <v>269.15880290736072</v>
      </c>
      <c r="BH88" s="137">
        <f t="shared" si="191"/>
        <v>274.54197896550795</v>
      </c>
      <c r="BI88" s="137">
        <f t="shared" si="191"/>
        <v>280.0328185448181</v>
      </c>
      <c r="BJ88" s="137">
        <f t="shared" si="191"/>
        <v>285.63347491571449</v>
      </c>
      <c r="BK88" s="137">
        <f t="shared" si="191"/>
        <v>291.3461444140288</v>
      </c>
      <c r="BL88" s="137">
        <f t="shared" si="191"/>
        <v>297.17306730230939</v>
      </c>
      <c r="BM88" s="137">
        <f t="shared" si="191"/>
        <v>303.1165286483556</v>
      </c>
      <c r="BN88" s="137">
        <f t="shared" si="191"/>
        <v>309.17885922132274</v>
      </c>
      <c r="BO88" s="137">
        <f t="shared" si="191"/>
        <v>315.36243640574918</v>
      </c>
      <c r="BP88" s="137">
        <f t="shared" si="191"/>
        <v>321.66968513386416</v>
      </c>
      <c r="BQ88" s="137">
        <f t="shared" si="191"/>
        <v>328.10307883654144</v>
      </c>
      <c r="BR88" s="137">
        <f t="shared" si="191"/>
        <v>328.10307883654144</v>
      </c>
      <c r="BS88" s="137">
        <f t="shared" si="191"/>
        <v>328.10307883654144</v>
      </c>
      <c r="BT88" s="137">
        <f t="shared" si="191"/>
        <v>328.10307883654144</v>
      </c>
      <c r="BU88" s="137">
        <f t="shared" si="191"/>
        <v>328.10307883654144</v>
      </c>
      <c r="BV88" s="137">
        <f t="shared" si="191"/>
        <v>328.10307883654144</v>
      </c>
      <c r="BW88" s="137">
        <f t="shared" ref="BW88:CC88" si="192">+BW17</f>
        <v>328.10307883654144</v>
      </c>
      <c r="BX88" s="137">
        <f t="shared" si="192"/>
        <v>328.10307883654144</v>
      </c>
      <c r="BY88" s="137">
        <f t="shared" si="192"/>
        <v>328.10307883654144</v>
      </c>
      <c r="BZ88" s="137">
        <f t="shared" si="192"/>
        <v>328.10307883654144</v>
      </c>
      <c r="CA88" s="137">
        <f t="shared" si="192"/>
        <v>328.10307883654144</v>
      </c>
      <c r="CB88" s="137">
        <f t="shared" si="192"/>
        <v>328.10307883654144</v>
      </c>
      <c r="CC88" s="137">
        <f t="shared" si="192"/>
        <v>328.10307883654144</v>
      </c>
      <c r="CD88" s="137">
        <f t="shared" ref="CD88:DY88" si="193">+CD17</f>
        <v>328.10307883654144</v>
      </c>
      <c r="CE88" s="137">
        <f t="shared" si="193"/>
        <v>328.10307883654144</v>
      </c>
      <c r="CF88" s="137">
        <f t="shared" si="193"/>
        <v>328.10307883654144</v>
      </c>
      <c r="CG88" s="137">
        <f t="shared" si="193"/>
        <v>328.10307883654144</v>
      </c>
      <c r="CH88" s="137">
        <f t="shared" si="193"/>
        <v>328.10307883654144</v>
      </c>
      <c r="CI88" s="137">
        <f t="shared" si="193"/>
        <v>328.10307883654144</v>
      </c>
      <c r="CJ88" s="137">
        <f t="shared" si="193"/>
        <v>328.10307883654144</v>
      </c>
      <c r="CK88" s="137">
        <f t="shared" si="193"/>
        <v>328.10307883654144</v>
      </c>
      <c r="CL88" s="137">
        <f t="shared" si="193"/>
        <v>328.10307883654144</v>
      </c>
      <c r="CM88" s="137">
        <f t="shared" si="193"/>
        <v>328.10307883654144</v>
      </c>
      <c r="CN88" s="137">
        <f t="shared" si="193"/>
        <v>328.10307883654144</v>
      </c>
      <c r="CO88" s="137">
        <f t="shared" si="193"/>
        <v>328.10307883654144</v>
      </c>
      <c r="CP88" s="137">
        <f t="shared" si="193"/>
        <v>328.10307883654144</v>
      </c>
      <c r="CQ88" s="137">
        <f t="shared" si="193"/>
        <v>328.10307883654144</v>
      </c>
      <c r="CR88" s="137">
        <f t="shared" si="193"/>
        <v>328.10307883654144</v>
      </c>
      <c r="CS88" s="137">
        <f t="shared" si="193"/>
        <v>328.10307883654144</v>
      </c>
      <c r="CT88" s="137">
        <f t="shared" si="193"/>
        <v>328.10307883654144</v>
      </c>
      <c r="CU88" s="137">
        <f t="shared" si="193"/>
        <v>328.10307883654144</v>
      </c>
      <c r="CV88" s="137">
        <f t="shared" si="193"/>
        <v>328.10307883654144</v>
      </c>
      <c r="CW88" s="137">
        <f t="shared" si="193"/>
        <v>328.10307883654144</v>
      </c>
      <c r="CX88" s="137">
        <f t="shared" si="193"/>
        <v>328.10307883654144</v>
      </c>
      <c r="CY88" s="137">
        <f t="shared" si="193"/>
        <v>328.10307883654144</v>
      </c>
      <c r="CZ88" s="137">
        <f t="shared" si="193"/>
        <v>328.10307883654144</v>
      </c>
      <c r="DA88" s="137">
        <f t="shared" si="193"/>
        <v>328.10307883654144</v>
      </c>
      <c r="DB88" s="137">
        <f t="shared" si="193"/>
        <v>328.10307883654144</v>
      </c>
      <c r="DC88" s="137">
        <f t="shared" si="193"/>
        <v>328.10307883654144</v>
      </c>
      <c r="DD88" s="137">
        <f t="shared" si="193"/>
        <v>328.10307883654144</v>
      </c>
      <c r="DE88" s="137">
        <f t="shared" si="193"/>
        <v>328.10307883654144</v>
      </c>
      <c r="DF88" s="137">
        <f t="shared" si="193"/>
        <v>328.10307883654144</v>
      </c>
      <c r="DG88" s="137">
        <f t="shared" si="193"/>
        <v>328.10307883654144</v>
      </c>
      <c r="DH88" s="137">
        <f t="shared" si="193"/>
        <v>328.10307883654144</v>
      </c>
      <c r="DI88" s="137">
        <f t="shared" si="193"/>
        <v>328.10307883654144</v>
      </c>
      <c r="DJ88" s="137">
        <f t="shared" si="193"/>
        <v>328.10307883654144</v>
      </c>
      <c r="DK88" s="137">
        <f t="shared" si="193"/>
        <v>328.10307883654144</v>
      </c>
      <c r="DL88" s="137">
        <f t="shared" si="193"/>
        <v>328.10307883654144</v>
      </c>
      <c r="DM88" s="137">
        <f t="shared" si="193"/>
        <v>328.10307883654144</v>
      </c>
      <c r="DN88" s="137">
        <f t="shared" si="193"/>
        <v>328.10307883654144</v>
      </c>
      <c r="DO88" s="137">
        <f t="shared" si="193"/>
        <v>328.10307883654144</v>
      </c>
      <c r="DP88" s="137">
        <f t="shared" si="193"/>
        <v>328.10307883654144</v>
      </c>
      <c r="DQ88" s="137">
        <f t="shared" si="193"/>
        <v>328.10307883654144</v>
      </c>
      <c r="DR88" s="137">
        <f t="shared" si="193"/>
        <v>328.10307883654144</v>
      </c>
      <c r="DS88" s="137">
        <f t="shared" si="193"/>
        <v>328.10307883654144</v>
      </c>
      <c r="DT88" s="137">
        <f t="shared" si="193"/>
        <v>328.10307883654144</v>
      </c>
      <c r="DU88" s="137">
        <f t="shared" si="193"/>
        <v>328.10307883654144</v>
      </c>
      <c r="DV88" s="137">
        <f t="shared" si="193"/>
        <v>328.10307883654144</v>
      </c>
      <c r="DW88" s="137">
        <f t="shared" si="193"/>
        <v>328.10307883654144</v>
      </c>
      <c r="DX88" s="137">
        <f t="shared" si="193"/>
        <v>328.10307883654144</v>
      </c>
      <c r="DY88" s="137">
        <f t="shared" si="193"/>
        <v>328.10307883654144</v>
      </c>
    </row>
    <row r="89" spans="2:129" outlineLevel="1">
      <c r="C89" s="8" t="s">
        <v>5</v>
      </c>
      <c r="D89" s="5" t="s">
        <v>0</v>
      </c>
      <c r="F89" s="5" t="s">
        <v>220</v>
      </c>
      <c r="G89" s="62" t="s">
        <v>642</v>
      </c>
      <c r="J89" s="33">
        <f t="shared" ref="J89:AO89" ca="1" si="194">IF(_arpuP5=0,0,J90*_RetentionRate)</f>
        <v>0.32736589200300781</v>
      </c>
      <c r="K89" s="33">
        <f t="shared" ca="1" si="194"/>
        <v>0.32736589200300781</v>
      </c>
      <c r="L89" s="33">
        <f t="shared" ca="1" si="194"/>
        <v>0.32736589200300781</v>
      </c>
      <c r="M89" s="33">
        <f t="shared" ca="1" si="194"/>
        <v>0.32736589200300781</v>
      </c>
      <c r="N89" s="33">
        <f t="shared" ca="1" si="194"/>
        <v>0.32736589200300781</v>
      </c>
      <c r="O89" s="33">
        <f t="shared" ca="1" si="194"/>
        <v>0.32736589200300781</v>
      </c>
      <c r="P89" s="33">
        <f t="shared" ca="1" si="194"/>
        <v>0.32736589200300781</v>
      </c>
      <c r="Q89" s="33">
        <f t="shared" ca="1" si="194"/>
        <v>0.32736589200300781</v>
      </c>
      <c r="R89" s="33">
        <f t="shared" ca="1" si="194"/>
        <v>0.32736589200300781</v>
      </c>
      <c r="S89" s="33">
        <f t="shared" ca="1" si="194"/>
        <v>0.32736589200300781</v>
      </c>
      <c r="T89" s="33">
        <f t="shared" ca="1" si="194"/>
        <v>0.32736589200300781</v>
      </c>
      <c r="U89" s="33">
        <f t="shared" ca="1" si="194"/>
        <v>0.32736589200300781</v>
      </c>
      <c r="V89" s="33">
        <f t="shared" ca="1" si="194"/>
        <v>0.32736589200300781</v>
      </c>
      <c r="W89" s="33">
        <f t="shared" ca="1" si="194"/>
        <v>0.32736589200300781</v>
      </c>
      <c r="X89" s="33">
        <f t="shared" ca="1" si="194"/>
        <v>0.32736589200300781</v>
      </c>
      <c r="Y89" s="33">
        <f t="shared" ca="1" si="194"/>
        <v>0.32736589200300781</v>
      </c>
      <c r="Z89" s="33">
        <f t="shared" ca="1" si="194"/>
        <v>0.32736589200300781</v>
      </c>
      <c r="AA89" s="33">
        <f t="shared" ca="1" si="194"/>
        <v>0.32736589200300781</v>
      </c>
      <c r="AB89" s="33">
        <f t="shared" ca="1" si="194"/>
        <v>0.32736589200300781</v>
      </c>
      <c r="AC89" s="33">
        <f t="shared" ca="1" si="194"/>
        <v>0.32736589200300781</v>
      </c>
      <c r="AD89" s="33">
        <f t="shared" ca="1" si="194"/>
        <v>0.32736589200300781</v>
      </c>
      <c r="AE89" s="33">
        <f t="shared" ca="1" si="194"/>
        <v>0.32736589200300781</v>
      </c>
      <c r="AF89" s="33">
        <f t="shared" ca="1" si="194"/>
        <v>0.32736589200300781</v>
      </c>
      <c r="AG89" s="33">
        <f t="shared" ca="1" si="194"/>
        <v>0.32736589200300781</v>
      </c>
      <c r="AH89" s="33">
        <f t="shared" ca="1" si="194"/>
        <v>8.0396374587728925</v>
      </c>
      <c r="AI89" s="33">
        <f t="shared" ca="1" si="194"/>
        <v>8.1999157994975658</v>
      </c>
      <c r="AJ89" s="33">
        <f t="shared" ca="1" si="194"/>
        <v>8.3633997070367307</v>
      </c>
      <c r="AK89" s="33">
        <f t="shared" ca="1" si="194"/>
        <v>8.5301532927266805</v>
      </c>
      <c r="AL89" s="33">
        <f t="shared" ca="1" si="194"/>
        <v>8.7002419501304296</v>
      </c>
      <c r="AM89" s="33">
        <f t="shared" ca="1" si="194"/>
        <v>8.8737323806822523</v>
      </c>
      <c r="AN89" s="33">
        <f t="shared" ca="1" si="194"/>
        <v>9.0506926198451119</v>
      </c>
      <c r="AO89" s="33">
        <f t="shared" ca="1" si="194"/>
        <v>9.2311920637912301</v>
      </c>
      <c r="AP89" s="33">
        <f t="shared" ref="AP89:BU89" ca="1" si="195">IF(_arpuP5=0,0,AP90*_RetentionRate)</f>
        <v>9.4153014966162694</v>
      </c>
      <c r="AQ89" s="33">
        <f t="shared" ca="1" si="195"/>
        <v>9.6030931180978101</v>
      </c>
      <c r="AR89" s="33">
        <f t="shared" ca="1" si="195"/>
        <v>9.79464057200898</v>
      </c>
      <c r="AS89" s="33">
        <f t="shared" ca="1" si="195"/>
        <v>9.9900189749983763</v>
      </c>
      <c r="AT89" s="33">
        <f t="shared" ca="1" si="195"/>
        <v>10.189304946047558</v>
      </c>
      <c r="AU89" s="33">
        <f t="shared" ca="1" si="195"/>
        <v>10.392576636517724</v>
      </c>
      <c r="AV89" s="33">
        <f t="shared" ca="1" si="195"/>
        <v>10.599913760797293</v>
      </c>
      <c r="AW89" s="33">
        <f t="shared" ca="1" si="195"/>
        <v>10.811397627562457</v>
      </c>
      <c r="AX89" s="33">
        <f t="shared" ca="1" si="195"/>
        <v>11.02711117166292</v>
      </c>
      <c r="AY89" s="33">
        <f t="shared" ca="1" si="195"/>
        <v>11.247138986645394</v>
      </c>
      <c r="AZ89" s="33">
        <f t="shared" ca="1" si="195"/>
        <v>11.471567357927515</v>
      </c>
      <c r="BA89" s="33">
        <f t="shared" ca="1" si="195"/>
        <v>11.700484296635281</v>
      </c>
      <c r="BB89" s="33">
        <f t="shared" ca="1" si="195"/>
        <v>11.933979574117203</v>
      </c>
      <c r="BC89" s="33">
        <f t="shared" ca="1" si="195"/>
        <v>12.172144757148761</v>
      </c>
      <c r="BD89" s="33">
        <f t="shared" ca="1" si="195"/>
        <v>12.415073243840951</v>
      </c>
      <c r="BE89" s="33">
        <f t="shared" ca="1" si="195"/>
        <v>12.662860300266985</v>
      </c>
      <c r="BF89" s="33">
        <f t="shared" ca="1" si="195"/>
        <v>13.521539416419552</v>
      </c>
      <c r="BG89" s="33">
        <f t="shared" ca="1" si="195"/>
        <v>13.791929788800424</v>
      </c>
      <c r="BH89" s="33">
        <f t="shared" ca="1" si="195"/>
        <v>14.067727968628908</v>
      </c>
      <c r="BI89" s="33">
        <f t="shared" ca="1" si="195"/>
        <v>14.349042112053963</v>
      </c>
      <c r="BJ89" s="33">
        <f t="shared" ca="1" si="195"/>
        <v>14.635982538347518</v>
      </c>
      <c r="BK89" s="33">
        <f t="shared" ca="1" si="195"/>
        <v>14.928661773166946</v>
      </c>
      <c r="BL89" s="33">
        <f t="shared" ca="1" si="195"/>
        <v>15.227194592682762</v>
      </c>
      <c r="BM89" s="33">
        <f t="shared" ca="1" si="195"/>
        <v>15.531698068588895</v>
      </c>
      <c r="BN89" s="33">
        <f t="shared" ca="1" si="195"/>
        <v>15.842291614013153</v>
      </c>
      <c r="BO89" s="33">
        <f t="shared" ca="1" si="195"/>
        <v>16.15909703034589</v>
      </c>
      <c r="BP89" s="33">
        <f t="shared" ca="1" si="195"/>
        <v>16.482238555005289</v>
      </c>
      <c r="BQ89" s="33">
        <f t="shared" ca="1" si="195"/>
        <v>16.811842910157871</v>
      </c>
      <c r="BR89" s="33">
        <f t="shared" ca="1" si="195"/>
        <v>17.148039352413505</v>
      </c>
      <c r="BS89" s="33">
        <f t="shared" ca="1" si="195"/>
        <v>17.490959723514251</v>
      </c>
      <c r="BT89" s="33">
        <f t="shared" ca="1" si="195"/>
        <v>17.840738502037016</v>
      </c>
      <c r="BU89" s="33">
        <f t="shared" ca="1" si="195"/>
        <v>18.197512856130231</v>
      </c>
      <c r="BV89" s="33">
        <f t="shared" ref="BV89:DA89" ca="1" si="196">IF(_arpuP5=0,0,BV90*_RetentionRate)</f>
        <v>18.561422697305314</v>
      </c>
      <c r="BW89" s="33">
        <f t="shared" ca="1" si="196"/>
        <v>18.932610735303896</v>
      </c>
      <c r="BX89" s="33">
        <f t="shared" ca="1" si="196"/>
        <v>19.311222534062452</v>
      </c>
      <c r="BY89" s="33">
        <f t="shared" ca="1" si="196"/>
        <v>19.697406568796183</v>
      </c>
      <c r="BZ89" s="33">
        <f t="shared" ca="1" si="196"/>
        <v>20.09131428422458</v>
      </c>
      <c r="CA89" s="33">
        <f t="shared" ca="1" si="196"/>
        <v>20.493100153961549</v>
      </c>
      <c r="CB89" s="33">
        <f t="shared" ca="1" si="196"/>
        <v>20.902921741093259</v>
      </c>
      <c r="CC89" s="33">
        <f t="shared" ca="1" si="196"/>
        <v>21.320939759967601</v>
      </c>
      <c r="CD89" s="33">
        <f t="shared" ca="1" si="196"/>
        <v>21.794925231243795</v>
      </c>
      <c r="CE89" s="33">
        <f t="shared" ca="1" si="196"/>
        <v>22.230820560476019</v>
      </c>
      <c r="CF89" s="33">
        <f t="shared" ca="1" si="196"/>
        <v>22.675433796292889</v>
      </c>
      <c r="CG89" s="33">
        <f t="shared" ca="1" si="196"/>
        <v>23.128939296826093</v>
      </c>
      <c r="CH89" s="33">
        <f t="shared" ca="1" si="196"/>
        <v>23.591514907369969</v>
      </c>
      <c r="CI89" s="33">
        <f t="shared" ca="1" si="196"/>
        <v>24.063342030124719</v>
      </c>
      <c r="CJ89" s="33">
        <f t="shared" ca="1" si="196"/>
        <v>24.544605695334564</v>
      </c>
      <c r="CK89" s="33">
        <f t="shared" ca="1" si="196"/>
        <v>25.035494633848604</v>
      </c>
      <c r="CL89" s="33">
        <f t="shared" ca="1" si="196"/>
        <v>25.536201351132931</v>
      </c>
      <c r="CM89" s="33">
        <f t="shared" ca="1" si="196"/>
        <v>26.046922202762939</v>
      </c>
      <c r="CN89" s="33">
        <f t="shared" ca="1" si="196"/>
        <v>26.567857471425544</v>
      </c>
      <c r="CO89" s="33">
        <f t="shared" ca="1" si="196"/>
        <v>27.099211445461403</v>
      </c>
      <c r="CP89" s="33">
        <f t="shared" ca="1" si="196"/>
        <v>27.125625665031141</v>
      </c>
      <c r="CQ89" s="33">
        <f t="shared" ca="1" si="196"/>
        <v>27.152568168992282</v>
      </c>
      <c r="CR89" s="33">
        <f t="shared" ca="1" si="196"/>
        <v>27.180049523032636</v>
      </c>
      <c r="CS89" s="33">
        <f t="shared" ca="1" si="196"/>
        <v>27.208080504153806</v>
      </c>
      <c r="CT89" s="33">
        <f t="shared" ca="1" si="196"/>
        <v>27.236672104897394</v>
      </c>
      <c r="CU89" s="33">
        <f t="shared" ca="1" si="196"/>
        <v>27.265835537655853</v>
      </c>
      <c r="CV89" s="33">
        <f t="shared" ca="1" si="196"/>
        <v>27.295582239069486</v>
      </c>
      <c r="CW89" s="33">
        <f t="shared" ca="1" si="196"/>
        <v>27.325923874511389</v>
      </c>
      <c r="CX89" s="33">
        <f t="shared" ca="1" si="196"/>
        <v>27.356872342662122</v>
      </c>
      <c r="CY89" s="33">
        <f t="shared" ca="1" si="196"/>
        <v>27.388439780175887</v>
      </c>
      <c r="CZ89" s="33">
        <f t="shared" ca="1" si="196"/>
        <v>27.420638566439916</v>
      </c>
      <c r="DA89" s="33">
        <f t="shared" ca="1" si="196"/>
        <v>27.453481328429223</v>
      </c>
      <c r="DB89" s="33">
        <f t="shared" ref="DB89:DY89" ca="1" si="197">IF(_arpuP5=0,0,DB90*_RetentionRate)</f>
        <v>27.490721330813415</v>
      </c>
      <c r="DC89" s="33">
        <f t="shared" ca="1" si="197"/>
        <v>27.52496867399919</v>
      </c>
      <c r="DD89" s="33">
        <f t="shared" ca="1" si="197"/>
        <v>27.55990096404868</v>
      </c>
      <c r="DE89" s="33">
        <f t="shared" ca="1" si="197"/>
        <v>27.595531899899154</v>
      </c>
      <c r="DF89" s="33">
        <f t="shared" ca="1" si="197"/>
        <v>27.631875454466638</v>
      </c>
      <c r="DG89" s="33">
        <f t="shared" ca="1" si="197"/>
        <v>27.668945880125477</v>
      </c>
      <c r="DH89" s="33">
        <f t="shared" ca="1" si="197"/>
        <v>27.706757714297488</v>
      </c>
      <c r="DI89" s="33">
        <f t="shared" ca="1" si="197"/>
        <v>27.745325785152943</v>
      </c>
      <c r="DJ89" s="33">
        <f t="shared" ca="1" si="197"/>
        <v>27.784665217425513</v>
      </c>
      <c r="DK89" s="33">
        <f t="shared" ca="1" si="197"/>
        <v>27.824791438343524</v>
      </c>
      <c r="DL89" s="33">
        <f t="shared" ca="1" si="197"/>
        <v>27.865720183679898</v>
      </c>
      <c r="DM89" s="33">
        <f t="shared" ca="1" si="197"/>
        <v>27.907467503923002</v>
      </c>
      <c r="DN89" s="33">
        <f t="shared" ca="1" si="197"/>
        <v>27.909542811415243</v>
      </c>
      <c r="DO89" s="33">
        <f t="shared" ca="1" si="197"/>
        <v>27.911659625057332</v>
      </c>
      <c r="DP89" s="33">
        <f t="shared" ca="1" si="197"/>
        <v>27.91381877497226</v>
      </c>
      <c r="DQ89" s="33">
        <f t="shared" ca="1" si="197"/>
        <v>27.916021107885491</v>
      </c>
      <c r="DR89" s="33">
        <f t="shared" ca="1" si="197"/>
        <v>27.91826748745698</v>
      </c>
      <c r="DS89" s="33">
        <f t="shared" ca="1" si="197"/>
        <v>27.9205587946199</v>
      </c>
      <c r="DT89" s="33">
        <f t="shared" ca="1" si="197"/>
        <v>27.922895927926078</v>
      </c>
      <c r="DU89" s="33">
        <f t="shared" ca="1" si="197"/>
        <v>27.925279803898384</v>
      </c>
      <c r="DV89" s="33">
        <f t="shared" ca="1" si="197"/>
        <v>27.927711357390137</v>
      </c>
      <c r="DW89" s="33">
        <f t="shared" ca="1" si="197"/>
        <v>27.930191541951725</v>
      </c>
      <c r="DX89" s="33">
        <f t="shared" ca="1" si="197"/>
        <v>27.93272133020454</v>
      </c>
      <c r="DY89" s="33">
        <f t="shared" ca="1" si="197"/>
        <v>27.935301714222415</v>
      </c>
    </row>
    <row r="90" spans="2:129" outlineLevel="1">
      <c r="C90" s="8" t="s">
        <v>6</v>
      </c>
      <c r="D90" s="5" t="s">
        <v>2</v>
      </c>
      <c r="F90" s="5" t="s">
        <v>221</v>
      </c>
      <c r="G90" s="62" t="s">
        <v>643</v>
      </c>
      <c r="J90" s="33">
        <f t="shared" ref="J90:AO90" ca="1" si="198">IF(_arpuP5=0,J88,IF(J3&gt;_NrInstallmentsP5,SUM(OFFSET(J90,-2,-_NrInstallmentsP5),OFFSET(J90,-1,-_NrInstallmentsP5))*(1-_Churn)^_NrInstallmentsP5,0))+IF(J$3-1&lt;_NrInstallmentsP5,$J87/_NrInstallmentsP5*(1-_Churn)^_NrInstallmentsP5,0)</f>
        <v>3.2736589200300781</v>
      </c>
      <c r="K90" s="33">
        <f t="shared" ca="1" si="198"/>
        <v>3.2736589200300781</v>
      </c>
      <c r="L90" s="33">
        <f t="shared" ca="1" si="198"/>
        <v>3.2736589200300781</v>
      </c>
      <c r="M90" s="33">
        <f t="shared" ca="1" si="198"/>
        <v>3.2736589200300781</v>
      </c>
      <c r="N90" s="33">
        <f t="shared" ca="1" si="198"/>
        <v>3.2736589200300781</v>
      </c>
      <c r="O90" s="33">
        <f t="shared" ca="1" si="198"/>
        <v>3.2736589200300781</v>
      </c>
      <c r="P90" s="33">
        <f t="shared" ca="1" si="198"/>
        <v>3.2736589200300781</v>
      </c>
      <c r="Q90" s="33">
        <f t="shared" ca="1" si="198"/>
        <v>3.2736589200300781</v>
      </c>
      <c r="R90" s="33">
        <f t="shared" ca="1" si="198"/>
        <v>3.2736589200300781</v>
      </c>
      <c r="S90" s="33">
        <f t="shared" ca="1" si="198"/>
        <v>3.2736589200300781</v>
      </c>
      <c r="T90" s="33">
        <f t="shared" ca="1" si="198"/>
        <v>3.2736589200300781</v>
      </c>
      <c r="U90" s="33">
        <f t="shared" ca="1" si="198"/>
        <v>3.2736589200300781</v>
      </c>
      <c r="V90" s="33">
        <f t="shared" ca="1" si="198"/>
        <v>3.2736589200300781</v>
      </c>
      <c r="W90" s="33">
        <f t="shared" ca="1" si="198"/>
        <v>3.2736589200300781</v>
      </c>
      <c r="X90" s="33">
        <f t="shared" ca="1" si="198"/>
        <v>3.2736589200300781</v>
      </c>
      <c r="Y90" s="33">
        <f t="shared" ca="1" si="198"/>
        <v>3.2736589200300781</v>
      </c>
      <c r="Z90" s="33">
        <f t="shared" ca="1" si="198"/>
        <v>3.2736589200300781</v>
      </c>
      <c r="AA90" s="33">
        <f t="shared" ca="1" si="198"/>
        <v>3.2736589200300781</v>
      </c>
      <c r="AB90" s="33">
        <f t="shared" ca="1" si="198"/>
        <v>3.2736589200300781</v>
      </c>
      <c r="AC90" s="33">
        <f t="shared" ca="1" si="198"/>
        <v>3.2736589200300781</v>
      </c>
      <c r="AD90" s="33">
        <f t="shared" ca="1" si="198"/>
        <v>3.2736589200300781</v>
      </c>
      <c r="AE90" s="33">
        <f t="shared" ca="1" si="198"/>
        <v>3.2736589200300781</v>
      </c>
      <c r="AF90" s="33">
        <f t="shared" ca="1" si="198"/>
        <v>3.2736589200300781</v>
      </c>
      <c r="AG90" s="33">
        <f t="shared" ca="1" si="198"/>
        <v>3.2736589200300781</v>
      </c>
      <c r="AH90" s="33">
        <f t="shared" ca="1" si="198"/>
        <v>80.396374587728914</v>
      </c>
      <c r="AI90" s="33">
        <f t="shared" ca="1" si="198"/>
        <v>81.999157994975647</v>
      </c>
      <c r="AJ90" s="33">
        <f t="shared" ca="1" si="198"/>
        <v>83.6339970703673</v>
      </c>
      <c r="AK90" s="33">
        <f t="shared" ca="1" si="198"/>
        <v>85.301532927266805</v>
      </c>
      <c r="AL90" s="33">
        <f t="shared" ca="1" si="198"/>
        <v>87.002419501304288</v>
      </c>
      <c r="AM90" s="33">
        <f t="shared" ca="1" si="198"/>
        <v>88.737323806822516</v>
      </c>
      <c r="AN90" s="33">
        <f t="shared" ca="1" si="198"/>
        <v>90.506926198451112</v>
      </c>
      <c r="AO90" s="33">
        <f t="shared" ca="1" si="198"/>
        <v>92.311920637912294</v>
      </c>
      <c r="AP90" s="33">
        <f t="shared" ref="AP90:BU90" ca="1" si="199">IF(_arpuP5=0,AP88,IF(AP3&gt;_NrInstallmentsP5,SUM(OFFSET(AP90,-2,-_NrInstallmentsP5),OFFSET(AP90,-1,-_NrInstallmentsP5))*(1-_Churn)^_NrInstallmentsP5,0))+IF(AP$3-1&lt;_NrInstallmentsP5,$J87/_NrInstallmentsP5*(1-_Churn)^_NrInstallmentsP5,0)</f>
        <v>94.153014966162687</v>
      </c>
      <c r="AQ90" s="33">
        <f t="shared" ca="1" si="199"/>
        <v>96.030931180978087</v>
      </c>
      <c r="AR90" s="33">
        <f t="shared" ca="1" si="199"/>
        <v>97.9464057200898</v>
      </c>
      <c r="AS90" s="33">
        <f t="shared" ca="1" si="199"/>
        <v>99.900189749983753</v>
      </c>
      <c r="AT90" s="33">
        <f t="shared" ca="1" si="199"/>
        <v>101.89304946047558</v>
      </c>
      <c r="AU90" s="33">
        <f t="shared" ca="1" si="199"/>
        <v>103.92576636517724</v>
      </c>
      <c r="AV90" s="33">
        <f t="shared" ca="1" si="199"/>
        <v>105.99913760797293</v>
      </c>
      <c r="AW90" s="33">
        <f t="shared" ca="1" si="199"/>
        <v>108.11397627562455</v>
      </c>
      <c r="AX90" s="33">
        <f t="shared" ca="1" si="199"/>
        <v>110.27111171662919</v>
      </c>
      <c r="AY90" s="33">
        <f t="shared" ca="1" si="199"/>
        <v>112.47138986645393</v>
      </c>
      <c r="AZ90" s="33">
        <f t="shared" ca="1" si="199"/>
        <v>114.71567357927515</v>
      </c>
      <c r="BA90" s="33">
        <f t="shared" ca="1" si="199"/>
        <v>117.00484296635281</v>
      </c>
      <c r="BB90" s="33">
        <f t="shared" ca="1" si="199"/>
        <v>119.33979574117203</v>
      </c>
      <c r="BC90" s="33">
        <f t="shared" ca="1" si="199"/>
        <v>121.7214475714876</v>
      </c>
      <c r="BD90" s="33">
        <f t="shared" ca="1" si="199"/>
        <v>124.15073243840951</v>
      </c>
      <c r="BE90" s="33">
        <f t="shared" ca="1" si="199"/>
        <v>126.62860300266983</v>
      </c>
      <c r="BF90" s="33">
        <f t="shared" ca="1" si="199"/>
        <v>135.21539416419552</v>
      </c>
      <c r="BG90" s="33">
        <f t="shared" ca="1" si="199"/>
        <v>137.91929788800422</v>
      </c>
      <c r="BH90" s="33">
        <f t="shared" ca="1" si="199"/>
        <v>140.67727968628907</v>
      </c>
      <c r="BI90" s="33">
        <f t="shared" ca="1" si="199"/>
        <v>143.49042112053962</v>
      </c>
      <c r="BJ90" s="33">
        <f t="shared" ca="1" si="199"/>
        <v>146.35982538347517</v>
      </c>
      <c r="BK90" s="33">
        <f t="shared" ca="1" si="199"/>
        <v>149.28661773166945</v>
      </c>
      <c r="BL90" s="33">
        <f t="shared" ca="1" si="199"/>
        <v>152.27194592682761</v>
      </c>
      <c r="BM90" s="33">
        <f t="shared" ca="1" si="199"/>
        <v>155.31698068588895</v>
      </c>
      <c r="BN90" s="33">
        <f t="shared" ca="1" si="199"/>
        <v>158.42291614013152</v>
      </c>
      <c r="BO90" s="33">
        <f t="shared" ca="1" si="199"/>
        <v>161.5909703034589</v>
      </c>
      <c r="BP90" s="33">
        <f t="shared" ca="1" si="199"/>
        <v>164.82238555005287</v>
      </c>
      <c r="BQ90" s="33">
        <f t="shared" ca="1" si="199"/>
        <v>168.1184291015787</v>
      </c>
      <c r="BR90" s="33">
        <f t="shared" ca="1" si="199"/>
        <v>171.48039352413505</v>
      </c>
      <c r="BS90" s="33">
        <f t="shared" ca="1" si="199"/>
        <v>174.90959723514251</v>
      </c>
      <c r="BT90" s="33">
        <f t="shared" ca="1" si="199"/>
        <v>178.40738502037016</v>
      </c>
      <c r="BU90" s="33">
        <f t="shared" ca="1" si="199"/>
        <v>181.97512856130231</v>
      </c>
      <c r="BV90" s="33">
        <f t="shared" ref="BV90:DA90" ca="1" si="200">IF(_arpuP5=0,BV88,IF(BV3&gt;_NrInstallmentsP5,SUM(OFFSET(BV90,-2,-_NrInstallmentsP5),OFFSET(BV90,-1,-_NrInstallmentsP5))*(1-_Churn)^_NrInstallmentsP5,0))+IF(BV$3-1&lt;_NrInstallmentsP5,$J87/_NrInstallmentsP5*(1-_Churn)^_NrInstallmentsP5,0)</f>
        <v>185.61422697305315</v>
      </c>
      <c r="BW90" s="33">
        <f t="shared" ca="1" si="200"/>
        <v>189.32610735303896</v>
      </c>
      <c r="BX90" s="33">
        <f t="shared" ca="1" si="200"/>
        <v>193.11222534062452</v>
      </c>
      <c r="BY90" s="33">
        <f t="shared" ca="1" si="200"/>
        <v>196.9740656879618</v>
      </c>
      <c r="BZ90" s="33">
        <f t="shared" ca="1" si="200"/>
        <v>200.91314284224578</v>
      </c>
      <c r="CA90" s="33">
        <f t="shared" ca="1" si="200"/>
        <v>204.93100153961547</v>
      </c>
      <c r="CB90" s="33">
        <f t="shared" ca="1" si="200"/>
        <v>209.02921741093257</v>
      </c>
      <c r="CC90" s="33">
        <f t="shared" ca="1" si="200"/>
        <v>213.20939759967598</v>
      </c>
      <c r="CD90" s="33">
        <f t="shared" ca="1" si="200"/>
        <v>217.94925231243795</v>
      </c>
      <c r="CE90" s="33">
        <f t="shared" ca="1" si="200"/>
        <v>222.30820560476019</v>
      </c>
      <c r="CF90" s="33">
        <f t="shared" ca="1" si="200"/>
        <v>226.75433796292887</v>
      </c>
      <c r="CG90" s="33">
        <f t="shared" ca="1" si="200"/>
        <v>231.28939296826093</v>
      </c>
      <c r="CH90" s="33">
        <f t="shared" ca="1" si="200"/>
        <v>235.91514907369967</v>
      </c>
      <c r="CI90" s="33">
        <f t="shared" ca="1" si="200"/>
        <v>240.63342030124718</v>
      </c>
      <c r="CJ90" s="33">
        <f t="shared" ca="1" si="200"/>
        <v>245.44605695334562</v>
      </c>
      <c r="CK90" s="33">
        <f t="shared" ca="1" si="200"/>
        <v>250.35494633848603</v>
      </c>
      <c r="CL90" s="33">
        <f t="shared" ca="1" si="200"/>
        <v>255.36201351132928</v>
      </c>
      <c r="CM90" s="33">
        <f t="shared" ca="1" si="200"/>
        <v>260.46922202762937</v>
      </c>
      <c r="CN90" s="33">
        <f t="shared" ca="1" si="200"/>
        <v>265.67857471425543</v>
      </c>
      <c r="CO90" s="33">
        <f t="shared" ca="1" si="200"/>
        <v>270.99211445461401</v>
      </c>
      <c r="CP90" s="33">
        <f t="shared" ca="1" si="200"/>
        <v>271.2562566503114</v>
      </c>
      <c r="CQ90" s="33">
        <f t="shared" ca="1" si="200"/>
        <v>271.52568168992281</v>
      </c>
      <c r="CR90" s="33">
        <f t="shared" ca="1" si="200"/>
        <v>271.80049523032636</v>
      </c>
      <c r="CS90" s="33">
        <f t="shared" ca="1" si="200"/>
        <v>272.08080504153804</v>
      </c>
      <c r="CT90" s="33">
        <f t="shared" ca="1" si="200"/>
        <v>272.36672104897394</v>
      </c>
      <c r="CU90" s="33">
        <f t="shared" ca="1" si="200"/>
        <v>272.65835537655852</v>
      </c>
      <c r="CV90" s="33">
        <f t="shared" ca="1" si="200"/>
        <v>272.95582239069483</v>
      </c>
      <c r="CW90" s="33">
        <f t="shared" ca="1" si="200"/>
        <v>273.25923874511386</v>
      </c>
      <c r="CX90" s="33">
        <f t="shared" ca="1" si="200"/>
        <v>273.5687234266212</v>
      </c>
      <c r="CY90" s="33">
        <f t="shared" ca="1" si="200"/>
        <v>273.88439780175884</v>
      </c>
      <c r="CZ90" s="33">
        <f t="shared" ca="1" si="200"/>
        <v>274.20638566439914</v>
      </c>
      <c r="DA90" s="33">
        <f t="shared" ca="1" si="200"/>
        <v>274.53481328429223</v>
      </c>
      <c r="DB90" s="33">
        <f t="shared" ref="DB90:DY90" ca="1" si="201">IF(_arpuP5=0,DB88,IF(DB3&gt;_NrInstallmentsP5,SUM(OFFSET(DB90,-2,-_NrInstallmentsP5),OFFSET(DB90,-1,-_NrInstallmentsP5))*(1-_Churn)^_NrInstallmentsP5,0))+IF(DB$3-1&lt;_NrInstallmentsP5,$J87/_NrInstallmentsP5*(1-_Churn)^_NrInstallmentsP5,0)</f>
        <v>274.90721330813415</v>
      </c>
      <c r="DC90" s="33">
        <f t="shared" ca="1" si="201"/>
        <v>275.24968673999189</v>
      </c>
      <c r="DD90" s="33">
        <f t="shared" ca="1" si="201"/>
        <v>275.59900964048677</v>
      </c>
      <c r="DE90" s="33">
        <f t="shared" ca="1" si="201"/>
        <v>275.95531899899152</v>
      </c>
      <c r="DF90" s="33">
        <f t="shared" ca="1" si="201"/>
        <v>276.31875454466638</v>
      </c>
      <c r="DG90" s="33">
        <f t="shared" ca="1" si="201"/>
        <v>276.68945880125477</v>
      </c>
      <c r="DH90" s="33">
        <f t="shared" ca="1" si="201"/>
        <v>277.06757714297487</v>
      </c>
      <c r="DI90" s="33">
        <f t="shared" ca="1" si="201"/>
        <v>277.45325785152943</v>
      </c>
      <c r="DJ90" s="33">
        <f t="shared" ca="1" si="201"/>
        <v>277.8466521742551</v>
      </c>
      <c r="DK90" s="33">
        <f t="shared" ca="1" si="201"/>
        <v>278.24791438343522</v>
      </c>
      <c r="DL90" s="33">
        <f t="shared" ca="1" si="201"/>
        <v>278.65720183679895</v>
      </c>
      <c r="DM90" s="33">
        <f t="shared" ca="1" si="201"/>
        <v>279.07467503922999</v>
      </c>
      <c r="DN90" s="33">
        <f t="shared" ca="1" si="201"/>
        <v>279.09542811415241</v>
      </c>
      <c r="DO90" s="33">
        <f t="shared" ca="1" si="201"/>
        <v>279.11659625057331</v>
      </c>
      <c r="DP90" s="33">
        <f t="shared" ca="1" si="201"/>
        <v>279.13818774972259</v>
      </c>
      <c r="DQ90" s="33">
        <f t="shared" ca="1" si="201"/>
        <v>279.1602110788549</v>
      </c>
      <c r="DR90" s="33">
        <f t="shared" ca="1" si="201"/>
        <v>279.18267487456978</v>
      </c>
      <c r="DS90" s="33">
        <f t="shared" ca="1" si="201"/>
        <v>279.20558794619899</v>
      </c>
      <c r="DT90" s="33">
        <f t="shared" ca="1" si="201"/>
        <v>279.22895927926078</v>
      </c>
      <c r="DU90" s="33">
        <f t="shared" ca="1" si="201"/>
        <v>279.25279803898383</v>
      </c>
      <c r="DV90" s="33">
        <f t="shared" ca="1" si="201"/>
        <v>279.27711357390137</v>
      </c>
      <c r="DW90" s="33">
        <f t="shared" ca="1" si="201"/>
        <v>279.30191541951723</v>
      </c>
      <c r="DX90" s="33">
        <f t="shared" ca="1" si="201"/>
        <v>279.32721330204538</v>
      </c>
      <c r="DY90" s="33">
        <f t="shared" ca="1" si="201"/>
        <v>279.35301714222413</v>
      </c>
    </row>
    <row r="91" spans="2:129" outlineLevel="1">
      <c r="C91" s="8" t="s">
        <v>6</v>
      </c>
      <c r="D91" s="5" t="s">
        <v>3</v>
      </c>
      <c r="F91" s="5" t="s">
        <v>222</v>
      </c>
      <c r="J91" s="33">
        <f>IF(_arpuP5=0,0,_p.repossessed*I$93)</f>
        <v>0.6</v>
      </c>
      <c r="K91" s="33">
        <f ca="1">IF(_arpuP5=0,0,_p.repossessed*J$93)</f>
        <v>1.1883222418318375</v>
      </c>
      <c r="L91" s="33">
        <f t="shared" ref="L91:AO91" ca="1" si="202">IF(_arpuP5=0,0,_p.repossessed*K$93)</f>
        <v>1.783001261245357</v>
      </c>
      <c r="M91" s="33">
        <f ca="1">IF(_arpuP5=0,0,_p.repossessed*L$93)</f>
        <v>2.3842182904647404</v>
      </c>
      <c r="N91" s="33">
        <f t="shared" ca="1" si="202"/>
        <v>2.9921576453919307</v>
      </c>
      <c r="O91" s="33">
        <f t="shared" ca="1" si="202"/>
        <v>3.6070067926898499</v>
      </c>
      <c r="P91" s="33">
        <f t="shared" ca="1" si="202"/>
        <v>4.2289564181531896</v>
      </c>
      <c r="Q91" s="33">
        <f t="shared" ca="1" si="202"/>
        <v>4.8582004963930636</v>
      </c>
      <c r="R91" s="33">
        <f t="shared" ca="1" si="202"/>
        <v>5.4949363618623295</v>
      </c>
      <c r="S91" s="33">
        <f t="shared" ca="1" si="202"/>
        <v>6.13936478124893</v>
      </c>
      <c r="T91" s="33">
        <f t="shared" ca="1" si="202"/>
        <v>6.7916900272651315</v>
      </c>
      <c r="U91" s="33">
        <f t="shared" ca="1" si="202"/>
        <v>7.4521199538611089</v>
      </c>
      <c r="V91" s="33">
        <f t="shared" ca="1" si="202"/>
        <v>8.1208660728918627</v>
      </c>
      <c r="W91" s="33">
        <f t="shared" ca="1" si="202"/>
        <v>8.7981436322670579</v>
      </c>
      <c r="X91" s="33">
        <f t="shared" ca="1" si="202"/>
        <v>9.4841716956139486</v>
      </c>
      <c r="Y91" s="33">
        <f t="shared" ca="1" si="202"/>
        <v>10.179173223484124</v>
      </c>
      <c r="Z91" s="33">
        <f t="shared" ca="1" si="202"/>
        <v>10.883375156135488</v>
      </c>
      <c r="AA91" s="33">
        <f t="shared" ca="1" si="202"/>
        <v>11.597008497921424</v>
      </c>
      <c r="AB91" s="33">
        <f t="shared" ca="1" si="202"/>
        <v>12.320308403319812</v>
      </c>
      <c r="AC91" s="33">
        <f t="shared" ca="1" si="202"/>
        <v>13.053514264635131</v>
      </c>
      <c r="AD91" s="33">
        <f t="shared" ca="1" si="202"/>
        <v>13.796869801407633</v>
      </c>
      <c r="AE91" s="33">
        <f t="shared" ca="1" si="202"/>
        <v>14.550623151564151</v>
      </c>
      <c r="AF91" s="33">
        <f t="shared" ca="1" si="202"/>
        <v>15.315026964345876</v>
      </c>
      <c r="AG91" s="33">
        <f t="shared" ca="1" si="202"/>
        <v>16.090338495049092</v>
      </c>
      <c r="AH91" s="33">
        <f t="shared" ca="1" si="202"/>
        <v>16.876819701615577</v>
      </c>
      <c r="AI91" s="33">
        <f t="shared" ca="1" si="202"/>
        <v>17.25827467850452</v>
      </c>
      <c r="AJ91" s="33">
        <f t="shared" ca="1" si="202"/>
        <v>17.646947347159021</v>
      </c>
      <c r="AK91" s="33">
        <f t="shared" ca="1" si="202"/>
        <v>18.042986175492114</v>
      </c>
      <c r="AL91" s="33">
        <f t="shared" ca="1" si="202"/>
        <v>18.44654255963431</v>
      </c>
      <c r="AM91" s="33">
        <f t="shared" ca="1" si="202"/>
        <v>18.857770882909371</v>
      </c>
      <c r="AN91" s="33">
        <f t="shared" ca="1" si="202"/>
        <v>19.276828575985448</v>
      </c>
      <c r="AO91" s="33">
        <f t="shared" ca="1" si="202"/>
        <v>19.703876178225205</v>
      </c>
      <c r="AP91" s="33">
        <f t="shared" ref="AP91:BU91" ca="1" si="203">IF(_arpuP5=0,0,_p.repossessed*AO$93)</f>
        <v>20.139077400258905</v>
      </c>
      <c r="AQ91" s="33">
        <f t="shared" ca="1" si="203"/>
        <v>20.582599187804927</v>
      </c>
      <c r="AR91" s="33">
        <f t="shared" ca="1" si="203"/>
        <v>21.034611786762806</v>
      </c>
      <c r="AS91" s="33">
        <f t="shared" ca="1" si="203"/>
        <v>21.495288809604165</v>
      </c>
      <c r="AT91" s="33">
        <f t="shared" ca="1" si="203"/>
        <v>21.964807303087635</v>
      </c>
      <c r="AU91" s="33">
        <f t="shared" ca="1" si="203"/>
        <v>22.443347817324202</v>
      </c>
      <c r="AV91" s="33">
        <f t="shared" ca="1" si="203"/>
        <v>22.931094476220096</v>
      </c>
      <c r="AW91" s="33">
        <f t="shared" ca="1" si="203"/>
        <v>23.428235049324755</v>
      </c>
      <c r="AX91" s="33">
        <f t="shared" ca="1" si="203"/>
        <v>23.934961025112042</v>
      </c>
      <c r="AY91" s="33">
        <f t="shared" ca="1" si="203"/>
        <v>24.451467685723419</v>
      </c>
      <c r="AZ91" s="33">
        <f t="shared" ca="1" si="203"/>
        <v>24.977954183202268</v>
      </c>
      <c r="BA91" s="33">
        <f t="shared" ca="1" si="203"/>
        <v>25.514623617249395</v>
      </c>
      <c r="BB91" s="33">
        <f t="shared" ca="1" si="203"/>
        <v>26.061683114529973</v>
      </c>
      <c r="BC91" s="33">
        <f t="shared" ca="1" si="203"/>
        <v>26.619343909563156</v>
      </c>
      <c r="BD91" s="33">
        <f t="shared" ca="1" si="203"/>
        <v>27.187821427225916</v>
      </c>
      <c r="BE91" s="33">
        <f t="shared" ca="1" si="203"/>
        <v>27.767335366903566</v>
      </c>
      <c r="BF91" s="33">
        <f t="shared" ca="1" si="203"/>
        <v>28.358109788319776</v>
      </c>
      <c r="BG91" s="33">
        <f t="shared" ca="1" si="203"/>
        <v>28.927652637875571</v>
      </c>
      <c r="BH91" s="33">
        <f t="shared" ca="1" si="203"/>
        <v>29.50856472034576</v>
      </c>
      <c r="BI91" s="33">
        <f t="shared" ca="1" si="203"/>
        <v>30.101073636629383</v>
      </c>
      <c r="BJ91" s="33">
        <f t="shared" ca="1" si="203"/>
        <v>30.705411537481083</v>
      </c>
      <c r="BK91" s="33">
        <f t="shared" ca="1" si="203"/>
        <v>31.321815214529796</v>
      </c>
      <c r="BL91" s="33">
        <f t="shared" ca="1" si="203"/>
        <v>31.950526193117657</v>
      </c>
      <c r="BM91" s="33">
        <f t="shared" ca="1" si="203"/>
        <v>32.591790826995471</v>
      </c>
      <c r="BN91" s="33">
        <f t="shared" ca="1" si="203"/>
        <v>33.245860394911851</v>
      </c>
      <c r="BO91" s="33">
        <f t="shared" ca="1" si="203"/>
        <v>33.912991199133963</v>
      </c>
      <c r="BP91" s="33">
        <f t="shared" ca="1" si="203"/>
        <v>34.593444665938442</v>
      </c>
      <c r="BQ91" s="33">
        <f t="shared" ca="1" si="203"/>
        <v>35.287487448111953</v>
      </c>
      <c r="BR91" s="33">
        <f t="shared" ca="1" si="203"/>
        <v>35.995391529501553</v>
      </c>
      <c r="BS91" s="33">
        <f t="shared" ca="1" si="203"/>
        <v>36.678061962195457</v>
      </c>
      <c r="BT91" s="33">
        <f t="shared" ca="1" si="203"/>
        <v>37.335387990522982</v>
      </c>
      <c r="BU91" s="33">
        <f t="shared" ca="1" si="203"/>
        <v>37.967252704527006</v>
      </c>
      <c r="BV91" s="33">
        <f t="shared" ref="BV91:CC91" ca="1" si="204">IF(_arpuP5=0,0,_p.repossessed*BU$93)</f>
        <v>38.573532956269958</v>
      </c>
      <c r="BW91" s="33">
        <f t="shared" ca="1" si="204"/>
        <v>39.154099274072017</v>
      </c>
      <c r="BX91" s="33">
        <f t="shared" ca="1" si="204"/>
        <v>39.70881577464413</v>
      </c>
      <c r="BY91" s="33">
        <f t="shared" ca="1" si="204"/>
        <v>40.237540073077575</v>
      </c>
      <c r="BZ91" s="33">
        <f t="shared" ca="1" si="204"/>
        <v>40.740123190651047</v>
      </c>
      <c r="CA91" s="33">
        <f t="shared" ca="1" si="204"/>
        <v>41.216409460415662</v>
      </c>
      <c r="CB91" s="33">
        <f t="shared" ca="1" si="204"/>
        <v>41.666236430516825</v>
      </c>
      <c r="CC91" s="33">
        <f t="shared" ca="1" si="204"/>
        <v>42.089434765211877</v>
      </c>
      <c r="CD91" s="33">
        <f t="shared" ref="CD91:DY91" ca="1" si="205">IF(_arpuP5=0,0,_p.repossessed*CC$93)</f>
        <v>42.485828143540758</v>
      </c>
      <c r="CE91" s="33">
        <f t="shared" ca="1" si="205"/>
        <v>42.852662372637425</v>
      </c>
      <c r="CF91" s="33">
        <f t="shared" ca="1" si="205"/>
        <v>43.192289911664595</v>
      </c>
      <c r="CG91" s="33">
        <f t="shared" ca="1" si="205"/>
        <v>43.504512060567386</v>
      </c>
      <c r="CH91" s="33">
        <f t="shared" ca="1" si="205"/>
        <v>43.789122690952354</v>
      </c>
      <c r="CI91" s="33">
        <f t="shared" ca="1" si="205"/>
        <v>44.045908132064099</v>
      </c>
      <c r="CJ91" s="33">
        <f t="shared" ca="1" si="205"/>
        <v>44.274647054135976</v>
      </c>
      <c r="CK91" s="33">
        <f t="shared" ca="1" si="205"/>
        <v>44.475110349065794</v>
      </c>
      <c r="CL91" s="33">
        <f t="shared" ca="1" si="205"/>
        <v>44.647061008366556</v>
      </c>
      <c r="CM91" s="33">
        <f t="shared" ca="1" si="205"/>
        <v>44.790253998340965</v>
      </c>
      <c r="CN91" s="33">
        <f t="shared" ca="1" si="205"/>
        <v>44.904436132427612</v>
      </c>
      <c r="CO91" s="33">
        <f t="shared" ca="1" si="205"/>
        <v>44.989345940665601</v>
      </c>
      <c r="CP91" s="33">
        <f t="shared" ca="1" si="205"/>
        <v>45.044713536223277</v>
      </c>
      <c r="CQ91" s="33">
        <f t="shared" ca="1" si="205"/>
        <v>45.098101087968615</v>
      </c>
      <c r="CR91" s="33">
        <f t="shared" ca="1" si="205"/>
        <v>45.149499868982602</v>
      </c>
      <c r="CS91" s="33">
        <f t="shared" ca="1" si="205"/>
        <v>45.198900669068266</v>
      </c>
      <c r="CT91" s="33">
        <f t="shared" ca="1" si="205"/>
        <v>45.24629378817253</v>
      </c>
      <c r="CU91" s="33">
        <f t="shared" ca="1" si="205"/>
        <v>45.29166902964559</v>
      </c>
      <c r="CV91" s="33">
        <f t="shared" ca="1" si="205"/>
        <v>45.335015693334974</v>
      </c>
      <c r="CW91" s="33">
        <f t="shared" ca="1" si="205"/>
        <v>45.376322568511121</v>
      </c>
      <c r="CX91" s="33">
        <f t="shared" ca="1" si="205"/>
        <v>45.415577926621637</v>
      </c>
      <c r="CY91" s="33">
        <f t="shared" ca="1" si="205"/>
        <v>45.452769513870912</v>
      </c>
      <c r="CZ91" s="33">
        <f t="shared" ca="1" si="205"/>
        <v>45.487884543621952</v>
      </c>
      <c r="DA91" s="33">
        <f t="shared" ca="1" si="205"/>
        <v>45.52090968861723</v>
      </c>
      <c r="DB91" s="33">
        <f t="shared" ca="1" si="205"/>
        <v>45.551831073015123</v>
      </c>
      <c r="DC91" s="33">
        <f t="shared" ca="1" si="205"/>
        <v>45.580432283440295</v>
      </c>
      <c r="DD91" s="33">
        <f t="shared" ca="1" si="205"/>
        <v>45.606898125229186</v>
      </c>
      <c r="DE91" s="33">
        <f t="shared" ca="1" si="205"/>
        <v>45.631212964937511</v>
      </c>
      <c r="DF91" s="33">
        <f t="shared" ca="1" si="205"/>
        <v>45.653360585712839</v>
      </c>
      <c r="DG91" s="33">
        <f t="shared" ca="1" si="205"/>
        <v>45.673324178333758</v>
      </c>
      <c r="DH91" s="33">
        <f t="shared" ca="1" si="205"/>
        <v>45.691086332042893</v>
      </c>
      <c r="DI91" s="33">
        <f t="shared" ca="1" si="205"/>
        <v>45.706629025169647</v>
      </c>
      <c r="DJ91" s="33">
        <f t="shared" ca="1" si="205"/>
        <v>45.719933615538949</v>
      </c>
      <c r="DK91" s="33">
        <f t="shared" ca="1" si="205"/>
        <v>45.730980830661828</v>
      </c>
      <c r="DL91" s="33">
        <f t="shared" ca="1" si="205"/>
        <v>45.739750757703916</v>
      </c>
      <c r="DM91" s="33">
        <f t="shared" ca="1" si="205"/>
        <v>45.746222833227407</v>
      </c>
      <c r="DN91" s="33">
        <f t="shared" ca="1" si="205"/>
        <v>45.750375832702538</v>
      </c>
      <c r="DO91" s="33">
        <f t="shared" ca="1" si="205"/>
        <v>45.754375235578344</v>
      </c>
      <c r="DP91" s="33">
        <f t="shared" ca="1" si="205"/>
        <v>45.758220336488712</v>
      </c>
      <c r="DQ91" s="33">
        <f t="shared" ca="1" si="205"/>
        <v>45.761910392294567</v>
      </c>
      <c r="DR91" s="33">
        <f t="shared" ca="1" si="205"/>
        <v>45.765444621565052</v>
      </c>
      <c r="DS91" s="33">
        <f t="shared" ca="1" si="205"/>
        <v>45.768822204045975</v>
      </c>
      <c r="DT91" s="33">
        <f t="shared" ca="1" si="205"/>
        <v>45.772042280115294</v>
      </c>
      <c r="DU91" s="33">
        <f t="shared" ca="1" si="205"/>
        <v>45.775103950225386</v>
      </c>
      <c r="DV91" s="33">
        <f t="shared" ca="1" si="205"/>
        <v>45.778006274331872</v>
      </c>
      <c r="DW91" s="33">
        <f t="shared" ca="1" si="205"/>
        <v>45.780748271308731</v>
      </c>
      <c r="DX91" s="33">
        <f t="shared" ca="1" si="205"/>
        <v>45.783328918349497</v>
      </c>
      <c r="DY91" s="33">
        <f t="shared" ca="1" si="205"/>
        <v>45.785747150354211</v>
      </c>
    </row>
    <row r="92" spans="2:129" outlineLevel="1">
      <c r="C92" s="8" t="s">
        <v>6</v>
      </c>
      <c r="D92" s="5" t="s">
        <v>1</v>
      </c>
      <c r="F92" s="5" t="s">
        <v>223</v>
      </c>
      <c r="G92" s="120"/>
      <c r="J92" s="33">
        <f>IF(_arpuP5=0,0,_p.lost*I$93)</f>
        <v>0.4</v>
      </c>
      <c r="K92" s="33">
        <f t="shared" ref="K92:AO92" ca="1" si="206">IF(_arpuP5=0,0,_p.lost*J$93)</f>
        <v>0.79221482788789177</v>
      </c>
      <c r="L92" s="33">
        <f t="shared" ca="1" si="206"/>
        <v>1.1886675074969046</v>
      </c>
      <c r="M92" s="33">
        <f t="shared" ca="1" si="206"/>
        <v>1.5894788603098271</v>
      </c>
      <c r="N92" s="33">
        <f t="shared" ca="1" si="206"/>
        <v>1.9947717635946205</v>
      </c>
      <c r="O92" s="33">
        <f t="shared" ca="1" si="206"/>
        <v>2.4046711951265665</v>
      </c>
      <c r="P92" s="33">
        <f t="shared" ca="1" si="206"/>
        <v>2.8193042787687927</v>
      </c>
      <c r="Q92" s="33">
        <f t="shared" ca="1" si="206"/>
        <v>3.2388003309287088</v>
      </c>
      <c r="R92" s="33">
        <f t="shared" ca="1" si="206"/>
        <v>3.6632909079082197</v>
      </c>
      <c r="S92" s="33">
        <f t="shared" ca="1" si="206"/>
        <v>4.0929098541659537</v>
      </c>
      <c r="T92" s="33">
        <f t="shared" ca="1" si="206"/>
        <v>4.5277933515100877</v>
      </c>
      <c r="U92" s="33">
        <f t="shared" ca="1" si="206"/>
        <v>4.9680799692407396</v>
      </c>
      <c r="V92" s="33">
        <f t="shared" ca="1" si="206"/>
        <v>5.4139107152612418</v>
      </c>
      <c r="W92" s="33">
        <f t="shared" ca="1" si="206"/>
        <v>5.8654290881780389</v>
      </c>
      <c r="X92" s="33">
        <f t="shared" ca="1" si="206"/>
        <v>6.3227811304092993</v>
      </c>
      <c r="Y92" s="33">
        <f t="shared" ca="1" si="206"/>
        <v>6.7861154823227503</v>
      </c>
      <c r="Z92" s="33">
        <f t="shared" ca="1" si="206"/>
        <v>7.2555834374236587</v>
      </c>
      <c r="AA92" s="33">
        <f t="shared" ca="1" si="206"/>
        <v>7.7313389986142829</v>
      </c>
      <c r="AB92" s="33">
        <f t="shared" ca="1" si="206"/>
        <v>8.2135389355465414</v>
      </c>
      <c r="AC92" s="33">
        <f t="shared" ca="1" si="206"/>
        <v>8.7023428430900882</v>
      </c>
      <c r="AD92" s="33">
        <f t="shared" ca="1" si="206"/>
        <v>9.1979132009384212</v>
      </c>
      <c r="AE92" s="33">
        <f t="shared" ca="1" si="206"/>
        <v>9.7004154343761009</v>
      </c>
      <c r="AF92" s="33">
        <f t="shared" ca="1" si="206"/>
        <v>10.210017976230583</v>
      </c>
      <c r="AG92" s="33">
        <f t="shared" ca="1" si="206"/>
        <v>10.726892330032728</v>
      </c>
      <c r="AH92" s="33">
        <f t="shared" ca="1" si="206"/>
        <v>11.251213134410383</v>
      </c>
      <c r="AI92" s="33">
        <f t="shared" ca="1" si="206"/>
        <v>11.505516452336348</v>
      </c>
      <c r="AJ92" s="33">
        <f t="shared" ca="1" si="206"/>
        <v>11.764631564772682</v>
      </c>
      <c r="AK92" s="33">
        <f t="shared" ca="1" si="206"/>
        <v>12.028657450328076</v>
      </c>
      <c r="AL92" s="33">
        <f t="shared" ca="1" si="206"/>
        <v>12.297695039756206</v>
      </c>
      <c r="AM92" s="33">
        <f t="shared" ca="1" si="206"/>
        <v>12.571847255272912</v>
      </c>
      <c r="AN92" s="33">
        <f t="shared" ca="1" si="206"/>
        <v>12.851219050656965</v>
      </c>
      <c r="AO92" s="33">
        <f t="shared" ca="1" si="206"/>
        <v>13.135917452150137</v>
      </c>
      <c r="AP92" s="33">
        <f t="shared" ref="AP92:BU92" ca="1" si="207">IF(_arpuP5=0,0,_p.lost*AO$93)</f>
        <v>13.426051600172602</v>
      </c>
      <c r="AQ92" s="33">
        <f t="shared" ca="1" si="207"/>
        <v>13.721732791869952</v>
      </c>
      <c r="AR92" s="33">
        <f t="shared" ca="1" si="207"/>
        <v>14.023074524508537</v>
      </c>
      <c r="AS92" s="33">
        <f t="shared" ca="1" si="207"/>
        <v>14.33019253973611</v>
      </c>
      <c r="AT92" s="33">
        <f t="shared" ca="1" si="207"/>
        <v>14.643204868725091</v>
      </c>
      <c r="AU92" s="33">
        <f t="shared" ca="1" si="207"/>
        <v>14.962231878216135</v>
      </c>
      <c r="AV92" s="33">
        <f t="shared" ca="1" si="207"/>
        <v>15.287396317480063</v>
      </c>
      <c r="AW92" s="33">
        <f t="shared" ca="1" si="207"/>
        <v>15.618823366216503</v>
      </c>
      <c r="AX92" s="33">
        <f t="shared" ca="1" si="207"/>
        <v>15.956640683408029</v>
      </c>
      <c r="AY92" s="33">
        <f t="shared" ca="1" si="207"/>
        <v>16.300978457148947</v>
      </c>
      <c r="AZ92" s="33">
        <f t="shared" ca="1" si="207"/>
        <v>16.651969455468176</v>
      </c>
      <c r="BA92" s="33">
        <f t="shared" ca="1" si="207"/>
        <v>17.009749078166266</v>
      </c>
      <c r="BB92" s="33">
        <f t="shared" ca="1" si="207"/>
        <v>17.37445540968665</v>
      </c>
      <c r="BC92" s="33">
        <f t="shared" ca="1" si="207"/>
        <v>17.746229273042104</v>
      </c>
      <c r="BD92" s="33">
        <f t="shared" ca="1" si="207"/>
        <v>18.125214284817279</v>
      </c>
      <c r="BE92" s="33">
        <f t="shared" ca="1" si="207"/>
        <v>18.511556911269043</v>
      </c>
      <c r="BF92" s="33">
        <f t="shared" ca="1" si="207"/>
        <v>18.905406525546518</v>
      </c>
      <c r="BG92" s="33">
        <f t="shared" ca="1" si="207"/>
        <v>19.285101758583714</v>
      </c>
      <c r="BH92" s="33">
        <f t="shared" ca="1" si="207"/>
        <v>19.672376480230504</v>
      </c>
      <c r="BI92" s="33">
        <f t="shared" ca="1" si="207"/>
        <v>20.067382424419591</v>
      </c>
      <c r="BJ92" s="33">
        <f t="shared" ca="1" si="207"/>
        <v>20.470274358320722</v>
      </c>
      <c r="BK92" s="33">
        <f t="shared" ca="1" si="207"/>
        <v>20.881210143019864</v>
      </c>
      <c r="BL92" s="33">
        <f t="shared" ca="1" si="207"/>
        <v>21.30035079541177</v>
      </c>
      <c r="BM92" s="33">
        <f t="shared" ca="1" si="207"/>
        <v>21.727860551330313</v>
      </c>
      <c r="BN92" s="33">
        <f t="shared" ca="1" si="207"/>
        <v>22.163906929941234</v>
      </c>
      <c r="BO92" s="33">
        <f t="shared" ca="1" si="207"/>
        <v>22.608660799422641</v>
      </c>
      <c r="BP92" s="33">
        <f t="shared" ca="1" si="207"/>
        <v>23.06229644395896</v>
      </c>
      <c r="BQ92" s="33">
        <f t="shared" ca="1" si="207"/>
        <v>23.524991632074634</v>
      </c>
      <c r="BR92" s="33">
        <f t="shared" ca="1" si="207"/>
        <v>23.99692768633437</v>
      </c>
      <c r="BS92" s="33">
        <f t="shared" ca="1" si="207"/>
        <v>24.452041308130305</v>
      </c>
      <c r="BT92" s="33">
        <f t="shared" ca="1" si="207"/>
        <v>24.890258660348657</v>
      </c>
      <c r="BU92" s="33">
        <f t="shared" ca="1" si="207"/>
        <v>25.311501803018004</v>
      </c>
      <c r="BV92" s="33">
        <f t="shared" ref="BV92:CC92" ca="1" si="208">IF(_arpuP5=0,0,_p.lost*BU$93)</f>
        <v>25.715688637513303</v>
      </c>
      <c r="BW92" s="33">
        <f t="shared" ca="1" si="208"/>
        <v>26.102732849381344</v>
      </c>
      <c r="BX92" s="33">
        <f t="shared" ca="1" si="208"/>
        <v>26.472543849762754</v>
      </c>
      <c r="BY92" s="33">
        <f t="shared" ca="1" si="208"/>
        <v>26.825026715385047</v>
      </c>
      <c r="BZ92" s="33">
        <f t="shared" ca="1" si="208"/>
        <v>27.160082127100697</v>
      </c>
      <c r="CA92" s="33">
        <f t="shared" ca="1" si="208"/>
        <v>27.477606306943773</v>
      </c>
      <c r="CB92" s="33">
        <f t="shared" ca="1" si="208"/>
        <v>27.777490953677884</v>
      </c>
      <c r="CC92" s="33">
        <f t="shared" ca="1" si="208"/>
        <v>28.059623176807918</v>
      </c>
      <c r="CD92" s="33">
        <f t="shared" ref="CD92:DY92" ca="1" si="209">IF(_arpuP5=0,0,_p.lost*CC$93)</f>
        <v>28.323885429027172</v>
      </c>
      <c r="CE92" s="33">
        <f t="shared" ca="1" si="209"/>
        <v>28.568441581758286</v>
      </c>
      <c r="CF92" s="33">
        <f t="shared" ca="1" si="209"/>
        <v>28.794859941109728</v>
      </c>
      <c r="CG92" s="33">
        <f t="shared" ca="1" si="209"/>
        <v>29.003008040378255</v>
      </c>
      <c r="CH92" s="33">
        <f t="shared" ca="1" si="209"/>
        <v>29.192748460634903</v>
      </c>
      <c r="CI92" s="33">
        <f t="shared" ca="1" si="209"/>
        <v>29.363938754709402</v>
      </c>
      <c r="CJ92" s="33">
        <f t="shared" ca="1" si="209"/>
        <v>29.516431369423984</v>
      </c>
      <c r="CK92" s="33">
        <f t="shared" ca="1" si="209"/>
        <v>29.650073566043861</v>
      </c>
      <c r="CL92" s="33">
        <f t="shared" ca="1" si="209"/>
        <v>29.764707338911037</v>
      </c>
      <c r="CM92" s="33">
        <f t="shared" ca="1" si="209"/>
        <v>29.860169332227311</v>
      </c>
      <c r="CN92" s="33">
        <f t="shared" ca="1" si="209"/>
        <v>29.936290754951742</v>
      </c>
      <c r="CO92" s="33">
        <f t="shared" ca="1" si="209"/>
        <v>29.992897293777066</v>
      </c>
      <c r="CP92" s="33">
        <f t="shared" ca="1" si="209"/>
        <v>30.02980902414885</v>
      </c>
      <c r="CQ92" s="33">
        <f t="shared" ca="1" si="209"/>
        <v>30.065400725312411</v>
      </c>
      <c r="CR92" s="33">
        <f t="shared" ca="1" si="209"/>
        <v>30.099666579321735</v>
      </c>
      <c r="CS92" s="33">
        <f t="shared" ca="1" si="209"/>
        <v>30.132600446045508</v>
      </c>
      <c r="CT92" s="33">
        <f t="shared" ca="1" si="209"/>
        <v>30.164195858781685</v>
      </c>
      <c r="CU92" s="33">
        <f t="shared" ca="1" si="209"/>
        <v>30.194446019763728</v>
      </c>
      <c r="CV92" s="33">
        <f t="shared" ca="1" si="209"/>
        <v>30.223343795556648</v>
      </c>
      <c r="CW92" s="33">
        <f t="shared" ca="1" si="209"/>
        <v>30.250881712340746</v>
      </c>
      <c r="CX92" s="33">
        <f t="shared" ca="1" si="209"/>
        <v>30.277051951081091</v>
      </c>
      <c r="CY92" s="33">
        <f t="shared" ca="1" si="209"/>
        <v>30.301846342580607</v>
      </c>
      <c r="CZ92" s="33">
        <f t="shared" ca="1" si="209"/>
        <v>30.325256362414635</v>
      </c>
      <c r="DA92" s="33">
        <f t="shared" ca="1" si="209"/>
        <v>30.347273125744817</v>
      </c>
      <c r="DB92" s="33">
        <f t="shared" ca="1" si="209"/>
        <v>30.367887382010082</v>
      </c>
      <c r="DC92" s="33">
        <f t="shared" ca="1" si="209"/>
        <v>30.386954855626865</v>
      </c>
      <c r="DD92" s="33">
        <f t="shared" ca="1" si="209"/>
        <v>30.40459875015279</v>
      </c>
      <c r="DE92" s="33">
        <f t="shared" ca="1" si="209"/>
        <v>30.420808643291675</v>
      </c>
      <c r="DF92" s="33">
        <f t="shared" ca="1" si="209"/>
        <v>30.435573723808556</v>
      </c>
      <c r="DG92" s="33">
        <f t="shared" ca="1" si="209"/>
        <v>30.448882785555838</v>
      </c>
      <c r="DH92" s="33">
        <f t="shared" ca="1" si="209"/>
        <v>30.460724221361929</v>
      </c>
      <c r="DI92" s="33">
        <f t="shared" ca="1" si="209"/>
        <v>30.471086016779765</v>
      </c>
      <c r="DJ92" s="33">
        <f t="shared" ca="1" si="209"/>
        <v>30.479955743692631</v>
      </c>
      <c r="DK92" s="33">
        <f t="shared" ca="1" si="209"/>
        <v>30.487320553774552</v>
      </c>
      <c r="DL92" s="33">
        <f t="shared" ca="1" si="209"/>
        <v>30.493167171802607</v>
      </c>
      <c r="DM92" s="33">
        <f t="shared" ca="1" si="209"/>
        <v>30.497481888818271</v>
      </c>
      <c r="DN92" s="33">
        <f t="shared" ca="1" si="209"/>
        <v>30.500250555135025</v>
      </c>
      <c r="DO92" s="33">
        <f t="shared" ca="1" si="209"/>
        <v>30.502916823718895</v>
      </c>
      <c r="DP92" s="33">
        <f t="shared" ca="1" si="209"/>
        <v>30.505480224325805</v>
      </c>
      <c r="DQ92" s="33">
        <f t="shared" ca="1" si="209"/>
        <v>30.507940261529711</v>
      </c>
      <c r="DR92" s="33">
        <f t="shared" ca="1" si="209"/>
        <v>30.510296414376704</v>
      </c>
      <c r="DS92" s="33">
        <f t="shared" ca="1" si="209"/>
        <v>30.512548136030652</v>
      </c>
      <c r="DT92" s="33">
        <f t="shared" ca="1" si="209"/>
        <v>30.514694853410194</v>
      </c>
      <c r="DU92" s="33">
        <f t="shared" ca="1" si="209"/>
        <v>30.516735966816924</v>
      </c>
      <c r="DV92" s="33">
        <f t="shared" ca="1" si="209"/>
        <v>30.518670849554578</v>
      </c>
      <c r="DW92" s="33">
        <f t="shared" ca="1" si="209"/>
        <v>30.520498847539152</v>
      </c>
      <c r="DX92" s="33">
        <f t="shared" ca="1" si="209"/>
        <v>30.522219278899666</v>
      </c>
      <c r="DY92" s="33">
        <f t="shared" ca="1" si="209"/>
        <v>30.523831433569473</v>
      </c>
    </row>
    <row r="93" spans="2:129" outlineLevel="1">
      <c r="C93" s="55" t="s">
        <v>125</v>
      </c>
      <c r="D93" s="55"/>
      <c r="E93" s="55"/>
      <c r="F93" s="55" t="s">
        <v>224</v>
      </c>
      <c r="H93" s="221"/>
      <c r="I93" s="582">
        <f>'Model Assumptions'!K25</f>
        <v>100</v>
      </c>
      <c r="J93" s="118">
        <f t="shared" ref="J93:AO93" ca="1" si="210">+_activeinstallationsBoPP5+_NewSalesP5+_RetainedSalesP5-_EndingContractP5-_RepossessedP5-_LostP5</f>
        <v>198.05370697197293</v>
      </c>
      <c r="K93" s="118">
        <f t="shared" ca="1" si="210"/>
        <v>297.16687687422615</v>
      </c>
      <c r="L93" s="118">
        <f t="shared" ca="1" si="210"/>
        <v>397.36971507745676</v>
      </c>
      <c r="M93" s="118">
        <f t="shared" ca="1" si="210"/>
        <v>498.69294089865514</v>
      </c>
      <c r="N93" s="118">
        <f t="shared" ca="1" si="210"/>
        <v>601.16779878164164</v>
      </c>
      <c r="O93" s="118">
        <f t="shared" ca="1" si="210"/>
        <v>704.82606969219819</v>
      </c>
      <c r="P93" s="118">
        <f t="shared" ca="1" si="210"/>
        <v>809.70008273217718</v>
      </c>
      <c r="Q93" s="118">
        <f t="shared" ca="1" si="210"/>
        <v>915.82272697705491</v>
      </c>
      <c r="R93" s="118">
        <f t="shared" ca="1" si="210"/>
        <v>1023.2274635414883</v>
      </c>
      <c r="S93" s="118">
        <f t="shared" ca="1" si="210"/>
        <v>1131.9483378775219</v>
      </c>
      <c r="T93" s="118">
        <f t="shared" ca="1" si="210"/>
        <v>1242.0199923101848</v>
      </c>
      <c r="U93" s="118">
        <f t="shared" ca="1" si="210"/>
        <v>1353.4776788153104</v>
      </c>
      <c r="V93" s="118">
        <f t="shared" ca="1" si="210"/>
        <v>1466.3572720445097</v>
      </c>
      <c r="W93" s="118">
        <f t="shared" ca="1" si="210"/>
        <v>1580.6952826023248</v>
      </c>
      <c r="X93" s="118">
        <f t="shared" ca="1" si="210"/>
        <v>1696.5288705806875</v>
      </c>
      <c r="Y93" s="118">
        <f t="shared" ca="1" si="210"/>
        <v>1813.8958593559146</v>
      </c>
      <c r="Z93" s="118">
        <f t="shared" ca="1" si="210"/>
        <v>1932.8347496535707</v>
      </c>
      <c r="AA93" s="118">
        <f t="shared" ca="1" si="210"/>
        <v>2053.3847338866353</v>
      </c>
      <c r="AB93" s="118">
        <f t="shared" ca="1" si="210"/>
        <v>2175.5857107725219</v>
      </c>
      <c r="AC93" s="118">
        <f t="shared" ca="1" si="210"/>
        <v>2299.4783002346053</v>
      </c>
      <c r="AD93" s="118">
        <f t="shared" ca="1" si="210"/>
        <v>2425.103858594025</v>
      </c>
      <c r="AE93" s="118">
        <f t="shared" ca="1" si="210"/>
        <v>2552.5044940576458</v>
      </c>
      <c r="AF93" s="118">
        <f t="shared" ca="1" si="210"/>
        <v>2681.723082508182</v>
      </c>
      <c r="AG93" s="118">
        <f t="shared" ca="1" si="210"/>
        <v>2812.8032836025959</v>
      </c>
      <c r="AH93" s="118">
        <f t="shared" ca="1" si="210"/>
        <v>2876.3791130840868</v>
      </c>
      <c r="AI93" s="118">
        <f t="shared" ca="1" si="210"/>
        <v>2941.1578911931701</v>
      </c>
      <c r="AJ93" s="118">
        <f t="shared" ca="1" si="210"/>
        <v>3007.1643625820188</v>
      </c>
      <c r="AK93" s="118">
        <f t="shared" ca="1" si="210"/>
        <v>3074.4237599390517</v>
      </c>
      <c r="AL93" s="118">
        <f t="shared" ca="1" si="210"/>
        <v>3142.9618138182282</v>
      </c>
      <c r="AM93" s="118">
        <f t="shared" ca="1" si="210"/>
        <v>3212.804762664241</v>
      </c>
      <c r="AN93" s="118">
        <f t="shared" ca="1" si="210"/>
        <v>3283.9793630375343</v>
      </c>
      <c r="AO93" s="118">
        <f t="shared" ca="1" si="210"/>
        <v>3356.5129000431507</v>
      </c>
      <c r="AP93" s="118">
        <f t="shared" ref="AP93:BU93" ca="1" si="211">+_activeinstallationsBoPP5+_NewSalesP5+_RetainedSalesP5-_EndingContractP5-_RepossessedP5-_LostP5</f>
        <v>3430.433197967488</v>
      </c>
      <c r="AQ93" s="118">
        <f t="shared" ca="1" si="211"/>
        <v>3505.7686311271341</v>
      </c>
      <c r="AR93" s="118">
        <f t="shared" ca="1" si="211"/>
        <v>3582.5481349340275</v>
      </c>
      <c r="AS93" s="118">
        <f t="shared" ca="1" si="211"/>
        <v>3660.8012171812725</v>
      </c>
      <c r="AT93" s="118">
        <f t="shared" ca="1" si="211"/>
        <v>3740.5579695540337</v>
      </c>
      <c r="AU93" s="118">
        <f t="shared" ca="1" si="211"/>
        <v>3821.8490793700157</v>
      </c>
      <c r="AV93" s="118">
        <f t="shared" ca="1" si="211"/>
        <v>3904.7058415541255</v>
      </c>
      <c r="AW93" s="118">
        <f t="shared" ca="1" si="211"/>
        <v>3989.160170852007</v>
      </c>
      <c r="AX93" s="118">
        <f t="shared" ca="1" si="211"/>
        <v>4075.2446142872363</v>
      </c>
      <c r="AY93" s="118">
        <f t="shared" ca="1" si="211"/>
        <v>4162.9923638670443</v>
      </c>
      <c r="AZ93" s="118">
        <f t="shared" ca="1" si="211"/>
        <v>4252.4372695415659</v>
      </c>
      <c r="BA93" s="118">
        <f t="shared" ca="1" si="211"/>
        <v>4343.6138524216622</v>
      </c>
      <c r="BB93" s="118">
        <f t="shared" ca="1" si="211"/>
        <v>4436.5573182605258</v>
      </c>
      <c r="BC93" s="118">
        <f t="shared" ca="1" si="211"/>
        <v>4531.3035712043193</v>
      </c>
      <c r="BD93" s="118">
        <f t="shared" ca="1" si="211"/>
        <v>4627.8892278172607</v>
      </c>
      <c r="BE93" s="118">
        <f t="shared" ca="1" si="211"/>
        <v>4726.3516313866294</v>
      </c>
      <c r="BF93" s="118">
        <f t="shared" ca="1" si="211"/>
        <v>4821.2754396459286</v>
      </c>
      <c r="BG93" s="118">
        <f t="shared" ca="1" si="211"/>
        <v>4918.0941200576262</v>
      </c>
      <c r="BH93" s="118">
        <f t="shared" ca="1" si="211"/>
        <v>5016.8456061048973</v>
      </c>
      <c r="BI93" s="118">
        <f t="shared" ca="1" si="211"/>
        <v>5117.5685895801807</v>
      </c>
      <c r="BJ93" s="118">
        <f t="shared" ca="1" si="211"/>
        <v>5220.3025357549659</v>
      </c>
      <c r="BK93" s="118">
        <f t="shared" ca="1" si="211"/>
        <v>5325.0876988529426</v>
      </c>
      <c r="BL93" s="118">
        <f t="shared" ca="1" si="211"/>
        <v>5431.965137832578</v>
      </c>
      <c r="BM93" s="118">
        <f t="shared" ca="1" si="211"/>
        <v>5540.9767324853083</v>
      </c>
      <c r="BN93" s="118">
        <f t="shared" ca="1" si="211"/>
        <v>5652.1651998556599</v>
      </c>
      <c r="BO93" s="118">
        <f t="shared" ca="1" si="211"/>
        <v>5765.5741109897399</v>
      </c>
      <c r="BP93" s="118">
        <f t="shared" ca="1" si="211"/>
        <v>5881.2479080186586</v>
      </c>
      <c r="BQ93" s="118">
        <f t="shared" ca="1" si="211"/>
        <v>5999.2319215835923</v>
      </c>
      <c r="BR93" s="118">
        <f t="shared" ca="1" si="211"/>
        <v>6113.0103270325762</v>
      </c>
      <c r="BS93" s="118">
        <f t="shared" ca="1" si="211"/>
        <v>6222.564665087164</v>
      </c>
      <c r="BT93" s="118">
        <f t="shared" ca="1" si="211"/>
        <v>6327.8754507545009</v>
      </c>
      <c r="BU93" s="118">
        <f t="shared" ca="1" si="211"/>
        <v>6428.9221593783259</v>
      </c>
      <c r="BV93" s="118">
        <f t="shared" ref="BV93:DY93" ca="1" si="212">+_activeinstallationsBoPP5+_NewSalesP5+_RetainedSalesP5-_EndingContractP5-_RepossessedP5-_LostP5</f>
        <v>6525.683212345336</v>
      </c>
      <c r="BW93" s="118">
        <f t="shared" ca="1" si="212"/>
        <v>6618.1359624406887</v>
      </c>
      <c r="BX93" s="118">
        <f t="shared" ca="1" si="212"/>
        <v>6706.2566788462618</v>
      </c>
      <c r="BY93" s="118">
        <f t="shared" ca="1" si="212"/>
        <v>6790.0205317751743</v>
      </c>
      <c r="BZ93" s="118">
        <f t="shared" ca="1" si="212"/>
        <v>6869.4015767359433</v>
      </c>
      <c r="CA93" s="118">
        <f t="shared" ca="1" si="212"/>
        <v>6944.3727384194708</v>
      </c>
      <c r="CB93" s="118">
        <f t="shared" ca="1" si="212"/>
        <v>7014.905794201979</v>
      </c>
      <c r="CC93" s="118">
        <f t="shared" ca="1" si="212"/>
        <v>7080.9713572567925</v>
      </c>
      <c r="CD93" s="118">
        <f t="shared" ca="1" si="212"/>
        <v>7142.1103954395712</v>
      </c>
      <c r="CE93" s="118">
        <f t="shared" ca="1" si="212"/>
        <v>7198.7149852774319</v>
      </c>
      <c r="CF93" s="118">
        <f t="shared" ca="1" si="212"/>
        <v>7250.752010094564</v>
      </c>
      <c r="CG93" s="118">
        <f t="shared" ca="1" si="212"/>
        <v>7298.1871151587256</v>
      </c>
      <c r="CH93" s="118">
        <f t="shared" ca="1" si="212"/>
        <v>7340.9846886773503</v>
      </c>
      <c r="CI93" s="118">
        <f t="shared" ca="1" si="212"/>
        <v>7379.1078423559957</v>
      </c>
      <c r="CJ93" s="118">
        <f t="shared" ca="1" si="212"/>
        <v>7412.5183915109656</v>
      </c>
      <c r="CK93" s="118">
        <f t="shared" ca="1" si="212"/>
        <v>7441.1768347277593</v>
      </c>
      <c r="CL93" s="118">
        <f t="shared" ca="1" si="212"/>
        <v>7465.0423330568274</v>
      </c>
      <c r="CM93" s="118">
        <f t="shared" ca="1" si="212"/>
        <v>7484.0726887379351</v>
      </c>
      <c r="CN93" s="118">
        <f t="shared" ca="1" si="212"/>
        <v>7498.2243234442667</v>
      </c>
      <c r="CO93" s="118">
        <f t="shared" ca="1" si="212"/>
        <v>7507.4522560372125</v>
      </c>
      <c r="CP93" s="118">
        <f t="shared" ca="1" si="212"/>
        <v>7516.3501813281027</v>
      </c>
      <c r="CQ93" s="118">
        <f t="shared" ca="1" si="212"/>
        <v>7524.9166448304331</v>
      </c>
      <c r="CR93" s="118">
        <f t="shared" ca="1" si="212"/>
        <v>7533.150111511377</v>
      </c>
      <c r="CS93" s="118">
        <f t="shared" ca="1" si="212"/>
        <v>7541.0489646954211</v>
      </c>
      <c r="CT93" s="118">
        <f t="shared" ca="1" si="212"/>
        <v>7548.6115049409318</v>
      </c>
      <c r="CU93" s="118">
        <f t="shared" ca="1" si="212"/>
        <v>7555.835948889162</v>
      </c>
      <c r="CV93" s="118">
        <f t="shared" ca="1" si="212"/>
        <v>7562.7204280851865</v>
      </c>
      <c r="CW93" s="118">
        <f t="shared" ca="1" si="212"/>
        <v>7569.262987770273</v>
      </c>
      <c r="CX93" s="118">
        <f t="shared" ca="1" si="212"/>
        <v>7575.4615856451519</v>
      </c>
      <c r="CY93" s="118">
        <f t="shared" ca="1" si="212"/>
        <v>7581.3140906036588</v>
      </c>
      <c r="CZ93" s="118">
        <f t="shared" ca="1" si="212"/>
        <v>7586.8182814362044</v>
      </c>
      <c r="DA93" s="118">
        <f t="shared" ca="1" si="212"/>
        <v>7591.9718455025204</v>
      </c>
      <c r="DB93" s="118">
        <f t="shared" ca="1" si="212"/>
        <v>7596.7387139067159</v>
      </c>
      <c r="DC93" s="118">
        <f t="shared" ca="1" si="212"/>
        <v>7601.1496875381972</v>
      </c>
      <c r="DD93" s="118">
        <f t="shared" ca="1" si="212"/>
        <v>7605.2021608229188</v>
      </c>
      <c r="DE93" s="118">
        <f t="shared" ca="1" si="212"/>
        <v>7608.8934309521392</v>
      </c>
      <c r="DF93" s="118">
        <f t="shared" ca="1" si="212"/>
        <v>7612.2206963889594</v>
      </c>
      <c r="DG93" s="118">
        <f t="shared" ca="1" si="212"/>
        <v>7615.1810553404821</v>
      </c>
      <c r="DH93" s="118">
        <f t="shared" ca="1" si="212"/>
        <v>7617.7715041949414</v>
      </c>
      <c r="DI93" s="118">
        <f t="shared" ca="1" si="212"/>
        <v>7619.9889359231574</v>
      </c>
      <c r="DJ93" s="118">
        <f t="shared" ca="1" si="212"/>
        <v>7621.8301384436381</v>
      </c>
      <c r="DK93" s="118">
        <f t="shared" ca="1" si="212"/>
        <v>7623.2917929506521</v>
      </c>
      <c r="DL93" s="118">
        <f t="shared" ca="1" si="212"/>
        <v>7624.3704722045677</v>
      </c>
      <c r="DM93" s="118">
        <f t="shared" ca="1" si="212"/>
        <v>7625.0626387837565</v>
      </c>
      <c r="DN93" s="118">
        <f t="shared" ca="1" si="212"/>
        <v>7625.7292059297233</v>
      </c>
      <c r="DO93" s="118">
        <f t="shared" ca="1" si="212"/>
        <v>7626.3700560814514</v>
      </c>
      <c r="DP93" s="118">
        <f t="shared" ca="1" si="212"/>
        <v>7626.9850653824278</v>
      </c>
      <c r="DQ93" s="118">
        <f t="shared" ca="1" si="212"/>
        <v>7627.5741035941755</v>
      </c>
      <c r="DR93" s="118">
        <f t="shared" ca="1" si="212"/>
        <v>7628.1370340076628</v>
      </c>
      <c r="DS93" s="118">
        <f t="shared" ca="1" si="212"/>
        <v>7628.6737133525485</v>
      </c>
      <c r="DT93" s="118">
        <f t="shared" ca="1" si="212"/>
        <v>7629.1839917042307</v>
      </c>
      <c r="DU93" s="118">
        <f t="shared" ca="1" si="212"/>
        <v>7629.6677123886448</v>
      </c>
      <c r="DV93" s="118">
        <f t="shared" ca="1" si="212"/>
        <v>7630.1247118847878</v>
      </c>
      <c r="DW93" s="118">
        <f t="shared" ca="1" si="212"/>
        <v>7630.5548197249163</v>
      </c>
      <c r="DX93" s="118">
        <f t="shared" ca="1" si="212"/>
        <v>7630.9578583923685</v>
      </c>
      <c r="DY93" s="118">
        <f t="shared" ca="1" si="212"/>
        <v>7631.3336432169845</v>
      </c>
    </row>
    <row r="94" spans="2:129" outlineLevel="1">
      <c r="J94" s="34"/>
      <c r="K94" s="33"/>
      <c r="L94" s="34"/>
      <c r="M94" s="33"/>
      <c r="N94" s="34"/>
      <c r="O94" s="33"/>
      <c r="P94" s="34"/>
      <c r="Q94" s="34"/>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row>
    <row r="95" spans="2:129" outlineLevel="1">
      <c r="D95" s="5" t="s">
        <v>81</v>
      </c>
      <c r="F95" s="5" t="s">
        <v>225</v>
      </c>
      <c r="J95" s="35">
        <f ca="1">SUM(J88:J89)</f>
        <v>102.327365892003</v>
      </c>
      <c r="K95" s="35">
        <f t="shared" ref="K95:BV95" ca="1" si="213">SUM(K88:K89)</f>
        <v>104.36736589200301</v>
      </c>
      <c r="L95" s="35">
        <f t="shared" ca="1" si="213"/>
        <v>106.448165892003</v>
      </c>
      <c r="M95" s="35">
        <f t="shared" ca="1" si="213"/>
        <v>108.57058189200301</v>
      </c>
      <c r="N95" s="35">
        <f t="shared" ca="1" si="213"/>
        <v>110.73544621200301</v>
      </c>
      <c r="O95" s="35">
        <f t="shared" ca="1" si="213"/>
        <v>112.94360781840301</v>
      </c>
      <c r="P95" s="35">
        <f t="shared" ca="1" si="213"/>
        <v>115.19593265693101</v>
      </c>
      <c r="Q95" s="35">
        <f t="shared" ca="1" si="213"/>
        <v>117.49330399222957</v>
      </c>
      <c r="R95" s="35">
        <f t="shared" ca="1" si="213"/>
        <v>119.8366227542341</v>
      </c>
      <c r="S95" s="35">
        <f t="shared" ca="1" si="213"/>
        <v>122.22680789147873</v>
      </c>
      <c r="T95" s="35">
        <f t="shared" ca="1" si="213"/>
        <v>124.66479673146824</v>
      </c>
      <c r="U95" s="35">
        <f t="shared" ca="1" si="213"/>
        <v>127.15154534825756</v>
      </c>
      <c r="V95" s="35">
        <f t="shared" ca="1" si="213"/>
        <v>129.68802893738265</v>
      </c>
      <c r="W95" s="35">
        <f t="shared" ca="1" si="213"/>
        <v>132.27524219829024</v>
      </c>
      <c r="X95" s="35">
        <f t="shared" ca="1" si="213"/>
        <v>134.91419972441599</v>
      </c>
      <c r="Y95" s="35">
        <f t="shared" ca="1" si="213"/>
        <v>137.60593640106427</v>
      </c>
      <c r="Z95" s="35">
        <f t="shared" ca="1" si="213"/>
        <v>140.35150781124551</v>
      </c>
      <c r="AA95" s="35">
        <f t="shared" ca="1" si="213"/>
        <v>143.15199064963036</v>
      </c>
      <c r="AB95" s="35">
        <f t="shared" ca="1" si="213"/>
        <v>146.0084831447829</v>
      </c>
      <c r="AC95" s="35">
        <f t="shared" ca="1" si="213"/>
        <v>148.92210548983851</v>
      </c>
      <c r="AD95" s="35">
        <f t="shared" ca="1" si="213"/>
        <v>151.89400028179523</v>
      </c>
      <c r="AE95" s="35">
        <f t="shared" ca="1" si="213"/>
        <v>154.92533296959107</v>
      </c>
      <c r="AF95" s="35">
        <f t="shared" ca="1" si="213"/>
        <v>158.01729231114282</v>
      </c>
      <c r="AG95" s="35">
        <f t="shared" ca="1" si="213"/>
        <v>161.17109083952562</v>
      </c>
      <c r="AH95" s="35">
        <f t="shared" ca="1" si="213"/>
        <v>172.10023690524596</v>
      </c>
      <c r="AI95" s="35">
        <f t="shared" ca="1" si="213"/>
        <v>175.54172723490012</v>
      </c>
      <c r="AJ95" s="35">
        <f t="shared" ca="1" si="213"/>
        <v>179.05204737114732</v>
      </c>
      <c r="AK95" s="35">
        <f t="shared" ca="1" si="213"/>
        <v>182.63257391011948</v>
      </c>
      <c r="AL95" s="35">
        <f t="shared" ca="1" si="213"/>
        <v>186.28471097987108</v>
      </c>
      <c r="AM95" s="35">
        <f t="shared" ca="1" si="213"/>
        <v>190.00989079101771</v>
      </c>
      <c r="AN95" s="35">
        <f t="shared" ca="1" si="213"/>
        <v>193.80957419838728</v>
      </c>
      <c r="AO95" s="35">
        <f t="shared" ca="1" si="213"/>
        <v>197.68525127390427</v>
      </c>
      <c r="AP95" s="35">
        <f t="shared" ca="1" si="213"/>
        <v>201.63844189093157</v>
      </c>
      <c r="AQ95" s="35">
        <f t="shared" ca="1" si="213"/>
        <v>205.67069632029941</v>
      </c>
      <c r="AR95" s="35">
        <f t="shared" ca="1" si="213"/>
        <v>209.78359583825463</v>
      </c>
      <c r="AS95" s="35">
        <f t="shared" ca="1" si="213"/>
        <v>213.97875334656894</v>
      </c>
      <c r="AT95" s="35">
        <f t="shared" ca="1" si="213"/>
        <v>218.25781400504954</v>
      </c>
      <c r="AU95" s="35">
        <f t="shared" ca="1" si="213"/>
        <v>222.62245587669975</v>
      </c>
      <c r="AV95" s="35">
        <f t="shared" ca="1" si="213"/>
        <v>227.07439058578296</v>
      </c>
      <c r="AW95" s="35">
        <f t="shared" ca="1" si="213"/>
        <v>231.61536398904784</v>
      </c>
      <c r="AX95" s="35">
        <f t="shared" ca="1" si="213"/>
        <v>236.247156860378</v>
      </c>
      <c r="AY95" s="35">
        <f t="shared" ca="1" si="213"/>
        <v>240.97158558913478</v>
      </c>
      <c r="AZ95" s="35">
        <f t="shared" ca="1" si="213"/>
        <v>245.79050289246669</v>
      </c>
      <c r="BA95" s="35">
        <f t="shared" ca="1" si="213"/>
        <v>250.70579854186525</v>
      </c>
      <c r="BB95" s="35">
        <f t="shared" ca="1" si="213"/>
        <v>255.71940010425175</v>
      </c>
      <c r="BC95" s="35">
        <f t="shared" ca="1" si="213"/>
        <v>260.833273697886</v>
      </c>
      <c r="BD95" s="35">
        <f t="shared" ca="1" si="213"/>
        <v>266.04942476339295</v>
      </c>
      <c r="BE95" s="35">
        <f t="shared" ca="1" si="213"/>
        <v>271.36989885021001</v>
      </c>
      <c r="BF95" s="35">
        <f t="shared" ca="1" si="213"/>
        <v>277.40271873736145</v>
      </c>
      <c r="BG95" s="35">
        <f t="shared" ca="1" si="213"/>
        <v>282.95073269616114</v>
      </c>
      <c r="BH95" s="35">
        <f t="shared" ca="1" si="213"/>
        <v>288.60970693413685</v>
      </c>
      <c r="BI95" s="35">
        <f t="shared" ca="1" si="213"/>
        <v>294.38186065687205</v>
      </c>
      <c r="BJ95" s="35">
        <f t="shared" ca="1" si="213"/>
        <v>300.26945745406198</v>
      </c>
      <c r="BK95" s="35">
        <f t="shared" ca="1" si="213"/>
        <v>306.27480618719574</v>
      </c>
      <c r="BL95" s="35">
        <f t="shared" ca="1" si="213"/>
        <v>312.40026189499213</v>
      </c>
      <c r="BM95" s="35">
        <f t="shared" ca="1" si="213"/>
        <v>318.64822671694446</v>
      </c>
      <c r="BN95" s="35">
        <f t="shared" ca="1" si="213"/>
        <v>325.0211508353359</v>
      </c>
      <c r="BO95" s="35">
        <f t="shared" ca="1" si="213"/>
        <v>331.52153343609507</v>
      </c>
      <c r="BP95" s="35">
        <f t="shared" ca="1" si="213"/>
        <v>338.15192368886943</v>
      </c>
      <c r="BQ95" s="35">
        <f t="shared" ca="1" si="213"/>
        <v>344.91492174669929</v>
      </c>
      <c r="BR95" s="35">
        <f t="shared" ca="1" si="213"/>
        <v>345.25111818895493</v>
      </c>
      <c r="BS95" s="35">
        <f t="shared" ca="1" si="213"/>
        <v>345.59403856005571</v>
      </c>
      <c r="BT95" s="35">
        <f t="shared" ca="1" si="213"/>
        <v>345.94381733857847</v>
      </c>
      <c r="BU95" s="35">
        <f t="shared" ca="1" si="213"/>
        <v>346.30059169267167</v>
      </c>
      <c r="BV95" s="35">
        <f t="shared" ca="1" si="213"/>
        <v>346.66450153384676</v>
      </c>
      <c r="BW95" s="35">
        <f t="shared" ref="BW95:CC95" ca="1" si="214">SUM(BW88:BW89)</f>
        <v>347.03568957184535</v>
      </c>
      <c r="BX95" s="35">
        <f t="shared" ca="1" si="214"/>
        <v>347.41430137060388</v>
      </c>
      <c r="BY95" s="35">
        <f t="shared" ca="1" si="214"/>
        <v>347.80048540533761</v>
      </c>
      <c r="BZ95" s="35">
        <f t="shared" ca="1" si="214"/>
        <v>348.19439312076599</v>
      </c>
      <c r="CA95" s="35">
        <f t="shared" ca="1" si="214"/>
        <v>348.59617899050301</v>
      </c>
      <c r="CB95" s="35">
        <f t="shared" ca="1" si="214"/>
        <v>349.00600057763472</v>
      </c>
      <c r="CC95" s="35">
        <f t="shared" ca="1" si="214"/>
        <v>349.42401859650903</v>
      </c>
      <c r="CD95" s="35">
        <f t="shared" ref="CD95:DY95" ca="1" si="215">SUM(CD88:CD89)</f>
        <v>349.89800406778522</v>
      </c>
      <c r="CE95" s="35">
        <f t="shared" ca="1" si="215"/>
        <v>350.33389939701749</v>
      </c>
      <c r="CF95" s="35">
        <f t="shared" ca="1" si="215"/>
        <v>350.77851263283435</v>
      </c>
      <c r="CG95" s="35">
        <f t="shared" ca="1" si="215"/>
        <v>351.23201813336755</v>
      </c>
      <c r="CH95" s="35">
        <f t="shared" ca="1" si="215"/>
        <v>351.69459374391141</v>
      </c>
      <c r="CI95" s="35">
        <f t="shared" ca="1" si="215"/>
        <v>352.16642086666616</v>
      </c>
      <c r="CJ95" s="35">
        <f t="shared" ca="1" si="215"/>
        <v>352.647684531876</v>
      </c>
      <c r="CK95" s="35">
        <f t="shared" ca="1" si="215"/>
        <v>353.13857347039004</v>
      </c>
      <c r="CL95" s="35">
        <f t="shared" ca="1" si="215"/>
        <v>353.63928018767439</v>
      </c>
      <c r="CM95" s="35">
        <f t="shared" ca="1" si="215"/>
        <v>354.15000103930436</v>
      </c>
      <c r="CN95" s="35">
        <f t="shared" ca="1" si="215"/>
        <v>354.670936307967</v>
      </c>
      <c r="CO95" s="35">
        <f t="shared" ca="1" si="215"/>
        <v>355.20229028200282</v>
      </c>
      <c r="CP95" s="35">
        <f t="shared" ca="1" si="215"/>
        <v>355.22870450157257</v>
      </c>
      <c r="CQ95" s="35">
        <f t="shared" ca="1" si="215"/>
        <v>355.25564700553372</v>
      </c>
      <c r="CR95" s="35">
        <f t="shared" ca="1" si="215"/>
        <v>355.28312835957411</v>
      </c>
      <c r="CS95" s="35">
        <f t="shared" ca="1" si="215"/>
        <v>355.31115934069527</v>
      </c>
      <c r="CT95" s="35">
        <f t="shared" ca="1" si="215"/>
        <v>355.33975094143887</v>
      </c>
      <c r="CU95" s="35">
        <f t="shared" ca="1" si="215"/>
        <v>355.36891437419729</v>
      </c>
      <c r="CV95" s="35">
        <f t="shared" ca="1" si="215"/>
        <v>355.3986610756109</v>
      </c>
      <c r="CW95" s="35">
        <f t="shared" ca="1" si="215"/>
        <v>355.42900271105282</v>
      </c>
      <c r="CX95" s="35">
        <f t="shared" ca="1" si="215"/>
        <v>355.45995117920359</v>
      </c>
      <c r="CY95" s="35">
        <f t="shared" ca="1" si="215"/>
        <v>355.49151861671731</v>
      </c>
      <c r="CZ95" s="35">
        <f t="shared" ca="1" si="215"/>
        <v>355.52371740298133</v>
      </c>
      <c r="DA95" s="35">
        <f t="shared" ca="1" si="215"/>
        <v>355.55656016497068</v>
      </c>
      <c r="DB95" s="35">
        <f t="shared" ca="1" si="215"/>
        <v>355.59380016735486</v>
      </c>
      <c r="DC95" s="35">
        <f t="shared" ca="1" si="215"/>
        <v>355.62804751054063</v>
      </c>
      <c r="DD95" s="35">
        <f t="shared" ca="1" si="215"/>
        <v>355.66297980059011</v>
      </c>
      <c r="DE95" s="35">
        <f t="shared" ca="1" si="215"/>
        <v>355.69861073644057</v>
      </c>
      <c r="DF95" s="35">
        <f t="shared" ca="1" si="215"/>
        <v>355.73495429100808</v>
      </c>
      <c r="DG95" s="35">
        <f t="shared" ca="1" si="215"/>
        <v>355.77202471666692</v>
      </c>
      <c r="DH95" s="35">
        <f t="shared" ca="1" si="215"/>
        <v>355.80983655083895</v>
      </c>
      <c r="DI95" s="35">
        <f t="shared" ca="1" si="215"/>
        <v>355.84840462169439</v>
      </c>
      <c r="DJ95" s="35">
        <f t="shared" ca="1" si="215"/>
        <v>355.88774405396697</v>
      </c>
      <c r="DK95" s="35">
        <f t="shared" ca="1" si="215"/>
        <v>355.92787027488498</v>
      </c>
      <c r="DL95" s="35">
        <f t="shared" ca="1" si="215"/>
        <v>355.96879902022135</v>
      </c>
      <c r="DM95" s="35">
        <f t="shared" ca="1" si="215"/>
        <v>356.01054634046443</v>
      </c>
      <c r="DN95" s="35">
        <f t="shared" ca="1" si="215"/>
        <v>356.01262164795668</v>
      </c>
      <c r="DO95" s="35">
        <f t="shared" ca="1" si="215"/>
        <v>356.01473846159877</v>
      </c>
      <c r="DP95" s="35">
        <f t="shared" ca="1" si="215"/>
        <v>356.01689761151368</v>
      </c>
      <c r="DQ95" s="35">
        <f t="shared" ca="1" si="215"/>
        <v>356.01909994442696</v>
      </c>
      <c r="DR95" s="35">
        <f t="shared" ca="1" si="215"/>
        <v>356.02134632399844</v>
      </c>
      <c r="DS95" s="35">
        <f t="shared" ca="1" si="215"/>
        <v>356.02363763116136</v>
      </c>
      <c r="DT95" s="35">
        <f t="shared" ca="1" si="215"/>
        <v>356.02597476446749</v>
      </c>
      <c r="DU95" s="35">
        <f t="shared" ca="1" si="215"/>
        <v>356.02835864043982</v>
      </c>
      <c r="DV95" s="35">
        <f t="shared" ca="1" si="215"/>
        <v>356.03079019393158</v>
      </c>
      <c r="DW95" s="35">
        <f t="shared" ca="1" si="215"/>
        <v>356.03327037849317</v>
      </c>
      <c r="DX95" s="35">
        <f t="shared" ca="1" si="215"/>
        <v>356.03580016674596</v>
      </c>
      <c r="DY95" s="35">
        <f t="shared" ca="1" si="215"/>
        <v>356.03838055076386</v>
      </c>
    </row>
    <row r="96" spans="2:129" outlineLevel="1">
      <c r="D96" s="5" t="s">
        <v>142</v>
      </c>
      <c r="F96" s="5" t="s">
        <v>226</v>
      </c>
      <c r="H96" s="142"/>
      <c r="I96" s="592">
        <f>'Model Assumptions'!K27</f>
        <v>1000</v>
      </c>
      <c r="J96" s="35">
        <f ca="1">+I96+J95</f>
        <v>1102.3273658920029</v>
      </c>
      <c r="K96" s="35">
        <f t="shared" ref="K96:AP96" ca="1" si="216">+J96+K95</f>
        <v>1206.6947317840059</v>
      </c>
      <c r="L96" s="35">
        <f t="shared" ca="1" si="216"/>
        <v>1313.1428976760089</v>
      </c>
      <c r="M96" s="35">
        <f t="shared" ca="1" si="216"/>
        <v>1421.713479568012</v>
      </c>
      <c r="N96" s="35">
        <f t="shared" ca="1" si="216"/>
        <v>1532.4489257800151</v>
      </c>
      <c r="O96" s="35">
        <f t="shared" ca="1" si="216"/>
        <v>1645.3925335984181</v>
      </c>
      <c r="P96" s="35">
        <f t="shared" ca="1" si="216"/>
        <v>1760.5884662553492</v>
      </c>
      <c r="Q96" s="35">
        <f t="shared" ca="1" si="216"/>
        <v>1878.0817702475788</v>
      </c>
      <c r="R96" s="35">
        <f t="shared" ca="1" si="216"/>
        <v>1997.918393001813</v>
      </c>
      <c r="S96" s="35">
        <f t="shared" ca="1" si="216"/>
        <v>2120.1452008932915</v>
      </c>
      <c r="T96" s="35">
        <f t="shared" ca="1" si="216"/>
        <v>2244.8099976247599</v>
      </c>
      <c r="U96" s="35">
        <f t="shared" ca="1" si="216"/>
        <v>2371.9615429730175</v>
      </c>
      <c r="V96" s="35">
        <f t="shared" ca="1" si="216"/>
        <v>2501.6495719104</v>
      </c>
      <c r="W96" s="35">
        <f t="shared" ca="1" si="216"/>
        <v>2633.92481410869</v>
      </c>
      <c r="X96" s="35">
        <f t="shared" ca="1" si="216"/>
        <v>2768.839013833106</v>
      </c>
      <c r="Y96" s="35">
        <f t="shared" ca="1" si="216"/>
        <v>2906.4449502341704</v>
      </c>
      <c r="Z96" s="35">
        <f t="shared" ca="1" si="216"/>
        <v>3046.7964580454159</v>
      </c>
      <c r="AA96" s="35">
        <f t="shared" ca="1" si="216"/>
        <v>3189.9484486950464</v>
      </c>
      <c r="AB96" s="35">
        <f t="shared" ca="1" si="216"/>
        <v>3335.9569318398294</v>
      </c>
      <c r="AC96" s="35">
        <f t="shared" ca="1" si="216"/>
        <v>3484.8790373296679</v>
      </c>
      <c r="AD96" s="35">
        <f t="shared" ca="1" si="216"/>
        <v>3636.7730376114632</v>
      </c>
      <c r="AE96" s="35">
        <f t="shared" ca="1" si="216"/>
        <v>3791.6983705810544</v>
      </c>
      <c r="AF96" s="35">
        <f t="shared" ca="1" si="216"/>
        <v>3949.7156628921971</v>
      </c>
      <c r="AG96" s="35">
        <f t="shared" ca="1" si="216"/>
        <v>4110.8867537317228</v>
      </c>
      <c r="AH96" s="35">
        <f t="shared" ca="1" si="216"/>
        <v>4282.9869906369686</v>
      </c>
      <c r="AI96" s="35">
        <f t="shared" ca="1" si="216"/>
        <v>4458.528717871869</v>
      </c>
      <c r="AJ96" s="35">
        <f t="shared" ca="1" si="216"/>
        <v>4637.5807652430167</v>
      </c>
      <c r="AK96" s="35">
        <f t="shared" ca="1" si="216"/>
        <v>4820.2133391531361</v>
      </c>
      <c r="AL96" s="35">
        <f t="shared" ca="1" si="216"/>
        <v>5006.4980501330074</v>
      </c>
      <c r="AM96" s="35">
        <f t="shared" ca="1" si="216"/>
        <v>5196.5079409240252</v>
      </c>
      <c r="AN96" s="35">
        <f t="shared" ca="1" si="216"/>
        <v>5390.3175151224123</v>
      </c>
      <c r="AO96" s="35">
        <f t="shared" ca="1" si="216"/>
        <v>5588.0027663963165</v>
      </c>
      <c r="AP96" s="35">
        <f t="shared" ca="1" si="216"/>
        <v>5789.6412082872484</v>
      </c>
      <c r="AQ96" s="35">
        <f t="shared" ref="AQ96:BV96" ca="1" si="217">+AP96+AQ95</f>
        <v>5995.3119046075481</v>
      </c>
      <c r="AR96" s="35">
        <f t="shared" ca="1" si="217"/>
        <v>6205.0955004458028</v>
      </c>
      <c r="AS96" s="35">
        <f t="shared" ca="1" si="217"/>
        <v>6419.0742537923716</v>
      </c>
      <c r="AT96" s="35">
        <f t="shared" ca="1" si="217"/>
        <v>6637.3320677974207</v>
      </c>
      <c r="AU96" s="35">
        <f t="shared" ca="1" si="217"/>
        <v>6859.9545236741205</v>
      </c>
      <c r="AV96" s="35">
        <f t="shared" ca="1" si="217"/>
        <v>7087.0289142599031</v>
      </c>
      <c r="AW96" s="35">
        <f t="shared" ca="1" si="217"/>
        <v>7318.6442782489512</v>
      </c>
      <c r="AX96" s="35">
        <f t="shared" ca="1" si="217"/>
        <v>7554.891435109329</v>
      </c>
      <c r="AY96" s="35">
        <f t="shared" ca="1" si="217"/>
        <v>7795.8630206984635</v>
      </c>
      <c r="AZ96" s="35">
        <f t="shared" ca="1" si="217"/>
        <v>8041.6535235909305</v>
      </c>
      <c r="BA96" s="35">
        <f t="shared" ca="1" si="217"/>
        <v>8292.3593221327956</v>
      </c>
      <c r="BB96" s="35">
        <f t="shared" ca="1" si="217"/>
        <v>8548.0787222370473</v>
      </c>
      <c r="BC96" s="35">
        <f t="shared" ca="1" si="217"/>
        <v>8808.9119959349337</v>
      </c>
      <c r="BD96" s="35">
        <f t="shared" ca="1" si="217"/>
        <v>9074.961420698326</v>
      </c>
      <c r="BE96" s="35">
        <f t="shared" ca="1" si="217"/>
        <v>9346.3313195485352</v>
      </c>
      <c r="BF96" s="35">
        <f t="shared" ca="1" si="217"/>
        <v>9623.7340382858965</v>
      </c>
      <c r="BG96" s="35">
        <f t="shared" ca="1" si="217"/>
        <v>9906.6847709820577</v>
      </c>
      <c r="BH96" s="35">
        <f t="shared" ca="1" si="217"/>
        <v>10195.294477916195</v>
      </c>
      <c r="BI96" s="35">
        <f t="shared" ca="1" si="217"/>
        <v>10489.676338573066</v>
      </c>
      <c r="BJ96" s="35">
        <f t="shared" ca="1" si="217"/>
        <v>10789.945796027128</v>
      </c>
      <c r="BK96" s="35">
        <f t="shared" ca="1" si="217"/>
        <v>11096.220602214324</v>
      </c>
      <c r="BL96" s="35">
        <f t="shared" ca="1" si="217"/>
        <v>11408.620864109316</v>
      </c>
      <c r="BM96" s="35">
        <f t="shared" ca="1" si="217"/>
        <v>11727.269090826261</v>
      </c>
      <c r="BN96" s="35">
        <f t="shared" ca="1" si="217"/>
        <v>12052.290241661598</v>
      </c>
      <c r="BO96" s="35">
        <f t="shared" ca="1" si="217"/>
        <v>12383.811775097693</v>
      </c>
      <c r="BP96" s="35">
        <f t="shared" ca="1" si="217"/>
        <v>12721.963698786562</v>
      </c>
      <c r="BQ96" s="35">
        <f t="shared" ca="1" si="217"/>
        <v>13066.878620533262</v>
      </c>
      <c r="BR96" s="35">
        <f t="shared" ca="1" si="217"/>
        <v>13412.129738722217</v>
      </c>
      <c r="BS96" s="35">
        <f t="shared" ca="1" si="217"/>
        <v>13757.723777282272</v>
      </c>
      <c r="BT96" s="35">
        <f t="shared" ca="1" si="217"/>
        <v>14103.667594620851</v>
      </c>
      <c r="BU96" s="35">
        <f t="shared" ca="1" si="217"/>
        <v>14449.968186313523</v>
      </c>
      <c r="BV96" s="35">
        <f t="shared" ca="1" si="217"/>
        <v>14796.63268784737</v>
      </c>
      <c r="BW96" s="35">
        <f t="shared" ref="BW96:CC96" ca="1" si="218">+BV96+BW95</f>
        <v>15143.668377419215</v>
      </c>
      <c r="BX96" s="35">
        <f t="shared" ca="1" si="218"/>
        <v>15491.082678789819</v>
      </c>
      <c r="BY96" s="35">
        <f t="shared" ca="1" si="218"/>
        <v>15838.883164195156</v>
      </c>
      <c r="BZ96" s="35">
        <f t="shared" ca="1" si="218"/>
        <v>16187.077557315923</v>
      </c>
      <c r="CA96" s="35">
        <f t="shared" ca="1" si="218"/>
        <v>16535.673736306424</v>
      </c>
      <c r="CB96" s="35">
        <f t="shared" ca="1" si="218"/>
        <v>16884.67973688406</v>
      </c>
      <c r="CC96" s="35">
        <f t="shared" ca="1" si="218"/>
        <v>17234.10375548057</v>
      </c>
      <c r="CD96" s="35">
        <f t="shared" ref="CD96:DY96" ca="1" si="219">+CC96+CD95</f>
        <v>17584.001759548355</v>
      </c>
      <c r="CE96" s="35">
        <f t="shared" ca="1" si="219"/>
        <v>17934.335658945372</v>
      </c>
      <c r="CF96" s="35">
        <f t="shared" ca="1" si="219"/>
        <v>18285.114171578207</v>
      </c>
      <c r="CG96" s="35">
        <f t="shared" ca="1" si="219"/>
        <v>18636.346189711574</v>
      </c>
      <c r="CH96" s="35">
        <f t="shared" ca="1" si="219"/>
        <v>18988.040783455486</v>
      </c>
      <c r="CI96" s="35">
        <f t="shared" ca="1" si="219"/>
        <v>19340.207204322152</v>
      </c>
      <c r="CJ96" s="35">
        <f t="shared" ca="1" si="219"/>
        <v>19692.854888854028</v>
      </c>
      <c r="CK96" s="35">
        <f t="shared" ca="1" si="219"/>
        <v>20045.993462324419</v>
      </c>
      <c r="CL96" s="35">
        <f t="shared" ca="1" si="219"/>
        <v>20399.632742512094</v>
      </c>
      <c r="CM96" s="35">
        <f t="shared" ca="1" si="219"/>
        <v>20753.782743551397</v>
      </c>
      <c r="CN96" s="35">
        <f t="shared" ca="1" si="219"/>
        <v>21108.453679859365</v>
      </c>
      <c r="CO96" s="35">
        <f t="shared" ca="1" si="219"/>
        <v>21463.655970141368</v>
      </c>
      <c r="CP96" s="35">
        <f t="shared" ca="1" si="219"/>
        <v>21818.884674642941</v>
      </c>
      <c r="CQ96" s="35">
        <f t="shared" ca="1" si="219"/>
        <v>22174.140321648476</v>
      </c>
      <c r="CR96" s="35">
        <f t="shared" ca="1" si="219"/>
        <v>22529.423450008049</v>
      </c>
      <c r="CS96" s="35">
        <f t="shared" ca="1" si="219"/>
        <v>22884.734609348743</v>
      </c>
      <c r="CT96" s="35">
        <f t="shared" ca="1" si="219"/>
        <v>23240.074360290182</v>
      </c>
      <c r="CU96" s="35">
        <f t="shared" ca="1" si="219"/>
        <v>23595.44327466438</v>
      </c>
      <c r="CV96" s="35">
        <f t="shared" ca="1" si="219"/>
        <v>23950.841935739991</v>
      </c>
      <c r="CW96" s="35">
        <f t="shared" ca="1" si="219"/>
        <v>24306.270938451045</v>
      </c>
      <c r="CX96" s="35">
        <f t="shared" ca="1" si="219"/>
        <v>24661.730889630249</v>
      </c>
      <c r="CY96" s="35">
        <f t="shared" ca="1" si="219"/>
        <v>25017.222408246966</v>
      </c>
      <c r="CZ96" s="35">
        <f t="shared" ca="1" si="219"/>
        <v>25372.746125649948</v>
      </c>
      <c r="DA96" s="35">
        <f t="shared" ca="1" si="219"/>
        <v>25728.302685814921</v>
      </c>
      <c r="DB96" s="35">
        <f t="shared" ca="1" si="219"/>
        <v>26083.896485982274</v>
      </c>
      <c r="DC96" s="35">
        <f t="shared" ca="1" si="219"/>
        <v>26439.524533492815</v>
      </c>
      <c r="DD96" s="35">
        <f t="shared" ca="1" si="219"/>
        <v>26795.187513293404</v>
      </c>
      <c r="DE96" s="35">
        <f t="shared" ca="1" si="219"/>
        <v>27150.886124029843</v>
      </c>
      <c r="DF96" s="35">
        <f t="shared" ca="1" si="219"/>
        <v>27506.621078320852</v>
      </c>
      <c r="DG96" s="35">
        <f t="shared" ca="1" si="219"/>
        <v>27862.393103037517</v>
      </c>
      <c r="DH96" s="35">
        <f t="shared" ca="1" si="219"/>
        <v>28218.202939588355</v>
      </c>
      <c r="DI96" s="35">
        <f t="shared" ca="1" si="219"/>
        <v>28574.051344210049</v>
      </c>
      <c r="DJ96" s="35">
        <f t="shared" ca="1" si="219"/>
        <v>28929.939088264015</v>
      </c>
      <c r="DK96" s="35">
        <f t="shared" ca="1" si="219"/>
        <v>29285.8669585389</v>
      </c>
      <c r="DL96" s="35">
        <f t="shared" ca="1" si="219"/>
        <v>29641.835757559122</v>
      </c>
      <c r="DM96" s="35">
        <f t="shared" ca="1" si="219"/>
        <v>29997.846303899587</v>
      </c>
      <c r="DN96" s="35">
        <f t="shared" ca="1" si="219"/>
        <v>30353.858925547545</v>
      </c>
      <c r="DO96" s="35">
        <f t="shared" ca="1" si="219"/>
        <v>30709.873664009145</v>
      </c>
      <c r="DP96" s="35">
        <f t="shared" ca="1" si="219"/>
        <v>31065.890561620658</v>
      </c>
      <c r="DQ96" s="35">
        <f t="shared" ca="1" si="219"/>
        <v>31421.909661565085</v>
      </c>
      <c r="DR96" s="35">
        <f t="shared" ca="1" si="219"/>
        <v>31777.931007889085</v>
      </c>
      <c r="DS96" s="35">
        <f t="shared" ca="1" si="219"/>
        <v>32133.954645520247</v>
      </c>
      <c r="DT96" s="35">
        <f t="shared" ca="1" si="219"/>
        <v>32489.980620284714</v>
      </c>
      <c r="DU96" s="35">
        <f t="shared" ca="1" si="219"/>
        <v>32846.008978925151</v>
      </c>
      <c r="DV96" s="35">
        <f t="shared" ca="1" si="219"/>
        <v>33202.039769119081</v>
      </c>
      <c r="DW96" s="35">
        <f t="shared" ca="1" si="219"/>
        <v>33558.073039497576</v>
      </c>
      <c r="DX96" s="35">
        <f t="shared" ca="1" si="219"/>
        <v>33914.108839664324</v>
      </c>
      <c r="DY96" s="35">
        <f t="shared" ca="1" si="219"/>
        <v>34270.147220215091</v>
      </c>
    </row>
    <row r="97" spans="1:129">
      <c r="J97" s="91"/>
      <c r="K97" s="35"/>
      <c r="L97" s="91"/>
      <c r="M97" s="35"/>
      <c r="N97" s="91"/>
      <c r="O97" s="35"/>
      <c r="P97" s="91"/>
      <c r="Q97" s="91"/>
      <c r="R97" s="35"/>
      <c r="S97" s="35"/>
      <c r="T97" s="35"/>
      <c r="U97" s="35"/>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row>
    <row r="98" spans="1:129" s="328" customFormat="1" ht="15.6">
      <c r="A98" s="20"/>
      <c r="B98" s="391" t="s">
        <v>109</v>
      </c>
      <c r="C98" s="325"/>
      <c r="D98" s="326"/>
      <c r="E98" s="326"/>
      <c r="F98" s="326"/>
      <c r="G98" s="326"/>
      <c r="H98" s="326"/>
      <c r="I98" s="326"/>
      <c r="J98" s="329"/>
      <c r="L98" s="329"/>
      <c r="N98" s="329"/>
      <c r="P98" s="329"/>
      <c r="Q98" s="329"/>
      <c r="X98" s="330"/>
    </row>
    <row r="99" spans="1:129" s="19" customFormat="1" outlineLevel="1">
      <c r="A99" s="20"/>
      <c r="B99" s="14"/>
      <c r="C99" s="14"/>
      <c r="D99" s="30"/>
      <c r="E99" s="30"/>
      <c r="F99" s="30"/>
      <c r="G99" s="14"/>
      <c r="H99" s="14"/>
      <c r="I99" s="14"/>
      <c r="J99" s="104"/>
      <c r="K99" s="14"/>
      <c r="L99" s="104"/>
      <c r="M99" s="14"/>
      <c r="N99" s="104"/>
      <c r="O99" s="14"/>
      <c r="P99" s="104"/>
      <c r="Q99" s="104"/>
      <c r="R99" s="14"/>
      <c r="S99" s="14"/>
      <c r="T99" s="14"/>
      <c r="U99" s="14"/>
      <c r="V99" s="14"/>
      <c r="W99" s="14"/>
      <c r="X99" s="98"/>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row>
    <row r="100" spans="1:129" s="19" customFormat="1" outlineLevel="1">
      <c r="A100" s="20"/>
      <c r="B100" s="63"/>
      <c r="C100" s="14"/>
      <c r="D100" s="30"/>
      <c r="E100" s="30"/>
      <c r="F100" s="30"/>
      <c r="G100" s="14"/>
      <c r="H100" s="14"/>
      <c r="I100" s="14"/>
      <c r="J100" s="108"/>
      <c r="K100" s="108"/>
      <c r="L100" s="108"/>
      <c r="M100" s="14"/>
      <c r="N100" s="104"/>
      <c r="O100" s="14"/>
      <c r="P100" s="104"/>
      <c r="Q100" s="104"/>
      <c r="R100" s="14"/>
      <c r="S100" s="14"/>
      <c r="T100" s="14"/>
      <c r="U100" s="14"/>
      <c r="V100" s="14"/>
      <c r="W100" s="14"/>
      <c r="X100" s="98"/>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08"/>
    </row>
    <row r="101" spans="1:129" s="19" customFormat="1" outlineLevel="2">
      <c r="A101" s="20"/>
      <c r="B101" s="14"/>
      <c r="C101" s="9" t="str">
        <f>'Model Assumptions'!$G$24</f>
        <v>Product 1</v>
      </c>
      <c r="D101" s="9"/>
      <c r="E101" s="30"/>
      <c r="F101" s="5"/>
      <c r="G101" s="570"/>
      <c r="H101" s="14"/>
      <c r="I101" s="14"/>
      <c r="J101" s="108">
        <f>((_activeinstallationsBoPP1*_arpuP1*_Coll.rate)+(_NewSalesP1+_RetainedSalesP1)*_DP_P1)</f>
        <v>20400</v>
      </c>
      <c r="K101" s="108">
        <f ca="1">((_activeinstallationsBoPP1*_arpuP1*_Coll.rate)+(_NewSalesP1+_RetainedSalesP1)*_DP_P1)</f>
        <v>20808</v>
      </c>
      <c r="L101" s="108">
        <f t="shared" ref="L101:AO101" ca="1" si="220">((_activeinstallationsBoPP1*_arpuP1*_Coll.rate)+(_NewSalesP1+_RetainedSalesP1)*_DP_P1)</f>
        <v>21224.16</v>
      </c>
      <c r="M101" s="108">
        <f t="shared" ca="1" si="220"/>
        <v>21648.643200000002</v>
      </c>
      <c r="N101" s="108">
        <f t="shared" ca="1" si="220"/>
        <v>22081.616064000002</v>
      </c>
      <c r="O101" s="108">
        <f t="shared" ca="1" si="220"/>
        <v>22523.248385280003</v>
      </c>
      <c r="P101" s="108">
        <f t="shared" ca="1" si="220"/>
        <v>22973.7133529856</v>
      </c>
      <c r="Q101" s="108">
        <f t="shared" ca="1" si="220"/>
        <v>23433.187620045312</v>
      </c>
      <c r="R101" s="108">
        <f t="shared" ca="1" si="220"/>
        <v>23901.851372446221</v>
      </c>
      <c r="S101" s="108">
        <f t="shared" ca="1" si="220"/>
        <v>24379.888399895142</v>
      </c>
      <c r="T101" s="108">
        <f t="shared" ca="1" si="220"/>
        <v>24867.486167893047</v>
      </c>
      <c r="U101" s="108">
        <f t="shared" ca="1" si="220"/>
        <v>25364.83589125091</v>
      </c>
      <c r="V101" s="108">
        <f t="shared" ca="1" si="220"/>
        <v>25872.132609075925</v>
      </c>
      <c r="W101" s="108">
        <f t="shared" ca="1" si="220"/>
        <v>26389.575261257443</v>
      </c>
      <c r="X101" s="108">
        <f t="shared" ca="1" si="220"/>
        <v>26917.366766482595</v>
      </c>
      <c r="Y101" s="108">
        <f t="shared" ca="1" si="220"/>
        <v>27455.714101812249</v>
      </c>
      <c r="Z101" s="108">
        <f t="shared" ca="1" si="220"/>
        <v>28004.828383848493</v>
      </c>
      <c r="AA101" s="108">
        <f t="shared" ca="1" si="220"/>
        <v>28564.924951525467</v>
      </c>
      <c r="AB101" s="108">
        <f t="shared" ca="1" si="220"/>
        <v>29136.223450555975</v>
      </c>
      <c r="AC101" s="108">
        <f t="shared" ca="1" si="220"/>
        <v>29718.947919567094</v>
      </c>
      <c r="AD101" s="108">
        <f t="shared" ca="1" si="220"/>
        <v>30313.326877958436</v>
      </c>
      <c r="AE101" s="108">
        <f t="shared" ca="1" si="220"/>
        <v>30919.593415517604</v>
      </c>
      <c r="AF101" s="108">
        <f t="shared" ca="1" si="220"/>
        <v>31537.985283827958</v>
      </c>
      <c r="AG101" s="108">
        <f t="shared" ca="1" si="220"/>
        <v>32168.744989504517</v>
      </c>
      <c r="AH101" s="108">
        <f t="shared" ca="1" si="220"/>
        <v>32812.119889294605</v>
      </c>
      <c r="AI101" s="108">
        <f t="shared" ca="1" si="220"/>
        <v>33468.362287080505</v>
      </c>
      <c r="AJ101" s="108">
        <f t="shared" ca="1" si="220"/>
        <v>34137.729532822115</v>
      </c>
      <c r="AK101" s="108">
        <f t="shared" ca="1" si="220"/>
        <v>34820.484123478556</v>
      </c>
      <c r="AL101" s="108">
        <f t="shared" ca="1" si="220"/>
        <v>35516.89380594813</v>
      </c>
      <c r="AM101" s="108">
        <f t="shared" ca="1" si="220"/>
        <v>36227.231682067089</v>
      </c>
      <c r="AN101" s="108">
        <f t="shared" ca="1" si="220"/>
        <v>36951.776315708434</v>
      </c>
      <c r="AO101" s="108">
        <f t="shared" ca="1" si="220"/>
        <v>37690.811842022602</v>
      </c>
      <c r="AP101" s="108">
        <f t="shared" ref="AP101:BU101" ca="1" si="221">((_activeinstallationsBoPP1*_arpuP1*_Coll.rate)+(_NewSalesP1+_RetainedSalesP1)*_DP_P1)</f>
        <v>38444.628078863054</v>
      </c>
      <c r="AQ101" s="108">
        <f t="shared" ca="1" si="221"/>
        <v>39213.520640440314</v>
      </c>
      <c r="AR101" s="108">
        <f t="shared" ca="1" si="221"/>
        <v>39997.791053249122</v>
      </c>
      <c r="AS101" s="108">
        <f t="shared" ca="1" si="221"/>
        <v>40797.746874314107</v>
      </c>
      <c r="AT101" s="108">
        <f t="shared" ca="1" si="221"/>
        <v>41613.701811800391</v>
      </c>
      <c r="AU101" s="108">
        <f t="shared" ca="1" si="221"/>
        <v>42445.975848036396</v>
      </c>
      <c r="AV101" s="108">
        <f t="shared" ca="1" si="221"/>
        <v>43294.895364997123</v>
      </c>
      <c r="AW101" s="108">
        <f t="shared" ca="1" si="221"/>
        <v>44160.793272297073</v>
      </c>
      <c r="AX101" s="108">
        <f t="shared" ca="1" si="221"/>
        <v>45044.009137743007</v>
      </c>
      <c r="AY101" s="108">
        <f t="shared" ca="1" si="221"/>
        <v>45944.889320497874</v>
      </c>
      <c r="AZ101" s="108">
        <f t="shared" ca="1" si="221"/>
        <v>46863.787106907832</v>
      </c>
      <c r="BA101" s="108">
        <f t="shared" ca="1" si="221"/>
        <v>47801.062849045986</v>
      </c>
      <c r="BB101" s="108">
        <f t="shared" ca="1" si="221"/>
        <v>48757.084106026901</v>
      </c>
      <c r="BC101" s="108">
        <f t="shared" ca="1" si="221"/>
        <v>49732.225788147436</v>
      </c>
      <c r="BD101" s="108">
        <f t="shared" ca="1" si="221"/>
        <v>50726.870303910386</v>
      </c>
      <c r="BE101" s="108">
        <f t="shared" ca="1" si="221"/>
        <v>51741.407709988598</v>
      </c>
      <c r="BF101" s="108">
        <f t="shared" ca="1" si="221"/>
        <v>52776.235864188369</v>
      </c>
      <c r="BG101" s="108">
        <f t="shared" ca="1" si="221"/>
        <v>53831.760581472139</v>
      </c>
      <c r="BH101" s="108">
        <f t="shared" ca="1" si="221"/>
        <v>54908.395793101583</v>
      </c>
      <c r="BI101" s="108">
        <f t="shared" ca="1" si="221"/>
        <v>56006.563708963615</v>
      </c>
      <c r="BJ101" s="108">
        <f t="shared" ca="1" si="221"/>
        <v>57126.694983142894</v>
      </c>
      <c r="BK101" s="108">
        <f t="shared" ca="1" si="221"/>
        <v>58269.22888280575</v>
      </c>
      <c r="BL101" s="108">
        <f t="shared" ca="1" si="221"/>
        <v>59434.613460461864</v>
      </c>
      <c r="BM101" s="108">
        <f t="shared" ca="1" si="221"/>
        <v>60623.305729671105</v>
      </c>
      <c r="BN101" s="108">
        <f t="shared" ca="1" si="221"/>
        <v>61835.771844264527</v>
      </c>
      <c r="BO101" s="108">
        <f t="shared" ca="1" si="221"/>
        <v>63072.487281149821</v>
      </c>
      <c r="BP101" s="108">
        <f t="shared" ca="1" si="221"/>
        <v>64333.937026772815</v>
      </c>
      <c r="BQ101" s="108">
        <f t="shared" ca="1" si="221"/>
        <v>65620.615767308278</v>
      </c>
      <c r="BR101" s="108">
        <f t="shared" ca="1" si="221"/>
        <v>65620.615767308278</v>
      </c>
      <c r="BS101" s="108">
        <f t="shared" ca="1" si="221"/>
        <v>65620.615767308278</v>
      </c>
      <c r="BT101" s="108">
        <f t="shared" ca="1" si="221"/>
        <v>65620.615767308278</v>
      </c>
      <c r="BU101" s="108">
        <f t="shared" ca="1" si="221"/>
        <v>65620.615767308278</v>
      </c>
      <c r="BV101" s="108">
        <f t="shared" ref="BV101:DY101" ca="1" si="222">((_activeinstallationsBoPP1*_arpuP1*_Coll.rate)+(_NewSalesP1+_RetainedSalesP1)*_DP_P1)</f>
        <v>65620.615767308278</v>
      </c>
      <c r="BW101" s="108">
        <f t="shared" ca="1" si="222"/>
        <v>65620.615767308278</v>
      </c>
      <c r="BX101" s="108">
        <f t="shared" ca="1" si="222"/>
        <v>65620.615767308278</v>
      </c>
      <c r="BY101" s="108">
        <f t="shared" ca="1" si="222"/>
        <v>65620.615767308278</v>
      </c>
      <c r="BZ101" s="108">
        <f t="shared" ca="1" si="222"/>
        <v>65620.615767308278</v>
      </c>
      <c r="CA101" s="108">
        <f t="shared" ca="1" si="222"/>
        <v>65620.615767308278</v>
      </c>
      <c r="CB101" s="108">
        <f t="shared" ca="1" si="222"/>
        <v>65620.615767308278</v>
      </c>
      <c r="CC101" s="108">
        <f t="shared" ca="1" si="222"/>
        <v>65620.615767308278</v>
      </c>
      <c r="CD101" s="108">
        <f t="shared" ca="1" si="222"/>
        <v>65620.615767308278</v>
      </c>
      <c r="CE101" s="108">
        <f t="shared" ca="1" si="222"/>
        <v>65620.615767308278</v>
      </c>
      <c r="CF101" s="108">
        <f t="shared" ca="1" si="222"/>
        <v>65620.615767308278</v>
      </c>
      <c r="CG101" s="108">
        <f t="shared" ca="1" si="222"/>
        <v>65620.615767308278</v>
      </c>
      <c r="CH101" s="108">
        <f t="shared" ca="1" si="222"/>
        <v>65620.615767308278</v>
      </c>
      <c r="CI101" s="108">
        <f t="shared" ca="1" si="222"/>
        <v>65620.615767308278</v>
      </c>
      <c r="CJ101" s="108">
        <f t="shared" ca="1" si="222"/>
        <v>65620.615767308278</v>
      </c>
      <c r="CK101" s="108">
        <f t="shared" ca="1" si="222"/>
        <v>65620.615767308278</v>
      </c>
      <c r="CL101" s="108">
        <f t="shared" ca="1" si="222"/>
        <v>65620.615767308278</v>
      </c>
      <c r="CM101" s="108">
        <f t="shared" ca="1" si="222"/>
        <v>65620.615767308278</v>
      </c>
      <c r="CN101" s="108">
        <f t="shared" ca="1" si="222"/>
        <v>65620.615767308278</v>
      </c>
      <c r="CO101" s="108">
        <f t="shared" ca="1" si="222"/>
        <v>65620.615767308278</v>
      </c>
      <c r="CP101" s="108">
        <f t="shared" ca="1" si="222"/>
        <v>65620.615767308278</v>
      </c>
      <c r="CQ101" s="108">
        <f t="shared" ca="1" si="222"/>
        <v>65620.615767308278</v>
      </c>
      <c r="CR101" s="108">
        <f t="shared" ca="1" si="222"/>
        <v>65620.615767308278</v>
      </c>
      <c r="CS101" s="108">
        <f t="shared" ca="1" si="222"/>
        <v>65620.615767308278</v>
      </c>
      <c r="CT101" s="108">
        <f t="shared" ca="1" si="222"/>
        <v>65620.615767308278</v>
      </c>
      <c r="CU101" s="108">
        <f t="shared" ca="1" si="222"/>
        <v>65620.615767308278</v>
      </c>
      <c r="CV101" s="108">
        <f t="shared" ca="1" si="222"/>
        <v>65620.615767308278</v>
      </c>
      <c r="CW101" s="108">
        <f t="shared" ca="1" si="222"/>
        <v>65620.615767308278</v>
      </c>
      <c r="CX101" s="108">
        <f t="shared" ca="1" si="222"/>
        <v>65620.615767308278</v>
      </c>
      <c r="CY101" s="108">
        <f t="shared" ca="1" si="222"/>
        <v>65620.615767308278</v>
      </c>
      <c r="CZ101" s="108">
        <f t="shared" ca="1" si="222"/>
        <v>65620.615767308278</v>
      </c>
      <c r="DA101" s="108">
        <f t="shared" ca="1" si="222"/>
        <v>65620.615767308278</v>
      </c>
      <c r="DB101" s="108">
        <f t="shared" ca="1" si="222"/>
        <v>65620.615767308278</v>
      </c>
      <c r="DC101" s="108">
        <f t="shared" ca="1" si="222"/>
        <v>65620.615767308278</v>
      </c>
      <c r="DD101" s="108">
        <f t="shared" ca="1" si="222"/>
        <v>65620.615767308278</v>
      </c>
      <c r="DE101" s="108">
        <f t="shared" ca="1" si="222"/>
        <v>65620.615767308278</v>
      </c>
      <c r="DF101" s="108">
        <f t="shared" ca="1" si="222"/>
        <v>65620.615767308278</v>
      </c>
      <c r="DG101" s="108">
        <f t="shared" ca="1" si="222"/>
        <v>65620.615767308278</v>
      </c>
      <c r="DH101" s="108">
        <f t="shared" ca="1" si="222"/>
        <v>65620.615767308278</v>
      </c>
      <c r="DI101" s="108">
        <f t="shared" ca="1" si="222"/>
        <v>65620.615767308278</v>
      </c>
      <c r="DJ101" s="108">
        <f t="shared" ca="1" si="222"/>
        <v>65620.615767308278</v>
      </c>
      <c r="DK101" s="108">
        <f t="shared" ca="1" si="222"/>
        <v>65620.615767308278</v>
      </c>
      <c r="DL101" s="108">
        <f t="shared" ca="1" si="222"/>
        <v>65620.615767308278</v>
      </c>
      <c r="DM101" s="108">
        <f t="shared" ca="1" si="222"/>
        <v>65620.615767308278</v>
      </c>
      <c r="DN101" s="108">
        <f t="shared" ca="1" si="222"/>
        <v>65620.615767308278</v>
      </c>
      <c r="DO101" s="108">
        <f t="shared" ca="1" si="222"/>
        <v>65620.615767308278</v>
      </c>
      <c r="DP101" s="108">
        <f t="shared" ca="1" si="222"/>
        <v>65620.615767308278</v>
      </c>
      <c r="DQ101" s="108">
        <f t="shared" ca="1" si="222"/>
        <v>65620.615767308278</v>
      </c>
      <c r="DR101" s="108">
        <f t="shared" ca="1" si="222"/>
        <v>65620.615767308278</v>
      </c>
      <c r="DS101" s="108">
        <f t="shared" ca="1" si="222"/>
        <v>65620.615767308278</v>
      </c>
      <c r="DT101" s="108">
        <f t="shared" ca="1" si="222"/>
        <v>65620.615767308278</v>
      </c>
      <c r="DU101" s="108">
        <f t="shared" ca="1" si="222"/>
        <v>65620.615767308278</v>
      </c>
      <c r="DV101" s="108">
        <f t="shared" ca="1" si="222"/>
        <v>65620.615767308278</v>
      </c>
      <c r="DW101" s="108">
        <f t="shared" ca="1" si="222"/>
        <v>65620.615767308278</v>
      </c>
      <c r="DX101" s="108">
        <f t="shared" ca="1" si="222"/>
        <v>65620.615767308278</v>
      </c>
      <c r="DY101" s="108">
        <f t="shared" ca="1" si="222"/>
        <v>65620.615767308278</v>
      </c>
    </row>
    <row r="102" spans="1:129" s="19" customFormat="1" outlineLevel="2">
      <c r="A102" s="20"/>
      <c r="B102" s="14"/>
      <c r="C102" s="9" t="str">
        <f>'Model Assumptions'!$H$24</f>
        <v>Product 2</v>
      </c>
      <c r="D102" s="9"/>
      <c r="E102" s="30"/>
      <c r="F102" s="5"/>
      <c r="G102" s="570"/>
      <c r="H102" s="14"/>
      <c r="I102" s="14"/>
      <c r="J102" s="108">
        <f t="shared" ref="J102:AO102" ca="1" si="223">((_activeinstallationsBoPP2*_arpuP2*_Coll.rate)+(_NewSalesP2+_RetainedSalesP2)*_DP_P2)</f>
        <v>811263.84871716122</v>
      </c>
      <c r="K102" s="108">
        <f t="shared" ca="1" si="223"/>
        <v>831066.22025963874</v>
      </c>
      <c r="L102" s="108">
        <f t="shared" ca="1" si="223"/>
        <v>852131.20808669133</v>
      </c>
      <c r="M102" s="108">
        <f t="shared" ca="1" si="223"/>
        <v>874475.39883547334</v>
      </c>
      <c r="N102" s="108">
        <f t="shared" ca="1" si="223"/>
        <v>898115.79753276776</v>
      </c>
      <c r="O102" s="108">
        <f t="shared" ca="1" si="223"/>
        <v>923069.83509620908</v>
      </c>
      <c r="P102" s="108">
        <f t="shared" ca="1" si="223"/>
        <v>949355.37599419849</v>
      </c>
      <c r="Q102" s="108">
        <f t="shared" ca="1" si="223"/>
        <v>976990.72606759402</v>
      </c>
      <c r="R102" s="108">
        <f t="shared" ca="1" si="223"/>
        <v>1005994.6405163292</v>
      </c>
      <c r="S102" s="108">
        <f t="shared" ca="1" si="223"/>
        <v>1036386.3320541724</v>
      </c>
      <c r="T102" s="108">
        <f t="shared" ca="1" si="223"/>
        <v>1068185.4792349043</v>
      </c>
      <c r="U102" s="108">
        <f t="shared" ca="1" si="223"/>
        <v>1101412.2349532614</v>
      </c>
      <c r="V102" s="108">
        <f t="shared" ca="1" si="223"/>
        <v>1138858.4153775075</v>
      </c>
      <c r="W102" s="108">
        <f t="shared" ca="1" si="223"/>
        <v>1161086.755520402</v>
      </c>
      <c r="X102" s="108">
        <f t="shared" ca="1" si="223"/>
        <v>1183845.1327825352</v>
      </c>
      <c r="Y102" s="108">
        <f t="shared" ca="1" si="223"/>
        <v>1207143.2932031283</v>
      </c>
      <c r="Z102" s="108">
        <f t="shared" ca="1" si="223"/>
        <v>1230991.1862892173</v>
      </c>
      <c r="AA102" s="108">
        <f t="shared" ca="1" si="223"/>
        <v>1255398.9689995425</v>
      </c>
      <c r="AB102" s="108">
        <f t="shared" ca="1" si="223"/>
        <v>1280377.0098089632</v>
      </c>
      <c r="AC102" s="108">
        <f t="shared" ca="1" si="223"/>
        <v>1305935.8928550116</v>
      </c>
      <c r="AD102" s="108">
        <f t="shared" ca="1" si="223"/>
        <v>1332086.4221682169</v>
      </c>
      <c r="AE102" s="108">
        <f t="shared" ca="1" si="223"/>
        <v>1358839.625987859</v>
      </c>
      <c r="AF102" s="108">
        <f t="shared" ca="1" si="223"/>
        <v>1386206.7611648657</v>
      </c>
      <c r="AG102" s="108">
        <f t="shared" ca="1" si="223"/>
        <v>1414199.3176535736</v>
      </c>
      <c r="AH102" s="108">
        <f t="shared" ca="1" si="223"/>
        <v>1443074.6563194823</v>
      </c>
      <c r="AI102" s="108">
        <f t="shared" ca="1" si="223"/>
        <v>1471119.9846643391</v>
      </c>
      <c r="AJ102" s="108">
        <f t="shared" ca="1" si="223"/>
        <v>1499741.470710468</v>
      </c>
      <c r="AK102" s="108">
        <f t="shared" ca="1" si="223"/>
        <v>1528950.4851005506</v>
      </c>
      <c r="AL102" s="108">
        <f t="shared" ca="1" si="223"/>
        <v>1558758.6274152361</v>
      </c>
      <c r="AM102" s="108">
        <f t="shared" ca="1" si="223"/>
        <v>1589177.7307366482</v>
      </c>
      <c r="AN102" s="108">
        <f t="shared" ca="1" si="223"/>
        <v>1620219.866303317</v>
      </c>
      <c r="AO102" s="108">
        <f t="shared" ca="1" si="223"/>
        <v>1651897.3482583598</v>
      </c>
      <c r="AP102" s="108">
        <f t="shared" ref="AP102:BU102" ca="1" si="224">((_activeinstallationsBoPP2*_arpuP2*_Coll.rate)+(_NewSalesP2+_RetainedSalesP2)*_DP_P2)</f>
        <v>1684222.7384927736</v>
      </c>
      <c r="AQ102" s="108">
        <f t="shared" ca="1" si="224"/>
        <v>1717208.8515857426</v>
      </c>
      <c r="AR102" s="108">
        <f t="shared" ca="1" si="224"/>
        <v>1750868.7598438996</v>
      </c>
      <c r="AS102" s="108">
        <f t="shared" ca="1" si="224"/>
        <v>1785215.7984415155</v>
      </c>
      <c r="AT102" s="108">
        <f t="shared" ca="1" si="224"/>
        <v>1820285.3432211298</v>
      </c>
      <c r="AU102" s="108">
        <f t="shared" ca="1" si="224"/>
        <v>1855938.3905880591</v>
      </c>
      <c r="AV102" s="108">
        <f t="shared" ca="1" si="224"/>
        <v>1892312.6538986654</v>
      </c>
      <c r="AW102" s="108">
        <f t="shared" ca="1" si="224"/>
        <v>1929422.4759218588</v>
      </c>
      <c r="AX102" s="108">
        <f t="shared" ca="1" si="224"/>
        <v>1967282.4870974275</v>
      </c>
      <c r="AY102" s="108">
        <f t="shared" ca="1" si="224"/>
        <v>2005907.611281299</v>
      </c>
      <c r="AZ102" s="108">
        <f t="shared" ca="1" si="224"/>
        <v>2045313.0716057927</v>
      </c>
      <c r="BA102" s="108">
        <f t="shared" ca="1" si="224"/>
        <v>2085514.3964571515</v>
      </c>
      <c r="BB102" s="108">
        <f t="shared" ca="1" si="224"/>
        <v>2126527.4255727082</v>
      </c>
      <c r="BC102" s="108">
        <f t="shared" ca="1" si="224"/>
        <v>2168368.3162600757</v>
      </c>
      <c r="BD102" s="108">
        <f t="shared" ca="1" si="224"/>
        <v>2211053.5497407946</v>
      </c>
      <c r="BE102" s="108">
        <f t="shared" ca="1" si="224"/>
        <v>2254599.937620936</v>
      </c>
      <c r="BF102" s="108">
        <f t="shared" ca="1" si="224"/>
        <v>2299026.5583777484</v>
      </c>
      <c r="BG102" s="108">
        <f t="shared" ca="1" si="224"/>
        <v>2344337.353236774</v>
      </c>
      <c r="BH102" s="108">
        <f t="shared" ca="1" si="224"/>
        <v>2390561.117056611</v>
      </c>
      <c r="BI102" s="108">
        <f t="shared" ca="1" si="224"/>
        <v>2437716.0416858396</v>
      </c>
      <c r="BJ102" s="108">
        <f t="shared" ca="1" si="224"/>
        <v>2485820.6834853175</v>
      </c>
      <c r="BK102" s="108">
        <f t="shared" ca="1" si="224"/>
        <v>2534893.9706116747</v>
      </c>
      <c r="BL102" s="108">
        <f t="shared" ca="1" si="224"/>
        <v>2584955.2104465379</v>
      </c>
      <c r="BM102" s="108">
        <f t="shared" ca="1" si="224"/>
        <v>2636024.0971744196</v>
      </c>
      <c r="BN102" s="108">
        <f t="shared" ca="1" si="224"/>
        <v>2688120.7195122149</v>
      </c>
      <c r="BO102" s="108">
        <f t="shared" ca="1" si="224"/>
        <v>2741265.5685933689</v>
      </c>
      <c r="BP102" s="108">
        <f t="shared" ca="1" si="224"/>
        <v>2795479.5460097841</v>
      </c>
      <c r="BQ102" s="108">
        <f t="shared" ca="1" si="224"/>
        <v>2850783.9720146265</v>
      </c>
      <c r="BR102" s="108">
        <f t="shared" ca="1" si="224"/>
        <v>2899326.2910594149</v>
      </c>
      <c r="BS102" s="108">
        <f t="shared" ca="1" si="224"/>
        <v>2944382.2673827028</v>
      </c>
      <c r="BT102" s="108">
        <f t="shared" ca="1" si="224"/>
        <v>2985927.7270535496</v>
      </c>
      <c r="BU102" s="108">
        <f t="shared" ca="1" si="224"/>
        <v>3023936.5761006954</v>
      </c>
      <c r="BV102" s="108">
        <f t="shared" ref="BV102:DY102" ca="1" si="225">((_activeinstallationsBoPP2*_arpuP2*_Coll.rate)+(_NewSalesP2+_RetainedSalesP2)*_DP_P2)</f>
        <v>3058381.7575098383</v>
      </c>
      <c r="BW102" s="108">
        <f t="shared" ca="1" si="225"/>
        <v>3089235.2363744071</v>
      </c>
      <c r="BX102" s="108">
        <f t="shared" ca="1" si="225"/>
        <v>3116467.9847052372</v>
      </c>
      <c r="BY102" s="108">
        <f t="shared" ca="1" si="225"/>
        <v>3140049.9658927666</v>
      </c>
      <c r="BZ102" s="108">
        <f t="shared" ca="1" si="225"/>
        <v>3159950.1188152251</v>
      </c>
      <c r="CA102" s="108">
        <f t="shared" ca="1" si="225"/>
        <v>3176136.341586201</v>
      </c>
      <c r="CB102" s="108">
        <f t="shared" ca="1" si="225"/>
        <v>3188575.4749347651</v>
      </c>
      <c r="CC102" s="108">
        <f t="shared" ca="1" si="225"/>
        <v>3197233.285211246</v>
      </c>
      <c r="CD102" s="108">
        <f t="shared" ca="1" si="225"/>
        <v>3201376.4807212241</v>
      </c>
      <c r="CE102" s="108">
        <f t="shared" ca="1" si="225"/>
        <v>3205212.247308746</v>
      </c>
      <c r="CF102" s="108">
        <f t="shared" ca="1" si="225"/>
        <v>3208738.4262809232</v>
      </c>
      <c r="CG102" s="108">
        <f t="shared" ca="1" si="225"/>
        <v>3211952.6889149193</v>
      </c>
      <c r="CH102" s="108">
        <f t="shared" ca="1" si="225"/>
        <v>3214852.621283147</v>
      </c>
      <c r="CI102" s="108">
        <f t="shared" ca="1" si="225"/>
        <v>3217435.7229354754</v>
      </c>
      <c r="CJ102" s="108">
        <f t="shared" ca="1" si="225"/>
        <v>3219699.4055512198</v>
      </c>
      <c r="CK102" s="108">
        <f t="shared" ca="1" si="225"/>
        <v>3221640.9915603437</v>
      </c>
      <c r="CL102" s="108">
        <f t="shared" ca="1" si="225"/>
        <v>3223257.7127333051</v>
      </c>
      <c r="CM102" s="108">
        <f t="shared" ca="1" si="225"/>
        <v>3224546.7087389445</v>
      </c>
      <c r="CN102" s="108">
        <f t="shared" ca="1" si="225"/>
        <v>3225505.0256698215</v>
      </c>
      <c r="CO102" s="108">
        <f t="shared" ca="1" si="225"/>
        <v>3226129.6145343906</v>
      </c>
      <c r="CP102" s="108">
        <f t="shared" ca="1" si="225"/>
        <v>3226355.4630393004</v>
      </c>
      <c r="CQ102" s="108">
        <f t="shared" ca="1" si="225"/>
        <v>3226555.4754903819</v>
      </c>
      <c r="CR102" s="108">
        <f t="shared" ca="1" si="225"/>
        <v>3226729.4464045567</v>
      </c>
      <c r="CS102" s="108">
        <f t="shared" ca="1" si="225"/>
        <v>3226877.1553689451</v>
      </c>
      <c r="CT102" s="108">
        <f t="shared" ca="1" si="225"/>
        <v>3226998.3745582318</v>
      </c>
      <c r="CU102" s="108">
        <f t="shared" ca="1" si="225"/>
        <v>3227092.868616459</v>
      </c>
      <c r="CV102" s="108">
        <f t="shared" ca="1" si="225"/>
        <v>3227160.3945361539</v>
      </c>
      <c r="CW102" s="108">
        <f t="shared" ca="1" si="225"/>
        <v>3227200.701534743</v>
      </c>
      <c r="CX102" s="108">
        <f t="shared" ca="1" si="225"/>
        <v>3227213.5309281987</v>
      </c>
      <c r="CY102" s="108">
        <f t="shared" ca="1" si="225"/>
        <v>3227198.61600187</v>
      </c>
      <c r="CZ102" s="108">
        <f t="shared" ca="1" si="225"/>
        <v>3227155.6818784378</v>
      </c>
      <c r="DA102" s="108">
        <f t="shared" ca="1" si="225"/>
        <v>3227084.4453829457</v>
      </c>
      <c r="DB102" s="108">
        <f t="shared" ca="1" si="225"/>
        <v>3226979.131136274</v>
      </c>
      <c r="DC102" s="108">
        <f t="shared" ca="1" si="225"/>
        <v>3226872.7801520415</v>
      </c>
      <c r="DD102" s="108">
        <f t="shared" ca="1" si="225"/>
        <v>3226765.3616832262</v>
      </c>
      <c r="DE102" s="108">
        <f t="shared" ca="1" si="225"/>
        <v>3226656.8437847872</v>
      </c>
      <c r="DF102" s="108">
        <f t="shared" ca="1" si="225"/>
        <v>3226547.1939787343</v>
      </c>
      <c r="DG102" s="108">
        <f t="shared" ca="1" si="225"/>
        <v>3226436.379242409</v>
      </c>
      <c r="DH102" s="108">
        <f t="shared" ca="1" si="225"/>
        <v>3226324.3659965512</v>
      </c>
      <c r="DI102" s="108">
        <f t="shared" ca="1" si="225"/>
        <v>3226211.1200931156</v>
      </c>
      <c r="DJ102" s="108">
        <f t="shared" ca="1" si="225"/>
        <v>3226096.6068028775</v>
      </c>
      <c r="DK102" s="108">
        <f t="shared" ca="1" si="225"/>
        <v>3225980.7908027894</v>
      </c>
      <c r="DL102" s="108">
        <f t="shared" ca="1" si="225"/>
        <v>3225863.6361630931</v>
      </c>
      <c r="DM102" s="108">
        <f t="shared" ca="1" si="225"/>
        <v>3225745.1063341945</v>
      </c>
      <c r="DN102" s="108">
        <f t="shared" ca="1" si="225"/>
        <v>3225624.6780603221</v>
      </c>
      <c r="DO102" s="108">
        <f t="shared" ca="1" si="225"/>
        <v>3225505.2688253839</v>
      </c>
      <c r="DP102" s="108">
        <f t="shared" ca="1" si="225"/>
        <v>3225386.8647946734</v>
      </c>
      <c r="DQ102" s="108">
        <f t="shared" ca="1" si="225"/>
        <v>3225269.4521383867</v>
      </c>
      <c r="DR102" s="108">
        <f t="shared" ca="1" si="225"/>
        <v>3225153.01708946</v>
      </c>
      <c r="DS102" s="108">
        <f t="shared" ca="1" si="225"/>
        <v>3225037.5459414362</v>
      </c>
      <c r="DT102" s="108">
        <f t="shared" ca="1" si="225"/>
        <v>3224923.025046315</v>
      </c>
      <c r="DU102" s="108">
        <f t="shared" ca="1" si="225"/>
        <v>3224809.4408123959</v>
      </c>
      <c r="DV102" s="108">
        <f t="shared" ca="1" si="225"/>
        <v>3224696.7797021121</v>
      </c>
      <c r="DW102" s="108">
        <f t="shared" ca="1" si="225"/>
        <v>3224585.0282298517</v>
      </c>
      <c r="DX102" s="108">
        <f t="shared" ca="1" si="225"/>
        <v>3224474.1729597747</v>
      </c>
      <c r="DY102" s="108">
        <f t="shared" ca="1" si="225"/>
        <v>3224364.2005036077</v>
      </c>
    </row>
    <row r="103" spans="1:129" s="19" customFormat="1" outlineLevel="2">
      <c r="A103" s="20"/>
      <c r="B103" s="14"/>
      <c r="C103" s="9" t="str">
        <f>'Model Assumptions'!$I$24</f>
        <v>Product 3</v>
      </c>
      <c r="D103" s="9"/>
      <c r="E103" s="30"/>
      <c r="F103" s="5"/>
      <c r="G103" s="570"/>
      <c r="H103" s="14"/>
      <c r="I103" s="14"/>
      <c r="J103" s="108">
        <f ca="1">((_activeinstallationsBoPP3*_arpuP3*_Coll.rate)+(_NewSalesP3+_RetainedSalesP3)*_DP_P3)</f>
        <v>355203.1210952723</v>
      </c>
      <c r="K103" s="108">
        <f t="shared" ref="K103:AO103" ca="1" si="226">((_activeinstallationsBoPP3*_arpuP3*_Coll.rate)+(_NewSalesP3+_RetainedSalesP3)*_DP_P3)</f>
        <v>365696.03683579614</v>
      </c>
      <c r="L103" s="108">
        <f t="shared" ca="1" si="226"/>
        <v>376496.27341891476</v>
      </c>
      <c r="M103" s="108">
        <f t="shared" ca="1" si="226"/>
        <v>387609.0026362022</v>
      </c>
      <c r="N103" s="108">
        <f t="shared" ca="1" si="226"/>
        <v>399039.50946131686</v>
      </c>
      <c r="O103" s="108">
        <f t="shared" ca="1" si="226"/>
        <v>410793.1942161803</v>
      </c>
      <c r="P103" s="108">
        <f t="shared" ca="1" si="226"/>
        <v>422875.57478145516</v>
      </c>
      <c r="Q103" s="108">
        <f t="shared" ca="1" si="226"/>
        <v>435292.28885219636</v>
      </c>
      <c r="R103" s="108">
        <f t="shared" ca="1" si="226"/>
        <v>448049.09623957169</v>
      </c>
      <c r="S103" s="108">
        <f t="shared" ca="1" si="226"/>
        <v>461151.88121956191</v>
      </c>
      <c r="T103" s="108">
        <f t="shared" ca="1" si="226"/>
        <v>474606.65492957016</v>
      </c>
      <c r="U103" s="108">
        <f t="shared" ca="1" si="226"/>
        <v>488419.55781389296</v>
      </c>
      <c r="V103" s="108">
        <f t="shared" ca="1" si="226"/>
        <v>502596.86211901536</v>
      </c>
      <c r="W103" s="108">
        <f t="shared" ca="1" si="226"/>
        <v>517144.97443972219</v>
      </c>
      <c r="X103" s="108">
        <f t="shared" ca="1" si="226"/>
        <v>532070.43831703044</v>
      </c>
      <c r="Y103" s="108">
        <f t="shared" ca="1" si="226"/>
        <v>547379.93688897009</v>
      </c>
      <c r="Z103" s="108">
        <f t="shared" ca="1" si="226"/>
        <v>563080.29559526301</v>
      </c>
      <c r="AA103" s="108">
        <f t="shared" ca="1" si="226"/>
        <v>579178.48493696726</v>
      </c>
      <c r="AB103" s="108">
        <f t="shared" ca="1" si="226"/>
        <v>595681.62329217803</v>
      </c>
      <c r="AC103" s="108">
        <f t="shared" ca="1" si="226"/>
        <v>612596.97978889884</v>
      </c>
      <c r="AD103" s="108">
        <f t="shared" ca="1" si="226"/>
        <v>629931.97723621572</v>
      </c>
      <c r="AE103" s="108">
        <f t="shared" ca="1" si="226"/>
        <v>647694.19511493412</v>
      </c>
      <c r="AF103" s="108">
        <f t="shared" ca="1" si="226"/>
        <v>665891.37262885727</v>
      </c>
      <c r="AG103" s="108">
        <f t="shared" ca="1" si="226"/>
        <v>684531.41181791318</v>
      </c>
      <c r="AH103" s="108">
        <f t="shared" ca="1" si="226"/>
        <v>703622.38073435577</v>
      </c>
      <c r="AI103" s="108">
        <f t="shared" ca="1" si="226"/>
        <v>723172.51668329688</v>
      </c>
      <c r="AJ103" s="108">
        <f t="shared" ca="1" si="226"/>
        <v>743190.22952884482</v>
      </c>
      <c r="AK103" s="108">
        <f t="shared" ca="1" si="226"/>
        <v>763684.10506715532</v>
      </c>
      <c r="AL103" s="108">
        <f t="shared" ca="1" si="226"/>
        <v>784662.90846772504</v>
      </c>
      <c r="AM103" s="108">
        <f t="shared" ca="1" si="226"/>
        <v>806135.58778428449</v>
      </c>
      <c r="AN103" s="108">
        <f t="shared" ca="1" si="226"/>
        <v>830251.7081512108</v>
      </c>
      <c r="AO103" s="108">
        <f t="shared" ca="1" si="226"/>
        <v>846322.62875439832</v>
      </c>
      <c r="AP103" s="108">
        <f t="shared" ref="AP103:BU103" ca="1" si="227">((_activeinstallationsBoPP3*_arpuP3*_Coll.rate)+(_NewSalesP3+_RetainedSalesP3)*_DP_P3)</f>
        <v>862730.02494813246</v>
      </c>
      <c r="AQ103" s="108">
        <f t="shared" ca="1" si="227"/>
        <v>879480.47567243909</v>
      </c>
      <c r="AR103" s="108">
        <f t="shared" ca="1" si="227"/>
        <v>896580.69295186293</v>
      </c>
      <c r="AS103" s="108">
        <f t="shared" ca="1" si="227"/>
        <v>914037.52454209991</v>
      </c>
      <c r="AT103" s="108">
        <f t="shared" ca="1" si="227"/>
        <v>931857.95662971423</v>
      </c>
      <c r="AU103" s="108">
        <f t="shared" ca="1" si="227"/>
        <v>950049.11658599775</v>
      </c>
      <c r="AV103" s="108">
        <f t="shared" ca="1" si="227"/>
        <v>968618.27577605413</v>
      </c>
      <c r="AW103" s="108">
        <f t="shared" ca="1" si="227"/>
        <v>987572.85242421308</v>
      </c>
      <c r="AX103" s="108">
        <f t="shared" ca="1" si="227"/>
        <v>1006920.4145368934</v>
      </c>
      <c r="AY103" s="108">
        <f t="shared" ca="1" si="227"/>
        <v>1026668.6828840696</v>
      </c>
      <c r="AZ103" s="108">
        <f t="shared" ca="1" si="227"/>
        <v>1046825.5340405095</v>
      </c>
      <c r="BA103" s="108">
        <f t="shared" ca="1" si="227"/>
        <v>1067399.0034879751</v>
      </c>
      <c r="BB103" s="108">
        <f t="shared" ca="1" si="227"/>
        <v>1088397.288779608</v>
      </c>
      <c r="BC103" s="108">
        <f t="shared" ca="1" si="227"/>
        <v>1109828.7527677394</v>
      </c>
      <c r="BD103" s="108">
        <f t="shared" ca="1" si="227"/>
        <v>1131701.9268963924</v>
      </c>
      <c r="BE103" s="108">
        <f t="shared" ca="1" si="227"/>
        <v>1154025.5145597698</v>
      </c>
      <c r="BF103" s="108">
        <f t="shared" ca="1" si="227"/>
        <v>1176808.3945280444</v>
      </c>
      <c r="BG103" s="108">
        <f t="shared" ca="1" si="227"/>
        <v>1200059.6244417988</v>
      </c>
      <c r="BH103" s="108">
        <f t="shared" ca="1" si="227"/>
        <v>1223788.4443764805</v>
      </c>
      <c r="BI103" s="108">
        <f t="shared" ca="1" si="227"/>
        <v>1248004.2804782819</v>
      </c>
      <c r="BJ103" s="108">
        <f t="shared" ca="1" si="227"/>
        <v>1272716.7486728614</v>
      </c>
      <c r="BK103" s="108">
        <f t="shared" ca="1" si="227"/>
        <v>1297935.6584483664</v>
      </c>
      <c r="BL103" s="108">
        <f t="shared" ca="1" si="227"/>
        <v>1323671.0167142458</v>
      </c>
      <c r="BM103" s="108">
        <f t="shared" ca="1" si="227"/>
        <v>1349933.0317373583</v>
      </c>
      <c r="BN103" s="108">
        <f t="shared" ca="1" si="227"/>
        <v>1376732.1171569289</v>
      </c>
      <c r="BO103" s="108">
        <f t="shared" ca="1" si="227"/>
        <v>1404078.8960799272</v>
      </c>
      <c r="BP103" s="108">
        <f t="shared" ca="1" si="227"/>
        <v>1431984.2052584714</v>
      </c>
      <c r="BQ103" s="108">
        <f t="shared" ca="1" si="227"/>
        <v>1460459.0993509018</v>
      </c>
      <c r="BR103" s="108">
        <f t="shared" ca="1" si="227"/>
        <v>1486064.0491334694</v>
      </c>
      <c r="BS103" s="108">
        <f t="shared" ca="1" si="227"/>
        <v>1510338.3712280439</v>
      </c>
      <c r="BT103" s="108">
        <f t="shared" ca="1" si="227"/>
        <v>1533899.467449826</v>
      </c>
      <c r="BU103" s="108">
        <f t="shared" ca="1" si="227"/>
        <v>1556745.060404506</v>
      </c>
      <c r="BV103" s="108">
        <f t="shared" ref="BV103:DY103" ca="1" si="228">((_activeinstallationsBoPP3*_arpuP3*_Coll.rate)+(_NewSalesP3+_RetainedSalesP3)*_DP_P3)</f>
        <v>1578872.7072786575</v>
      </c>
      <c r="BW103" s="108">
        <f t="shared" ca="1" si="228"/>
        <v>1600279.7977300659</v>
      </c>
      <c r="BX103" s="108">
        <f t="shared" ca="1" si="228"/>
        <v>1620963.5517238788</v>
      </c>
      <c r="BY103" s="108">
        <f t="shared" ca="1" si="228"/>
        <v>1640921.0173136105</v>
      </c>
      <c r="BZ103" s="108">
        <f t="shared" ca="1" si="228"/>
        <v>1660149.0683660186</v>
      </c>
      <c r="CA103" s="108">
        <f t="shared" ca="1" si="228"/>
        <v>1678644.4022288485</v>
      </c>
      <c r="CB103" s="108">
        <f t="shared" ca="1" si="228"/>
        <v>1696403.5373404149</v>
      </c>
      <c r="CC103" s="108">
        <f t="shared" ca="1" si="228"/>
        <v>1713422.8107799764</v>
      </c>
      <c r="CD103" s="108">
        <f t="shared" ca="1" si="228"/>
        <v>1729698.3757578367</v>
      </c>
      <c r="CE103" s="108">
        <f t="shared" ca="1" si="228"/>
        <v>1745226.1990440665</v>
      </c>
      <c r="CF103" s="108">
        <f t="shared" ca="1" si="228"/>
        <v>1760002.0583347443</v>
      </c>
      <c r="CG103" s="108">
        <f t="shared" ca="1" si="228"/>
        <v>1774021.5395545727</v>
      </c>
      <c r="CH103" s="108">
        <f t="shared" ca="1" si="228"/>
        <v>1787280.0340947008</v>
      </c>
      <c r="CI103" s="108">
        <f t="shared" ca="1" si="228"/>
        <v>1799772.7359845752</v>
      </c>
      <c r="CJ103" s="108">
        <f t="shared" ca="1" si="228"/>
        <v>1811494.638996602</v>
      </c>
      <c r="CK103" s="108">
        <f t="shared" ca="1" si="228"/>
        <v>1822440.533682381</v>
      </c>
      <c r="CL103" s="108">
        <f t="shared" ca="1" si="228"/>
        <v>1832605.0043392521</v>
      </c>
      <c r="CM103" s="108">
        <f t="shared" ca="1" si="228"/>
        <v>1841982.4259058621</v>
      </c>
      <c r="CN103" s="108">
        <f t="shared" ca="1" si="228"/>
        <v>1850566.9607854413</v>
      </c>
      <c r="CO103" s="108">
        <f t="shared" ca="1" si="228"/>
        <v>1858352.5555954322</v>
      </c>
      <c r="CP103" s="108">
        <f t="shared" ca="1" si="228"/>
        <v>1865332.9378421144</v>
      </c>
      <c r="CQ103" s="108">
        <f t="shared" ca="1" si="228"/>
        <v>1871501.6125188172</v>
      </c>
      <c r="CR103" s="108">
        <f t="shared" ca="1" si="228"/>
        <v>1876851.8586262902</v>
      </c>
      <c r="CS103" s="108">
        <f t="shared" ca="1" si="228"/>
        <v>1881376.7256137759</v>
      </c>
      <c r="CT103" s="108">
        <f t="shared" ca="1" si="228"/>
        <v>1885069.0297392965</v>
      </c>
      <c r="CU103" s="108">
        <f t="shared" ca="1" si="228"/>
        <v>1887921.3503476302</v>
      </c>
      <c r="CV103" s="108">
        <f t="shared" ca="1" si="228"/>
        <v>1889670.7698057953</v>
      </c>
      <c r="CW103" s="108">
        <f t="shared" ca="1" si="228"/>
        <v>1891323.2084805286</v>
      </c>
      <c r="CX103" s="108">
        <f t="shared" ca="1" si="228"/>
        <v>1892924.3211491902</v>
      </c>
      <c r="CY103" s="108">
        <f t="shared" ca="1" si="228"/>
        <v>1894473.9250394537</v>
      </c>
      <c r="CZ103" s="108">
        <f t="shared" ca="1" si="228"/>
        <v>1895971.8252860697</v>
      </c>
      <c r="DA103" s="108">
        <f t="shared" ca="1" si="228"/>
        <v>1897417.8147733794</v>
      </c>
      <c r="DB103" s="108">
        <f t="shared" ca="1" si="228"/>
        <v>1898811.673973839</v>
      </c>
      <c r="DC103" s="108">
        <f t="shared" ca="1" si="228"/>
        <v>1900153.1707824781</v>
      </c>
      <c r="DD103" s="108">
        <f t="shared" ca="1" si="228"/>
        <v>1901442.0603472183</v>
      </c>
      <c r="DE103" s="108">
        <f t="shared" ca="1" si="228"/>
        <v>1902678.0848949817</v>
      </c>
      <c r="DF103" s="108">
        <f t="shared" ca="1" si="228"/>
        <v>1903860.9735535122</v>
      </c>
      <c r="DG103" s="108">
        <f t="shared" ca="1" si="228"/>
        <v>1904990.4421688269</v>
      </c>
      <c r="DH103" s="108">
        <f t="shared" ca="1" si="228"/>
        <v>1906066.1931182251</v>
      </c>
      <c r="DI103" s="108">
        <f t="shared" ca="1" si="228"/>
        <v>1907087.9151187711</v>
      </c>
      <c r="DJ103" s="108">
        <f t="shared" ca="1" si="228"/>
        <v>1908055.2830311658</v>
      </c>
      <c r="DK103" s="108">
        <f t="shared" ca="1" si="228"/>
        <v>1908967.9576589284</v>
      </c>
      <c r="DL103" s="108">
        <f t="shared" ca="1" si="228"/>
        <v>1909825.5855427939</v>
      </c>
      <c r="DM103" s="108">
        <f t="shared" ca="1" si="228"/>
        <v>1910627.7987502501</v>
      </c>
      <c r="DN103" s="108">
        <f t="shared" ca="1" si="228"/>
        <v>1911374.2146601086</v>
      </c>
      <c r="DO103" s="108">
        <f t="shared" ca="1" si="228"/>
        <v>1912064.4357420357</v>
      </c>
      <c r="DP103" s="108">
        <f t="shared" ca="1" si="228"/>
        <v>1912698.0493309342</v>
      </c>
      <c r="DQ103" s="108">
        <f t="shared" ca="1" si="228"/>
        <v>1913274.6273960897</v>
      </c>
      <c r="DR103" s="108">
        <f t="shared" ca="1" si="228"/>
        <v>1913793.7263049828</v>
      </c>
      <c r="DS103" s="108">
        <f t="shared" ca="1" si="228"/>
        <v>1914254.8865816635</v>
      </c>
      <c r="DT103" s="108">
        <f t="shared" ca="1" si="228"/>
        <v>1914657.632659592</v>
      </c>
      <c r="DU103" s="108">
        <f t="shared" ca="1" si="228"/>
        <v>1915001.4726288354</v>
      </c>
      <c r="DV103" s="108">
        <f t="shared" ca="1" si="228"/>
        <v>1915285.8979775235</v>
      </c>
      <c r="DW103" s="108">
        <f t="shared" ca="1" si="228"/>
        <v>1915510.3833274441</v>
      </c>
      <c r="DX103" s="108">
        <f t="shared" ca="1" si="228"/>
        <v>1915674.3861636783</v>
      </c>
      <c r="DY103" s="108">
        <f t="shared" ca="1" si="228"/>
        <v>1915777.3465581613</v>
      </c>
    </row>
    <row r="104" spans="1:129" s="19" customFormat="1" outlineLevel="2">
      <c r="A104" s="20"/>
      <c r="B104" s="14"/>
      <c r="C104" s="9" t="str">
        <f>'Model Assumptions'!$J$24</f>
        <v>Product 4</v>
      </c>
      <c r="D104" s="9"/>
      <c r="E104" s="30"/>
      <c r="F104" s="5"/>
      <c r="G104" s="570"/>
      <c r="H104" s="14"/>
      <c r="I104" s="14"/>
      <c r="J104" s="108">
        <f t="shared" ref="J104:AO104" ca="1" si="229">((_activeinstallationsBoPP4*_arpuP4*_Coll.rate)+(_NewSalesP4+_RetainedSalesP4)*_DP_P4)</f>
        <v>297764.19535201805</v>
      </c>
      <c r="K104" s="108">
        <f t="shared" ca="1" si="229"/>
        <v>305857.148130549</v>
      </c>
      <c r="L104" s="108">
        <f t="shared" ca="1" si="229"/>
        <v>314240.45138129464</v>
      </c>
      <c r="M104" s="108">
        <f t="shared" ca="1" si="229"/>
        <v>322918.62719953281</v>
      </c>
      <c r="N104" s="108">
        <f t="shared" ca="1" si="229"/>
        <v>331896.30097158859</v>
      </c>
      <c r="O104" s="108">
        <f t="shared" ca="1" si="229"/>
        <v>341178.20331216382</v>
      </c>
      <c r="P104" s="108">
        <f t="shared" ca="1" si="229"/>
        <v>350769.17204169813</v>
      </c>
      <c r="Q104" s="108">
        <f t="shared" ca="1" si="229"/>
        <v>360674.15420454915</v>
      </c>
      <c r="R104" s="108">
        <f t="shared" ca="1" si="229"/>
        <v>370898.20812879613</v>
      </c>
      <c r="S104" s="108">
        <f t="shared" ca="1" si="229"/>
        <v>381446.50552848529</v>
      </c>
      <c r="T104" s="108">
        <f t="shared" ca="1" si="229"/>
        <v>392324.33364915621</v>
      </c>
      <c r="U104" s="108">
        <f t="shared" ca="1" si="229"/>
        <v>403537.09745749843</v>
      </c>
      <c r="V104" s="108">
        <f t="shared" ca="1" si="229"/>
        <v>415090.32187601284</v>
      </c>
      <c r="W104" s="108">
        <f t="shared" ca="1" si="229"/>
        <v>426989.65406356298</v>
      </c>
      <c r="X104" s="108">
        <f t="shared" ca="1" si="229"/>
        <v>439240.8657427227</v>
      </c>
      <c r="Y104" s="108">
        <f t="shared" ca="1" si="229"/>
        <v>451849.85557484574</v>
      </c>
      <c r="Z104" s="108">
        <f t="shared" ca="1" si="229"/>
        <v>464822.65158379765</v>
      </c>
      <c r="AA104" s="108">
        <f t="shared" ca="1" si="229"/>
        <v>478165.41362931294</v>
      </c>
      <c r="AB104" s="108">
        <f t="shared" ca="1" si="229"/>
        <v>491884.43593095918</v>
      </c>
      <c r="AC104" s="108">
        <f t="shared" ca="1" si="229"/>
        <v>505986.14964370668</v>
      </c>
      <c r="AD104" s="108">
        <f t="shared" ca="1" si="229"/>
        <v>520477.12548612687</v>
      </c>
      <c r="AE104" s="108">
        <f t="shared" ca="1" si="229"/>
        <v>535364.07642225886</v>
      </c>
      <c r="AF104" s="108">
        <f t="shared" ca="1" si="229"/>
        <v>550653.86039820849</v>
      </c>
      <c r="AG104" s="108">
        <f t="shared" ca="1" si="229"/>
        <v>566353.4831345611</v>
      </c>
      <c r="AH104" s="108">
        <f t="shared" ca="1" si="229"/>
        <v>583865.79497342673</v>
      </c>
      <c r="AI104" s="108">
        <f t="shared" ca="1" si="229"/>
        <v>595132.29959002428</v>
      </c>
      <c r="AJ104" s="108">
        <f t="shared" ca="1" si="229"/>
        <v>606640.01722122089</v>
      </c>
      <c r="AK104" s="108">
        <f t="shared" ca="1" si="229"/>
        <v>618393.61329808598</v>
      </c>
      <c r="AL104" s="108">
        <f t="shared" ca="1" si="229"/>
        <v>630397.84814860241</v>
      </c>
      <c r="AM104" s="108">
        <f t="shared" ca="1" si="229"/>
        <v>642657.57887972193</v>
      </c>
      <c r="AN104" s="108">
        <f t="shared" ca="1" si="229"/>
        <v>655177.76129722118</v>
      </c>
      <c r="AO104" s="108">
        <f t="shared" ca="1" si="229"/>
        <v>667963.45186410972</v>
      </c>
      <c r="AP104" s="108">
        <f t="shared" ref="AP104:BU104" ca="1" si="230">((_activeinstallationsBoPP4*_arpuP4*_Coll.rate)+(_NewSalesP4+_RetainedSalesP4)*_DP_P4)</f>
        <v>681019.80969836493</v>
      </c>
      <c r="AQ104" s="108">
        <f t="shared" ca="1" si="230"/>
        <v>694352.09861077403</v>
      </c>
      <c r="AR104" s="108">
        <f t="shared" ca="1" si="230"/>
        <v>707965.68918368535</v>
      </c>
      <c r="AS104" s="108">
        <f t="shared" ca="1" si="230"/>
        <v>721866.06089148659</v>
      </c>
      <c r="AT104" s="108">
        <f t="shared" ca="1" si="230"/>
        <v>736058.80426364089</v>
      </c>
      <c r="AU104" s="108">
        <f t="shared" ca="1" si="230"/>
        <v>750549.62309113354</v>
      </c>
      <c r="AV104" s="108">
        <f t="shared" ca="1" si="230"/>
        <v>765344.33667719248</v>
      </c>
      <c r="AW104" s="108">
        <f t="shared" ca="1" si="230"/>
        <v>780448.88213316852</v>
      </c>
      <c r="AX104" s="108">
        <f t="shared" ca="1" si="230"/>
        <v>795869.31672047812</v>
      </c>
      <c r="AY104" s="108">
        <f t="shared" ca="1" si="230"/>
        <v>811611.8202395261</v>
      </c>
      <c r="AZ104" s="108">
        <f t="shared" ca="1" si="230"/>
        <v>827682.69746654725</v>
      </c>
      <c r="BA104" s="108">
        <f t="shared" ca="1" si="230"/>
        <v>844088.38063932478</v>
      </c>
      <c r="BB104" s="108">
        <f t="shared" ca="1" si="230"/>
        <v>860835.43199276191</v>
      </c>
      <c r="BC104" s="108">
        <f t="shared" ca="1" si="230"/>
        <v>877930.54634529969</v>
      </c>
      <c r="BD104" s="108">
        <f t="shared" ca="1" si="230"/>
        <v>895380.55373719987</v>
      </c>
      <c r="BE104" s="108">
        <f t="shared" ca="1" si="230"/>
        <v>913192.42212172679</v>
      </c>
      <c r="BF104" s="108">
        <f t="shared" ca="1" si="230"/>
        <v>931482.91673681035</v>
      </c>
      <c r="BG104" s="108">
        <f t="shared" ca="1" si="230"/>
        <v>949625.57689020573</v>
      </c>
      <c r="BH104" s="108">
        <f t="shared" ca="1" si="230"/>
        <v>968136.88534952153</v>
      </c>
      <c r="BI104" s="108">
        <f t="shared" ca="1" si="230"/>
        <v>987024.1571298471</v>
      </c>
      <c r="BJ104" s="108">
        <f t="shared" ca="1" si="230"/>
        <v>1006294.8541260845</v>
      </c>
      <c r="BK104" s="108">
        <f t="shared" ca="1" si="230"/>
        <v>1025956.5880447492</v>
      </c>
      <c r="BL104" s="108">
        <f t="shared" ca="1" si="230"/>
        <v>1046017.1233944647</v>
      </c>
      <c r="BM104" s="108">
        <f t="shared" ca="1" si="230"/>
        <v>1066484.380536325</v>
      </c>
      <c r="BN104" s="108">
        <f t="shared" ca="1" si="230"/>
        <v>1087366.4387953216</v>
      </c>
      <c r="BO104" s="108">
        <f t="shared" ca="1" si="230"/>
        <v>1108671.5396340541</v>
      </c>
      <c r="BP104" s="108">
        <f t="shared" ca="1" si="230"/>
        <v>1130408.089889972</v>
      </c>
      <c r="BQ104" s="108">
        <f t="shared" ca="1" si="230"/>
        <v>1152584.6650774146</v>
      </c>
      <c r="BR104" s="108">
        <f t="shared" ca="1" si="230"/>
        <v>1172585.188125056</v>
      </c>
      <c r="BS104" s="108">
        <f t="shared" ca="1" si="230"/>
        <v>1191875.3597428768</v>
      </c>
      <c r="BT104" s="108">
        <f t="shared" ca="1" si="230"/>
        <v>1210452.076521189</v>
      </c>
      <c r="BU104" s="108">
        <f t="shared" ca="1" si="230"/>
        <v>1228312.0619459203</v>
      </c>
      <c r="BV104" s="108">
        <f t="shared" ref="BV104:DY104" ca="1" si="231">((_activeinstallationsBoPP4*_arpuP4*_Coll.rate)+(_NewSalesP4+_RetainedSalesP4)*_DP_P4)</f>
        <v>1245451.8640468908</v>
      </c>
      <c r="BW104" s="108">
        <f t="shared" ca="1" si="231"/>
        <v>1261867.8529879479</v>
      </c>
      <c r="BX104" s="108">
        <f t="shared" ca="1" si="231"/>
        <v>1277556.2185979122</v>
      </c>
      <c r="BY104" s="108">
        <f t="shared" ca="1" si="231"/>
        <v>1292512.967841262</v>
      </c>
      <c r="BZ104" s="108">
        <f t="shared" ca="1" si="231"/>
        <v>1306733.922227452</v>
      </c>
      <c r="CA104" s="108">
        <f t="shared" ca="1" si="231"/>
        <v>1320214.7151577598</v>
      </c>
      <c r="CB104" s="108">
        <f t="shared" ca="1" si="231"/>
        <v>1332950.7892085044</v>
      </c>
      <c r="CC104" s="108">
        <f t="shared" ca="1" si="231"/>
        <v>1344937.3933494748</v>
      </c>
      <c r="CD104" s="108">
        <f t="shared" ca="1" si="231"/>
        <v>1356178.1955778301</v>
      </c>
      <c r="CE104" s="108">
        <f t="shared" ca="1" si="231"/>
        <v>1366618.2596139952</v>
      </c>
      <c r="CF104" s="108">
        <f t="shared" ca="1" si="231"/>
        <v>1376292.2339000243</v>
      </c>
      <c r="CG104" s="108">
        <f t="shared" ca="1" si="231"/>
        <v>1385194.5455512232</v>
      </c>
      <c r="CH104" s="108">
        <f t="shared" ca="1" si="231"/>
        <v>1393319.4127361004</v>
      </c>
      <c r="CI104" s="108">
        <f t="shared" ca="1" si="231"/>
        <v>1400660.8414723233</v>
      </c>
      <c r="CJ104" s="108">
        <f t="shared" ca="1" si="231"/>
        <v>1407212.6223488422</v>
      </c>
      <c r="CK104" s="108">
        <f t="shared" ca="1" si="231"/>
        <v>1412968.3271728077</v>
      </c>
      <c r="CL104" s="108">
        <f t="shared" ca="1" si="231"/>
        <v>1417921.3055398685</v>
      </c>
      <c r="CM104" s="108">
        <f t="shared" ca="1" si="231"/>
        <v>1422064.6813264219</v>
      </c>
      <c r="CN104" s="108">
        <f t="shared" ca="1" si="231"/>
        <v>1425391.3491023351</v>
      </c>
      <c r="CO104" s="108">
        <f t="shared" ca="1" si="231"/>
        <v>1427893.9704626594</v>
      </c>
      <c r="CP104" s="108">
        <f t="shared" ca="1" si="231"/>
        <v>1429358.7435432151</v>
      </c>
      <c r="CQ104" s="108">
        <f t="shared" ca="1" si="231"/>
        <v>1430768.7721076589</v>
      </c>
      <c r="CR104" s="108">
        <f t="shared" ca="1" si="231"/>
        <v>1432123.8016654446</v>
      </c>
      <c r="CS104" s="108">
        <f t="shared" ca="1" si="231"/>
        <v>1433423.5642322192</v>
      </c>
      <c r="CT104" s="108">
        <f t="shared" ca="1" si="231"/>
        <v>1434667.7781439843</v>
      </c>
      <c r="CU104" s="108">
        <f t="shared" ca="1" si="231"/>
        <v>1435856.1478667026</v>
      </c>
      <c r="CV104" s="108">
        <f t="shared" ca="1" si="231"/>
        <v>1436988.3638012668</v>
      </c>
      <c r="CW104" s="108">
        <f t="shared" ca="1" si="231"/>
        <v>1438064.1020837394</v>
      </c>
      <c r="CX104" s="108">
        <f t="shared" ca="1" si="231"/>
        <v>1439083.0243807863</v>
      </c>
      <c r="CY104" s="108">
        <f t="shared" ca="1" si="231"/>
        <v>1440044.7776802103</v>
      </c>
      <c r="CZ104" s="108">
        <f t="shared" ca="1" si="231"/>
        <v>1440948.9940764939</v>
      </c>
      <c r="DA104" s="108">
        <f t="shared" ca="1" si="231"/>
        <v>1441795.2905512659</v>
      </c>
      <c r="DB104" s="108">
        <f t="shared" ca="1" si="231"/>
        <v>1442583.9456481352</v>
      </c>
      <c r="DC104" s="108">
        <f t="shared" ca="1" si="231"/>
        <v>1443310.6335972201</v>
      </c>
      <c r="DD104" s="108">
        <f t="shared" ca="1" si="231"/>
        <v>1443978.0671998579</v>
      </c>
      <c r="DE104" s="108">
        <f t="shared" ca="1" si="231"/>
        <v>1444585.7992501745</v>
      </c>
      <c r="DF104" s="108">
        <f t="shared" ca="1" si="231"/>
        <v>1445133.3662193667</v>
      </c>
      <c r="DG104" s="108">
        <f t="shared" ca="1" si="231"/>
        <v>1445620.2880030335</v>
      </c>
      <c r="DH104" s="108">
        <f t="shared" ca="1" si="231"/>
        <v>1446046.0676627138</v>
      </c>
      <c r="DI104" s="108">
        <f t="shared" ca="1" si="231"/>
        <v>1446410.191161524</v>
      </c>
      <c r="DJ104" s="108">
        <f t="shared" ca="1" si="231"/>
        <v>1446712.1270937878</v>
      </c>
      <c r="DK104" s="108">
        <f t="shared" ca="1" si="231"/>
        <v>1446951.326408539</v>
      </c>
      <c r="DL104" s="108">
        <f t="shared" ca="1" si="231"/>
        <v>1447127.2221267889</v>
      </c>
      <c r="DM104" s="108">
        <f t="shared" ca="1" si="231"/>
        <v>1447239.2290524363</v>
      </c>
      <c r="DN104" s="108">
        <f t="shared" ca="1" si="231"/>
        <v>1447270.5406930353</v>
      </c>
      <c r="DO104" s="108">
        <f t="shared" ca="1" si="231"/>
        <v>1447298.3889004553</v>
      </c>
      <c r="DP104" s="108">
        <f t="shared" ca="1" si="231"/>
        <v>1447322.7453026925</v>
      </c>
      <c r="DQ104" s="108">
        <f t="shared" ca="1" si="231"/>
        <v>1447343.5805513363</v>
      </c>
      <c r="DR104" s="108">
        <f t="shared" ca="1" si="231"/>
        <v>1447360.8643061314</v>
      </c>
      <c r="DS104" s="108">
        <f t="shared" ca="1" si="231"/>
        <v>1447374.565219189</v>
      </c>
      <c r="DT104" s="108">
        <f t="shared" ca="1" si="231"/>
        <v>1447384.650918843</v>
      </c>
      <c r="DU104" s="108">
        <f t="shared" ca="1" si="231"/>
        <v>1447391.0879931413</v>
      </c>
      <c r="DV104" s="108">
        <f t="shared" ca="1" si="231"/>
        <v>1447393.8419729713</v>
      </c>
      <c r="DW104" s="108">
        <f t="shared" ca="1" si="231"/>
        <v>1447392.8773148018</v>
      </c>
      <c r="DX104" s="108">
        <f t="shared" ca="1" si="231"/>
        <v>1447388.1573830498</v>
      </c>
      <c r="DY104" s="108">
        <f t="shared" ca="1" si="231"/>
        <v>1447379.6444320478</v>
      </c>
    </row>
    <row r="105" spans="1:129" s="19" customFormat="1" outlineLevel="2">
      <c r="A105" s="20"/>
      <c r="B105" s="14"/>
      <c r="C105" s="9" t="str">
        <f>'Model Assumptions'!$K$24</f>
        <v>Product 5</v>
      </c>
      <c r="D105" s="9"/>
      <c r="E105" s="30"/>
      <c r="F105" s="5"/>
      <c r="G105" s="570"/>
      <c r="H105" s="14"/>
      <c r="I105" s="14"/>
      <c r="J105" s="108">
        <f t="shared" ref="J105:AO105" ca="1" si="232">((_activeinstallationsBoPP5*_arpuP5*_Coll.rate)+(_NewSalesP5+_RetainedSalesP5)*_DP_P5)</f>
        <v>28965.4731784006</v>
      </c>
      <c r="K105" s="108">
        <f t="shared" ca="1" si="232"/>
        <v>37708.038271018304</v>
      </c>
      <c r="L105" s="108">
        <f t="shared" ca="1" si="232"/>
        <v>46548.817712709817</v>
      </c>
      <c r="M105" s="108">
        <f t="shared" ca="1" si="232"/>
        <v>55490.542159984427</v>
      </c>
      <c r="N105" s="108">
        <f t="shared" ca="1" si="232"/>
        <v>64535.989218786286</v>
      </c>
      <c r="O105" s="108">
        <f t="shared" ca="1" si="232"/>
        <v>73687.984460120133</v>
      </c>
      <c r="P105" s="108">
        <f t="shared" ca="1" si="232"/>
        <v>82949.402455223055</v>
      </c>
      <c r="Q105" s="108">
        <f t="shared" ca="1" si="232"/>
        <v>92323.167830680963</v>
      </c>
      <c r="R105" s="108">
        <f t="shared" ca="1" si="232"/>
        <v>101812.25634389649</v>
      </c>
      <c r="S105" s="108">
        <f t="shared" ca="1" si="232"/>
        <v>111419.69597932225</v>
      </c>
      <c r="T105" s="108">
        <f t="shared" ca="1" si="232"/>
        <v>121148.568065883</v>
      </c>
      <c r="U105" s="108">
        <f t="shared" ca="1" si="232"/>
        <v>131002.00841601721</v>
      </c>
      <c r="V105" s="108">
        <f t="shared" ca="1" si="232"/>
        <v>140983.2084867779</v>
      </c>
      <c r="W105" s="108">
        <f t="shared" ca="1" si="232"/>
        <v>151095.41656344137</v>
      </c>
      <c r="X105" s="108">
        <f t="shared" ca="1" si="232"/>
        <v>161341.93896608078</v>
      </c>
      <c r="Y105" s="108">
        <f t="shared" ca="1" si="232"/>
        <v>171726.14127957128</v>
      </c>
      <c r="Z105" s="108">
        <f t="shared" ca="1" si="232"/>
        <v>182251.44960750185</v>
      </c>
      <c r="AA105" s="108">
        <f t="shared" ca="1" si="232"/>
        <v>192921.35185047958</v>
      </c>
      <c r="AB105" s="108">
        <f t="shared" ca="1" si="232"/>
        <v>203739.39900932056</v>
      </c>
      <c r="AC105" s="108">
        <f t="shared" ca="1" si="232"/>
        <v>214709.20651363206</v>
      </c>
      <c r="AD105" s="108">
        <f t="shared" ca="1" si="232"/>
        <v>225834.4555763005</v>
      </c>
      <c r="AE105" s="108">
        <f t="shared" ca="1" si="232"/>
        <v>237118.89457441034</v>
      </c>
      <c r="AF105" s="108">
        <f t="shared" ca="1" si="232"/>
        <v>248566.34045712845</v>
      </c>
      <c r="AG105" s="108">
        <f t="shared" ca="1" si="232"/>
        <v>260180.68018110056</v>
      </c>
      <c r="AH105" s="108">
        <f t="shared" ca="1" si="232"/>
        <v>273508.32648726983</v>
      </c>
      <c r="AI105" s="108">
        <f t="shared" ca="1" si="232"/>
        <v>279600.57005912735</v>
      </c>
      <c r="AJ105" s="108">
        <f t="shared" ca="1" si="232"/>
        <v>285808.83022564894</v>
      </c>
      <c r="AK105" s="108">
        <f t="shared" ca="1" si="232"/>
        <v>292135.48560149549</v>
      </c>
      <c r="AL105" s="108">
        <f t="shared" ca="1" si="232"/>
        <v>298582.96179079363</v>
      </c>
      <c r="AM105" s="108">
        <f t="shared" ca="1" si="232"/>
        <v>305153.7323327529</v>
      </c>
      <c r="AN105" s="108">
        <f t="shared" ca="1" si="232"/>
        <v>311850.31966613792</v>
      </c>
      <c r="AO105" s="108">
        <f t="shared" ca="1" si="232"/>
        <v>318675.29611297126</v>
      </c>
      <c r="AP105" s="108">
        <f t="shared" ref="AP105:BU105" ca="1" si="233">((_activeinstallationsBoPP5*_arpuP5*_Coll.rate)+(_NewSalesP5+_RetainedSalesP5)*_DP_P5)</f>
        <v>325631.28488185414</v>
      </c>
      <c r="AQ105" s="108">
        <f t="shared" ca="1" si="233"/>
        <v>332720.9610912964</v>
      </c>
      <c r="AR105" s="108">
        <f t="shared" ca="1" si="233"/>
        <v>339947.05281345727</v>
      </c>
      <c r="AS105" s="108">
        <f t="shared" ca="1" si="233"/>
        <v>347312.34213870607</v>
      </c>
      <c r="AT105" s="108">
        <f t="shared" ca="1" si="233"/>
        <v>354819.66626141802</v>
      </c>
      <c r="AU105" s="108">
        <f t="shared" ca="1" si="233"/>
        <v>362471.91858743283</v>
      </c>
      <c r="AV105" s="108">
        <f t="shared" ca="1" si="233"/>
        <v>370272.04986360786</v>
      </c>
      <c r="AW105" s="108">
        <f t="shared" ca="1" si="233"/>
        <v>378223.06932991021</v>
      </c>
      <c r="AX105" s="108">
        <f t="shared" ca="1" si="233"/>
        <v>386328.04589449614</v>
      </c>
      <c r="AY105" s="108">
        <f t="shared" ca="1" si="233"/>
        <v>394590.10933224205</v>
      </c>
      <c r="AZ105" s="108">
        <f t="shared" ca="1" si="233"/>
        <v>403012.45150719211</v>
      </c>
      <c r="BA105" s="108">
        <f t="shared" ca="1" si="233"/>
        <v>411598.32761940616</v>
      </c>
      <c r="BB105" s="108">
        <f t="shared" ca="1" si="233"/>
        <v>420351.05747669161</v>
      </c>
      <c r="BC105" s="108">
        <f t="shared" ca="1" si="233"/>
        <v>429274.02679172187</v>
      </c>
      <c r="BD105" s="108">
        <f t="shared" ca="1" si="233"/>
        <v>438370.68850504566</v>
      </c>
      <c r="BE105" s="108">
        <f t="shared" ca="1" si="233"/>
        <v>447644.56413450913</v>
      </c>
      <c r="BF105" s="108">
        <f t="shared" ca="1" si="233"/>
        <v>457220.43241533579</v>
      </c>
      <c r="BG105" s="108">
        <f t="shared" ca="1" si="233"/>
        <v>466398.55890913616</v>
      </c>
      <c r="BH105" s="108">
        <f t="shared" ca="1" si="233"/>
        <v>475759.94159172563</v>
      </c>
      <c r="BI105" s="108">
        <f t="shared" ca="1" si="233"/>
        <v>485308.24865029071</v>
      </c>
      <c r="BJ105" s="108">
        <f t="shared" ca="1" si="233"/>
        <v>495047.22160512774</v>
      </c>
      <c r="BK105" s="108">
        <f t="shared" ca="1" si="233"/>
        <v>504980.67677661125</v>
      </c>
      <c r="BL105" s="108">
        <f t="shared" ca="1" si="233"/>
        <v>515112.50678149855</v>
      </c>
      <c r="BM105" s="108">
        <f t="shared" ca="1" si="233"/>
        <v>525446.68205915799</v>
      </c>
      <c r="BN105" s="108">
        <f t="shared" ca="1" si="233"/>
        <v>535987.25242831837</v>
      </c>
      <c r="BO105" s="108">
        <f t="shared" ca="1" si="233"/>
        <v>546738.34867495019</v>
      </c>
      <c r="BP105" s="108">
        <f t="shared" ca="1" si="233"/>
        <v>557704.18417190167</v>
      </c>
      <c r="BQ105" s="108">
        <f t="shared" ca="1" si="233"/>
        <v>568889.05653092579</v>
      </c>
      <c r="BR105" s="108">
        <f t="shared" ca="1" si="233"/>
        <v>578984.93697239633</v>
      </c>
      <c r="BS105" s="108">
        <f t="shared" ca="1" si="233"/>
        <v>588724.68550978007</v>
      </c>
      <c r="BT105" s="108">
        <f t="shared" ca="1" si="233"/>
        <v>598106.76000012457</v>
      </c>
      <c r="BU105" s="108">
        <f t="shared" ca="1" si="233"/>
        <v>607129.53165266698</v>
      </c>
      <c r="BV105" s="108">
        <f t="shared" ref="BV105:DY105" ca="1" si="234">((_activeinstallationsBoPP5*_arpuP5*_Coll.rate)+(_NewSalesP5+_RetainedSalesP5)*_DP_P5)</f>
        <v>615791.28385392716</v>
      </c>
      <c r="BW105" s="108">
        <f t="shared" ca="1" si="234"/>
        <v>624090.21096372267</v>
      </c>
      <c r="BX105" s="108">
        <f t="shared" ca="1" si="234"/>
        <v>632024.41708157933</v>
      </c>
      <c r="BY105" s="108">
        <f t="shared" ca="1" si="234"/>
        <v>639591.91478299978</v>
      </c>
      <c r="BZ105" s="108">
        <f t="shared" ca="1" si="234"/>
        <v>646790.62382504297</v>
      </c>
      <c r="CA105" s="108">
        <f t="shared" ca="1" si="234"/>
        <v>653618.36982065579</v>
      </c>
      <c r="CB105" s="108">
        <f t="shared" ca="1" si="234"/>
        <v>660072.8828811819</v>
      </c>
      <c r="CC105" s="108">
        <f t="shared" ca="1" si="234"/>
        <v>666151.79622647003</v>
      </c>
      <c r="CD105" s="108">
        <f t="shared" ca="1" si="234"/>
        <v>671862.16618038435</v>
      </c>
      <c r="CE105" s="108">
        <f t="shared" ca="1" si="234"/>
        <v>677146.16349176702</v>
      </c>
      <c r="CF105" s="108">
        <f t="shared" ca="1" si="234"/>
        <v>682046.47627514857</v>
      </c>
      <c r="CG105" s="108">
        <f t="shared" ca="1" si="234"/>
        <v>686560.3244847114</v>
      </c>
      <c r="CH105" s="108">
        <f t="shared" ca="1" si="234"/>
        <v>690684.82353727391</v>
      </c>
      <c r="CI105" s="108">
        <f t="shared" ca="1" si="234"/>
        <v>694416.98271090793</v>
      </c>
      <c r="CJ105" s="108">
        <f t="shared" ca="1" si="234"/>
        <v>697753.7035066348</v>
      </c>
      <c r="CK105" s="108">
        <f t="shared" ca="1" si="234"/>
        <v>700691.77797250997</v>
      </c>
      <c r="CL105" s="108">
        <f t="shared" ca="1" si="234"/>
        <v>703227.88698939444</v>
      </c>
      <c r="CM105" s="108">
        <f t="shared" ca="1" si="234"/>
        <v>705358.59851769113</v>
      </c>
      <c r="CN105" s="108">
        <f t="shared" ca="1" si="234"/>
        <v>707080.36580431787</v>
      </c>
      <c r="CO105" s="108">
        <f t="shared" ca="1" si="234"/>
        <v>708389.52554916311</v>
      </c>
      <c r="CP105" s="108">
        <f t="shared" ca="1" si="234"/>
        <v>709179.18266347761</v>
      </c>
      <c r="CQ105" s="108">
        <f t="shared" ca="1" si="234"/>
        <v>709940.89481399546</v>
      </c>
      <c r="CR105" s="108">
        <f t="shared" ca="1" si="234"/>
        <v>710674.54048250162</v>
      </c>
      <c r="CS105" s="108">
        <f t="shared" ca="1" si="234"/>
        <v>711379.99134660605</v>
      </c>
      <c r="CT105" s="108">
        <f t="shared" ca="1" si="234"/>
        <v>712057.11218739848</v>
      </c>
      <c r="CU105" s="108">
        <f t="shared" ca="1" si="234"/>
        <v>712705.76079481875</v>
      </c>
      <c r="CV105" s="108">
        <f t="shared" ca="1" si="234"/>
        <v>713325.78787070094</v>
      </c>
      <c r="CW105" s="108">
        <f t="shared" ca="1" si="234"/>
        <v>713917.03692945139</v>
      </c>
      <c r="CX105" s="108">
        <f t="shared" ca="1" si="234"/>
        <v>714479.34419631388</v>
      </c>
      <c r="CY105" s="108">
        <f t="shared" ca="1" si="234"/>
        <v>715012.53850318131</v>
      </c>
      <c r="CZ105" s="108">
        <f t="shared" ca="1" si="234"/>
        <v>715516.4411819072</v>
      </c>
      <c r="DA105" s="108">
        <f t="shared" ca="1" si="234"/>
        <v>715990.86595507141</v>
      </c>
      <c r="DB105" s="108">
        <f t="shared" ca="1" si="234"/>
        <v>716436.36690118513</v>
      </c>
      <c r="DC105" s="108">
        <f t="shared" ca="1" si="234"/>
        <v>716848.40018417896</v>
      </c>
      <c r="DD105" s="108">
        <f t="shared" ca="1" si="234"/>
        <v>717230.31940086477</v>
      </c>
      <c r="DE105" s="108">
        <f t="shared" ca="1" si="234"/>
        <v>717581.90581723629</v>
      </c>
      <c r="DF105" s="108">
        <f t="shared" ca="1" si="234"/>
        <v>717902.93248913344</v>
      </c>
      <c r="DG105" s="108">
        <f t="shared" ca="1" si="234"/>
        <v>718193.16413639486</v>
      </c>
      <c r="DH105" s="108">
        <f t="shared" ca="1" si="234"/>
        <v>718452.35701410868</v>
      </c>
      <c r="DI105" s="108">
        <f t="shared" ca="1" si="234"/>
        <v>718680.25878090889</v>
      </c>
      <c r="DJ105" s="108">
        <f t="shared" ca="1" si="234"/>
        <v>718876.6083642618</v>
      </c>
      <c r="DK105" s="108">
        <f t="shared" ca="1" si="234"/>
        <v>719041.13582268625</v>
      </c>
      <c r="DL105" s="108">
        <f t="shared" ca="1" si="234"/>
        <v>719173.56220484967</v>
      </c>
      <c r="DM105" s="108">
        <f t="shared" ca="1" si="234"/>
        <v>719273.59940548113</v>
      </c>
      <c r="DN105" s="108">
        <f t="shared" ca="1" si="234"/>
        <v>719332.84862621059</v>
      </c>
      <c r="DO105" s="108">
        <f t="shared" ca="1" si="234"/>
        <v>719389.93019634625</v>
      </c>
      <c r="DP105" s="108">
        <f t="shared" ca="1" si="234"/>
        <v>719444.8342892261</v>
      </c>
      <c r="DQ105" s="108">
        <f t="shared" ca="1" si="234"/>
        <v>719497.55054639175</v>
      </c>
      <c r="DR105" s="108">
        <f t="shared" ca="1" si="234"/>
        <v>719548.06807030458</v>
      </c>
      <c r="DS105" s="108">
        <f t="shared" ca="1" si="234"/>
        <v>719596.3754168835</v>
      </c>
      <c r="DT105" s="108">
        <f t="shared" ca="1" si="234"/>
        <v>719642.4605878602</v>
      </c>
      <c r="DU105" s="108">
        <f t="shared" ca="1" si="234"/>
        <v>719686.31102294754</v>
      </c>
      <c r="DV105" s="108">
        <f t="shared" ca="1" si="234"/>
        <v>719727.91359182121</v>
      </c>
      <c r="DW105" s="108">
        <f t="shared" ca="1" si="234"/>
        <v>719767.25458590547</v>
      </c>
      <c r="DX105" s="108">
        <f t="shared" ca="1" si="234"/>
        <v>719804.31970996701</v>
      </c>
      <c r="DY105" s="108">
        <f t="shared" ca="1" si="234"/>
        <v>719839.09407350398</v>
      </c>
    </row>
    <row r="106" spans="1:129" s="19" customFormat="1" outlineLevel="1">
      <c r="A106" s="20"/>
      <c r="B106" s="14"/>
      <c r="C106" s="68" t="s">
        <v>103</v>
      </c>
      <c r="D106" s="65"/>
      <c r="E106" s="65"/>
      <c r="F106" s="56" t="s">
        <v>143</v>
      </c>
      <c r="G106" s="66"/>
      <c r="H106" s="66"/>
      <c r="I106" s="66"/>
      <c r="J106" s="67">
        <f ca="1">+SUM(J101:J105)</f>
        <v>1513596.6383428522</v>
      </c>
      <c r="K106" s="67">
        <f t="shared" ref="K106:BV106" ca="1" si="235">+SUM(K101:K105)</f>
        <v>1561135.4434970021</v>
      </c>
      <c r="L106" s="67">
        <f t="shared" ca="1" si="235"/>
        <v>1610640.9105996103</v>
      </c>
      <c r="M106" s="67">
        <f t="shared" ca="1" si="235"/>
        <v>1662142.2140311929</v>
      </c>
      <c r="N106" s="67">
        <f t="shared" ca="1" si="235"/>
        <v>1715669.2132484596</v>
      </c>
      <c r="O106" s="67">
        <f t="shared" ca="1" si="235"/>
        <v>1771252.4654699531</v>
      </c>
      <c r="P106" s="67">
        <f t="shared" ca="1" si="235"/>
        <v>1828923.2386255604</v>
      </c>
      <c r="Q106" s="67">
        <f t="shared" ca="1" si="235"/>
        <v>1888713.5245750658</v>
      </c>
      <c r="R106" s="67">
        <f t="shared" ca="1" si="235"/>
        <v>1950656.0526010396</v>
      </c>
      <c r="S106" s="67">
        <f t="shared" ca="1" si="235"/>
        <v>2014784.3031814368</v>
      </c>
      <c r="T106" s="67">
        <f t="shared" ca="1" si="235"/>
        <v>2081132.5220474065</v>
      </c>
      <c r="U106" s="67">
        <f t="shared" ca="1" si="235"/>
        <v>2149735.7345319209</v>
      </c>
      <c r="V106" s="67">
        <f t="shared" ca="1" si="235"/>
        <v>2223400.9404683891</v>
      </c>
      <c r="W106" s="67">
        <f t="shared" ca="1" si="235"/>
        <v>2282706.375848386</v>
      </c>
      <c r="X106" s="67">
        <f t="shared" ca="1" si="235"/>
        <v>2343415.742574852</v>
      </c>
      <c r="Y106" s="67">
        <f t="shared" ca="1" si="235"/>
        <v>2405554.9410483278</v>
      </c>
      <c r="Z106" s="67">
        <f t="shared" ca="1" si="235"/>
        <v>2469150.4114596285</v>
      </c>
      <c r="AA106" s="67">
        <f t="shared" ca="1" si="235"/>
        <v>2534229.1443678276</v>
      </c>
      <c r="AB106" s="67">
        <f t="shared" ca="1" si="235"/>
        <v>2600818.6914919768</v>
      </c>
      <c r="AC106" s="67">
        <f t="shared" ca="1" si="235"/>
        <v>2668947.1767208162</v>
      </c>
      <c r="AD106" s="67">
        <f t="shared" ca="1" si="235"/>
        <v>2738643.3073448185</v>
      </c>
      <c r="AE106" s="67">
        <f t="shared" ca="1" si="235"/>
        <v>2809936.3855149797</v>
      </c>
      <c r="AF106" s="67">
        <f t="shared" ca="1" si="235"/>
        <v>2882856.3199328873</v>
      </c>
      <c r="AG106" s="67">
        <f t="shared" ca="1" si="235"/>
        <v>2957433.6377766528</v>
      </c>
      <c r="AH106" s="67">
        <f t="shared" ca="1" si="235"/>
        <v>3036883.2784038293</v>
      </c>
      <c r="AI106" s="67">
        <f t="shared" ca="1" si="235"/>
        <v>3102493.7332838681</v>
      </c>
      <c r="AJ106" s="67">
        <f t="shared" ca="1" si="235"/>
        <v>3169518.2772190045</v>
      </c>
      <c r="AK106" s="67">
        <f t="shared" ca="1" si="235"/>
        <v>3237984.173190766</v>
      </c>
      <c r="AL106" s="67">
        <f t="shared" ca="1" si="235"/>
        <v>3307919.2396283052</v>
      </c>
      <c r="AM106" s="67">
        <f t="shared" ca="1" si="235"/>
        <v>3379351.8614154747</v>
      </c>
      <c r="AN106" s="67">
        <f t="shared" ca="1" si="235"/>
        <v>3454451.4317335952</v>
      </c>
      <c r="AO106" s="67">
        <f t="shared" ca="1" si="235"/>
        <v>3522549.5368318618</v>
      </c>
      <c r="AP106" s="67">
        <f t="shared" ca="1" si="235"/>
        <v>3592048.4860999878</v>
      </c>
      <c r="AQ106" s="67">
        <f t="shared" ca="1" si="235"/>
        <v>3662975.9076006925</v>
      </c>
      <c r="AR106" s="67">
        <f t="shared" ca="1" si="235"/>
        <v>3735359.9858461544</v>
      </c>
      <c r="AS106" s="67">
        <f t="shared" ca="1" si="235"/>
        <v>3809229.4728881223</v>
      </c>
      <c r="AT106" s="67">
        <f t="shared" ca="1" si="235"/>
        <v>3884635.4721877035</v>
      </c>
      <c r="AU106" s="67">
        <f t="shared" ca="1" si="235"/>
        <v>3961455.0247006598</v>
      </c>
      <c r="AV106" s="67">
        <f t="shared" ca="1" si="235"/>
        <v>4039842.2115805168</v>
      </c>
      <c r="AW106" s="67">
        <f t="shared" ca="1" si="235"/>
        <v>4119828.0730814477</v>
      </c>
      <c r="AX106" s="67">
        <f t="shared" ca="1" si="235"/>
        <v>4201444.2733870381</v>
      </c>
      <c r="AY106" s="67">
        <f t="shared" ca="1" si="235"/>
        <v>4284723.1130576348</v>
      </c>
      <c r="AZ106" s="67">
        <f t="shared" ca="1" si="235"/>
        <v>4369697.5417269487</v>
      </c>
      <c r="BA106" s="67">
        <f t="shared" ca="1" si="235"/>
        <v>4456401.1710529039</v>
      </c>
      <c r="BB106" s="67">
        <f t="shared" ca="1" si="235"/>
        <v>4544868.2879277961</v>
      </c>
      <c r="BC106" s="67">
        <f t="shared" ca="1" si="235"/>
        <v>4635133.8679529838</v>
      </c>
      <c r="BD106" s="67">
        <f t="shared" ca="1" si="235"/>
        <v>4727233.5891833436</v>
      </c>
      <c r="BE106" s="67">
        <f t="shared" ca="1" si="235"/>
        <v>4821203.8461469309</v>
      </c>
      <c r="BF106" s="67">
        <f t="shared" ca="1" si="235"/>
        <v>4917314.5379221272</v>
      </c>
      <c r="BG106" s="67">
        <f t="shared" ca="1" si="235"/>
        <v>5014252.8740593866</v>
      </c>
      <c r="BH106" s="67">
        <f t="shared" ca="1" si="235"/>
        <v>5113154.7841674406</v>
      </c>
      <c r="BI106" s="67">
        <f t="shared" ca="1" si="235"/>
        <v>5214059.2916532233</v>
      </c>
      <c r="BJ106" s="67">
        <f t="shared" ca="1" si="235"/>
        <v>5317006.2028725343</v>
      </c>
      <c r="BK106" s="67">
        <f t="shared" ca="1" si="235"/>
        <v>5422036.1227642074</v>
      </c>
      <c r="BL106" s="67">
        <f t="shared" ca="1" si="235"/>
        <v>5529190.47079721</v>
      </c>
      <c r="BM106" s="67">
        <f t="shared" ca="1" si="235"/>
        <v>5638511.4972369317</v>
      </c>
      <c r="BN106" s="67">
        <f t="shared" ca="1" si="235"/>
        <v>5750042.2997370483</v>
      </c>
      <c r="BO106" s="67">
        <f t="shared" ca="1" si="235"/>
        <v>5863826.8402634496</v>
      </c>
      <c r="BP106" s="67">
        <f t="shared" ca="1" si="235"/>
        <v>5979909.9623569027</v>
      </c>
      <c r="BQ106" s="67">
        <f t="shared" ca="1" si="235"/>
        <v>6098337.4087411771</v>
      </c>
      <c r="BR106" s="67">
        <f t="shared" ca="1" si="235"/>
        <v>6202581.0810576454</v>
      </c>
      <c r="BS106" s="67">
        <f t="shared" ca="1" si="235"/>
        <v>6300941.2996307127</v>
      </c>
      <c r="BT106" s="67">
        <f t="shared" ca="1" si="235"/>
        <v>6394006.6467919974</v>
      </c>
      <c r="BU106" s="67">
        <f t="shared" ca="1" si="235"/>
        <v>6481743.8458710965</v>
      </c>
      <c r="BV106" s="67">
        <f t="shared" ca="1" si="235"/>
        <v>6564118.228456622</v>
      </c>
      <c r="BW106" s="67">
        <f t="shared" ref="BW106:CB106" ca="1" si="236">+SUM(BW101:BW105)</f>
        <v>6641093.7138234517</v>
      </c>
      <c r="BX106" s="67">
        <f t="shared" ca="1" si="236"/>
        <v>6712632.7878759159</v>
      </c>
      <c r="BY106" s="67">
        <f t="shared" ca="1" si="236"/>
        <v>6778696.4815979479</v>
      </c>
      <c r="BZ106" s="67">
        <f t="shared" ca="1" si="236"/>
        <v>6839244.3490010463</v>
      </c>
      <c r="CA106" s="67">
        <f t="shared" ca="1" si="236"/>
        <v>6894234.4445607737</v>
      </c>
      <c r="CB106" s="67">
        <f t="shared" ca="1" si="236"/>
        <v>6943623.300132175</v>
      </c>
      <c r="CC106" s="67">
        <f ca="1">+SUM(CC101:CC105)</f>
        <v>6987365.9013344757</v>
      </c>
      <c r="CD106" s="67">
        <f t="shared" ref="CD106:DY106" ca="1" si="237">+SUM(CD101:CD105)</f>
        <v>7024735.8340045838</v>
      </c>
      <c r="CE106" s="67">
        <f t="shared" ca="1" si="237"/>
        <v>7059823.4852258833</v>
      </c>
      <c r="CF106" s="67">
        <f t="shared" ca="1" si="237"/>
        <v>7092699.8105581496</v>
      </c>
      <c r="CG106" s="67">
        <f t="shared" ca="1" si="237"/>
        <v>7123349.7142727356</v>
      </c>
      <c r="CH106" s="67">
        <f t="shared" ca="1" si="237"/>
        <v>7151757.5074185301</v>
      </c>
      <c r="CI106" s="67">
        <f t="shared" ca="1" si="237"/>
        <v>7177906.8988705901</v>
      </c>
      <c r="CJ106" s="67">
        <f t="shared" ca="1" si="237"/>
        <v>7201780.9861706067</v>
      </c>
      <c r="CK106" s="67">
        <f t="shared" ca="1" si="237"/>
        <v>7223362.2461553505</v>
      </c>
      <c r="CL106" s="67">
        <f t="shared" ca="1" si="237"/>
        <v>7242632.5253691282</v>
      </c>
      <c r="CM106" s="67">
        <f t="shared" ca="1" si="237"/>
        <v>7259573.0302562276</v>
      </c>
      <c r="CN106" s="67">
        <f t="shared" ca="1" si="237"/>
        <v>7274164.3171292245</v>
      </c>
      <c r="CO106" s="67">
        <f t="shared" ca="1" si="237"/>
        <v>7286386.2819089536</v>
      </c>
      <c r="CP106" s="67">
        <f t="shared" ca="1" si="237"/>
        <v>7295846.9428554159</v>
      </c>
      <c r="CQ106" s="67">
        <f t="shared" ca="1" si="237"/>
        <v>7304387.3706981624</v>
      </c>
      <c r="CR106" s="67">
        <f t="shared" ca="1" si="237"/>
        <v>7312000.2629461018</v>
      </c>
      <c r="CS106" s="67">
        <f t="shared" ca="1" si="237"/>
        <v>7318678.0523288539</v>
      </c>
      <c r="CT106" s="67">
        <f t="shared" ca="1" si="237"/>
        <v>7324412.9103962192</v>
      </c>
      <c r="CU106" s="67">
        <f t="shared" ca="1" si="237"/>
        <v>7329196.7433929192</v>
      </c>
      <c r="CV106" s="67">
        <f t="shared" ca="1" si="237"/>
        <v>7332765.9317812249</v>
      </c>
      <c r="CW106" s="67">
        <f t="shared" ca="1" si="237"/>
        <v>7336125.6647957694</v>
      </c>
      <c r="CX106" s="67">
        <f t="shared" ca="1" si="237"/>
        <v>7339320.8364217971</v>
      </c>
      <c r="CY106" s="67">
        <f t="shared" ca="1" si="237"/>
        <v>7342350.4729920235</v>
      </c>
      <c r="CZ106" s="67">
        <f t="shared" ca="1" si="237"/>
        <v>7345213.5581902172</v>
      </c>
      <c r="DA106" s="67">
        <f t="shared" ca="1" si="237"/>
        <v>7347909.0324299708</v>
      </c>
      <c r="DB106" s="67">
        <f t="shared" ca="1" si="237"/>
        <v>7350431.7334267423</v>
      </c>
      <c r="DC106" s="67">
        <f t="shared" ca="1" si="237"/>
        <v>7352805.6004832266</v>
      </c>
      <c r="DD106" s="67">
        <f t="shared" ca="1" si="237"/>
        <v>7355036.4243984753</v>
      </c>
      <c r="DE106" s="67">
        <f t="shared" ca="1" si="237"/>
        <v>7357123.2495144885</v>
      </c>
      <c r="DF106" s="67">
        <f t="shared" ca="1" si="237"/>
        <v>7359065.0820080554</v>
      </c>
      <c r="DG106" s="67">
        <f t="shared" ca="1" si="237"/>
        <v>7360860.8893179726</v>
      </c>
      <c r="DH106" s="67">
        <f t="shared" ca="1" si="237"/>
        <v>7362509.5995589066</v>
      </c>
      <c r="DI106" s="67">
        <f t="shared" ca="1" si="237"/>
        <v>7364010.1009216281</v>
      </c>
      <c r="DJ106" s="67">
        <f t="shared" ca="1" si="237"/>
        <v>7365361.2410594001</v>
      </c>
      <c r="DK106" s="67">
        <f t="shared" ca="1" si="237"/>
        <v>7366561.8264602507</v>
      </c>
      <c r="DL106" s="67">
        <f t="shared" ca="1" si="237"/>
        <v>7367610.6218048343</v>
      </c>
      <c r="DM106" s="67">
        <f t="shared" ca="1" si="237"/>
        <v>7368506.3493096717</v>
      </c>
      <c r="DN106" s="67">
        <f t="shared" ca="1" si="237"/>
        <v>7369222.8978069844</v>
      </c>
      <c r="DO106" s="67">
        <f t="shared" ca="1" si="237"/>
        <v>7369878.6394315287</v>
      </c>
      <c r="DP106" s="67">
        <f t="shared" ca="1" si="237"/>
        <v>7370473.1094848337</v>
      </c>
      <c r="DQ106" s="67">
        <f t="shared" ca="1" si="237"/>
        <v>7371005.8263995135</v>
      </c>
      <c r="DR106" s="67">
        <f t="shared" ca="1" si="237"/>
        <v>7371476.2915381873</v>
      </c>
      <c r="DS106" s="67">
        <f t="shared" ca="1" si="237"/>
        <v>7371883.9889264796</v>
      </c>
      <c r="DT106" s="67">
        <f t="shared" ca="1" si="237"/>
        <v>7372228.3849799186</v>
      </c>
      <c r="DU106" s="67">
        <f t="shared" ca="1" si="237"/>
        <v>7372508.9282246288</v>
      </c>
      <c r="DV106" s="67">
        <f t="shared" ca="1" si="237"/>
        <v>7372725.0490117371</v>
      </c>
      <c r="DW106" s="67">
        <f t="shared" ca="1" si="237"/>
        <v>7372876.1592253111</v>
      </c>
      <c r="DX106" s="67">
        <f t="shared" ca="1" si="237"/>
        <v>7372961.651983778</v>
      </c>
      <c r="DY106" s="67">
        <f t="shared" ca="1" si="237"/>
        <v>7372980.9013346285</v>
      </c>
    </row>
    <row r="107" spans="1:129" s="19" customFormat="1" outlineLevel="1">
      <c r="A107" s="20"/>
      <c r="B107" s="14"/>
      <c r="C107" s="37"/>
      <c r="D107" s="30"/>
      <c r="E107" s="30"/>
      <c r="F107" s="30"/>
      <c r="G107" s="14"/>
      <c r="H107" s="14"/>
      <c r="I107" s="14"/>
      <c r="J107" s="106"/>
      <c r="K107" s="58"/>
      <c r="L107" s="106"/>
      <c r="M107" s="58"/>
      <c r="N107" s="106"/>
      <c r="O107" s="58"/>
      <c r="P107" s="106"/>
      <c r="Q107" s="106"/>
      <c r="R107" s="58"/>
      <c r="S107" s="58"/>
      <c r="T107" s="58"/>
      <c r="U107" s="58"/>
      <c r="V107" s="58"/>
      <c r="W107" s="58"/>
      <c r="X107" s="101"/>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row>
    <row r="108" spans="1:129" s="19" customFormat="1" outlineLevel="2">
      <c r="A108" s="20"/>
      <c r="C108" s="9" t="str">
        <f>'Model Assumptions'!$G$24</f>
        <v>Product 1</v>
      </c>
      <c r="D108" s="9"/>
      <c r="E108" s="30"/>
      <c r="F108" s="5"/>
      <c r="G108" s="275"/>
      <c r="H108" s="81"/>
      <c r="I108" s="81"/>
      <c r="J108" s="59">
        <f t="shared" ref="J108:AO108" si="238">((_NewSalesP1+_RetainedSalesP1)*_ContractPriceP1)</f>
        <v>20400</v>
      </c>
      <c r="K108" s="59">
        <f t="shared" si="238"/>
        <v>20808</v>
      </c>
      <c r="L108" s="59">
        <f t="shared" si="238"/>
        <v>21224.16</v>
      </c>
      <c r="M108" s="59">
        <f t="shared" si="238"/>
        <v>21648.643200000002</v>
      </c>
      <c r="N108" s="59">
        <f t="shared" si="238"/>
        <v>22081.616064000002</v>
      </c>
      <c r="O108" s="59">
        <f t="shared" si="238"/>
        <v>22523.248385280003</v>
      </c>
      <c r="P108" s="59">
        <f t="shared" si="238"/>
        <v>22973.7133529856</v>
      </c>
      <c r="Q108" s="59">
        <f t="shared" si="238"/>
        <v>23433.187620045312</v>
      </c>
      <c r="R108" s="59">
        <f t="shared" si="238"/>
        <v>23901.851372446221</v>
      </c>
      <c r="S108" s="59">
        <f t="shared" si="238"/>
        <v>24379.888399895142</v>
      </c>
      <c r="T108" s="59">
        <f t="shared" si="238"/>
        <v>24867.486167893047</v>
      </c>
      <c r="U108" s="59">
        <f t="shared" si="238"/>
        <v>25364.83589125091</v>
      </c>
      <c r="V108" s="59">
        <f t="shared" si="238"/>
        <v>25872.132609075925</v>
      </c>
      <c r="W108" s="59">
        <f t="shared" si="238"/>
        <v>26389.575261257443</v>
      </c>
      <c r="X108" s="59">
        <f t="shared" si="238"/>
        <v>26917.366766482595</v>
      </c>
      <c r="Y108" s="59">
        <f t="shared" si="238"/>
        <v>27455.714101812249</v>
      </c>
      <c r="Z108" s="59">
        <f t="shared" si="238"/>
        <v>28004.828383848493</v>
      </c>
      <c r="AA108" s="59">
        <f t="shared" si="238"/>
        <v>28564.924951525467</v>
      </c>
      <c r="AB108" s="59">
        <f t="shared" si="238"/>
        <v>29136.223450555975</v>
      </c>
      <c r="AC108" s="59">
        <f t="shared" si="238"/>
        <v>29718.947919567094</v>
      </c>
      <c r="AD108" s="59">
        <f t="shared" si="238"/>
        <v>30313.326877958436</v>
      </c>
      <c r="AE108" s="59">
        <f t="shared" si="238"/>
        <v>30919.593415517604</v>
      </c>
      <c r="AF108" s="59">
        <f t="shared" si="238"/>
        <v>31537.985283827958</v>
      </c>
      <c r="AG108" s="59">
        <f t="shared" si="238"/>
        <v>32168.744989504517</v>
      </c>
      <c r="AH108" s="59">
        <f t="shared" si="238"/>
        <v>32812.119889294605</v>
      </c>
      <c r="AI108" s="59">
        <f t="shared" si="238"/>
        <v>33468.362287080505</v>
      </c>
      <c r="AJ108" s="59">
        <f t="shared" si="238"/>
        <v>34137.729532822115</v>
      </c>
      <c r="AK108" s="59">
        <f t="shared" si="238"/>
        <v>34820.484123478556</v>
      </c>
      <c r="AL108" s="59">
        <f t="shared" si="238"/>
        <v>35516.89380594813</v>
      </c>
      <c r="AM108" s="59">
        <f t="shared" si="238"/>
        <v>36227.231682067089</v>
      </c>
      <c r="AN108" s="59">
        <f t="shared" si="238"/>
        <v>36951.776315708434</v>
      </c>
      <c r="AO108" s="59">
        <f t="shared" si="238"/>
        <v>37690.811842022602</v>
      </c>
      <c r="AP108" s="59">
        <f t="shared" ref="AP108:BU108" si="239">((_NewSalesP1+_RetainedSalesP1)*_ContractPriceP1)</f>
        <v>38444.628078863054</v>
      </c>
      <c r="AQ108" s="59">
        <f t="shared" si="239"/>
        <v>39213.520640440314</v>
      </c>
      <c r="AR108" s="59">
        <f t="shared" si="239"/>
        <v>39997.791053249122</v>
      </c>
      <c r="AS108" s="59">
        <f t="shared" si="239"/>
        <v>40797.746874314107</v>
      </c>
      <c r="AT108" s="59">
        <f t="shared" si="239"/>
        <v>41613.701811800391</v>
      </c>
      <c r="AU108" s="59">
        <f t="shared" si="239"/>
        <v>42445.975848036396</v>
      </c>
      <c r="AV108" s="59">
        <f t="shared" si="239"/>
        <v>43294.895364997123</v>
      </c>
      <c r="AW108" s="59">
        <f t="shared" si="239"/>
        <v>44160.793272297073</v>
      </c>
      <c r="AX108" s="59">
        <f t="shared" si="239"/>
        <v>45044.009137743007</v>
      </c>
      <c r="AY108" s="59">
        <f t="shared" si="239"/>
        <v>45944.889320497874</v>
      </c>
      <c r="AZ108" s="59">
        <f t="shared" si="239"/>
        <v>46863.787106907832</v>
      </c>
      <c r="BA108" s="59">
        <f t="shared" si="239"/>
        <v>47801.062849045986</v>
      </c>
      <c r="BB108" s="59">
        <f t="shared" si="239"/>
        <v>48757.084106026901</v>
      </c>
      <c r="BC108" s="59">
        <f t="shared" si="239"/>
        <v>49732.225788147436</v>
      </c>
      <c r="BD108" s="59">
        <f t="shared" si="239"/>
        <v>50726.870303910386</v>
      </c>
      <c r="BE108" s="59">
        <f t="shared" si="239"/>
        <v>51741.407709988598</v>
      </c>
      <c r="BF108" s="59">
        <f t="shared" si="239"/>
        <v>52776.235864188369</v>
      </c>
      <c r="BG108" s="59">
        <f t="shared" si="239"/>
        <v>53831.760581472139</v>
      </c>
      <c r="BH108" s="59">
        <f t="shared" si="239"/>
        <v>54908.395793101583</v>
      </c>
      <c r="BI108" s="59">
        <f t="shared" si="239"/>
        <v>56006.563708963615</v>
      </c>
      <c r="BJ108" s="59">
        <f t="shared" si="239"/>
        <v>57126.694983142894</v>
      </c>
      <c r="BK108" s="59">
        <f t="shared" si="239"/>
        <v>58269.22888280575</v>
      </c>
      <c r="BL108" s="59">
        <f t="shared" si="239"/>
        <v>59434.613460461864</v>
      </c>
      <c r="BM108" s="59">
        <f t="shared" si="239"/>
        <v>60623.305729671105</v>
      </c>
      <c r="BN108" s="59">
        <f t="shared" si="239"/>
        <v>61835.771844264527</v>
      </c>
      <c r="BO108" s="59">
        <f t="shared" si="239"/>
        <v>63072.487281149821</v>
      </c>
      <c r="BP108" s="59">
        <f t="shared" si="239"/>
        <v>64333.937026772815</v>
      </c>
      <c r="BQ108" s="59">
        <f t="shared" si="239"/>
        <v>65620.615767308278</v>
      </c>
      <c r="BR108" s="59">
        <f t="shared" si="239"/>
        <v>65620.615767308278</v>
      </c>
      <c r="BS108" s="59">
        <f t="shared" si="239"/>
        <v>65620.615767308278</v>
      </c>
      <c r="BT108" s="59">
        <f t="shared" si="239"/>
        <v>65620.615767308278</v>
      </c>
      <c r="BU108" s="59">
        <f t="shared" si="239"/>
        <v>65620.615767308278</v>
      </c>
      <c r="BV108" s="59">
        <f t="shared" ref="BV108:DY108" si="240">((_NewSalesP1+_RetainedSalesP1)*_ContractPriceP1)</f>
        <v>65620.615767308278</v>
      </c>
      <c r="BW108" s="59">
        <f t="shared" si="240"/>
        <v>65620.615767308278</v>
      </c>
      <c r="BX108" s="59">
        <f t="shared" si="240"/>
        <v>65620.615767308278</v>
      </c>
      <c r="BY108" s="59">
        <f t="shared" si="240"/>
        <v>65620.615767308278</v>
      </c>
      <c r="BZ108" s="59">
        <f t="shared" si="240"/>
        <v>65620.615767308278</v>
      </c>
      <c r="CA108" s="59">
        <f t="shared" si="240"/>
        <v>65620.615767308278</v>
      </c>
      <c r="CB108" s="59">
        <f t="shared" si="240"/>
        <v>65620.615767308278</v>
      </c>
      <c r="CC108" s="59">
        <f t="shared" si="240"/>
        <v>65620.615767308278</v>
      </c>
      <c r="CD108" s="59">
        <f t="shared" si="240"/>
        <v>65620.615767308278</v>
      </c>
      <c r="CE108" s="59">
        <f t="shared" si="240"/>
        <v>65620.615767308278</v>
      </c>
      <c r="CF108" s="59">
        <f t="shared" si="240"/>
        <v>65620.615767308278</v>
      </c>
      <c r="CG108" s="59">
        <f t="shared" si="240"/>
        <v>65620.615767308278</v>
      </c>
      <c r="CH108" s="59">
        <f t="shared" si="240"/>
        <v>65620.615767308278</v>
      </c>
      <c r="CI108" s="59">
        <f t="shared" si="240"/>
        <v>65620.615767308278</v>
      </c>
      <c r="CJ108" s="59">
        <f t="shared" si="240"/>
        <v>65620.615767308278</v>
      </c>
      <c r="CK108" s="59">
        <f t="shared" si="240"/>
        <v>65620.615767308278</v>
      </c>
      <c r="CL108" s="59">
        <f t="shared" si="240"/>
        <v>65620.615767308278</v>
      </c>
      <c r="CM108" s="59">
        <f t="shared" si="240"/>
        <v>65620.615767308278</v>
      </c>
      <c r="CN108" s="59">
        <f t="shared" si="240"/>
        <v>65620.615767308278</v>
      </c>
      <c r="CO108" s="59">
        <f t="shared" si="240"/>
        <v>65620.615767308278</v>
      </c>
      <c r="CP108" s="59">
        <f t="shared" si="240"/>
        <v>65620.615767308278</v>
      </c>
      <c r="CQ108" s="59">
        <f t="shared" si="240"/>
        <v>65620.615767308278</v>
      </c>
      <c r="CR108" s="59">
        <f t="shared" si="240"/>
        <v>65620.615767308278</v>
      </c>
      <c r="CS108" s="59">
        <f t="shared" si="240"/>
        <v>65620.615767308278</v>
      </c>
      <c r="CT108" s="59">
        <f t="shared" si="240"/>
        <v>65620.615767308278</v>
      </c>
      <c r="CU108" s="59">
        <f t="shared" si="240"/>
        <v>65620.615767308278</v>
      </c>
      <c r="CV108" s="59">
        <f t="shared" si="240"/>
        <v>65620.615767308278</v>
      </c>
      <c r="CW108" s="59">
        <f t="shared" si="240"/>
        <v>65620.615767308278</v>
      </c>
      <c r="CX108" s="59">
        <f t="shared" si="240"/>
        <v>65620.615767308278</v>
      </c>
      <c r="CY108" s="59">
        <f t="shared" si="240"/>
        <v>65620.615767308278</v>
      </c>
      <c r="CZ108" s="59">
        <f t="shared" si="240"/>
        <v>65620.615767308278</v>
      </c>
      <c r="DA108" s="59">
        <f t="shared" si="240"/>
        <v>65620.615767308278</v>
      </c>
      <c r="DB108" s="59">
        <f t="shared" si="240"/>
        <v>65620.615767308278</v>
      </c>
      <c r="DC108" s="59">
        <f t="shared" si="240"/>
        <v>65620.615767308278</v>
      </c>
      <c r="DD108" s="59">
        <f t="shared" si="240"/>
        <v>65620.615767308278</v>
      </c>
      <c r="DE108" s="59">
        <f t="shared" si="240"/>
        <v>65620.615767308278</v>
      </c>
      <c r="DF108" s="59">
        <f t="shared" si="240"/>
        <v>65620.615767308278</v>
      </c>
      <c r="DG108" s="59">
        <f t="shared" si="240"/>
        <v>65620.615767308278</v>
      </c>
      <c r="DH108" s="59">
        <f t="shared" si="240"/>
        <v>65620.615767308278</v>
      </c>
      <c r="DI108" s="59">
        <f t="shared" si="240"/>
        <v>65620.615767308278</v>
      </c>
      <c r="DJ108" s="59">
        <f t="shared" si="240"/>
        <v>65620.615767308278</v>
      </c>
      <c r="DK108" s="59">
        <f t="shared" si="240"/>
        <v>65620.615767308278</v>
      </c>
      <c r="DL108" s="59">
        <f t="shared" si="240"/>
        <v>65620.615767308278</v>
      </c>
      <c r="DM108" s="59">
        <f t="shared" si="240"/>
        <v>65620.615767308278</v>
      </c>
      <c r="DN108" s="59">
        <f t="shared" si="240"/>
        <v>65620.615767308278</v>
      </c>
      <c r="DO108" s="59">
        <f t="shared" si="240"/>
        <v>65620.615767308278</v>
      </c>
      <c r="DP108" s="59">
        <f t="shared" si="240"/>
        <v>65620.615767308278</v>
      </c>
      <c r="DQ108" s="59">
        <f t="shared" si="240"/>
        <v>65620.615767308278</v>
      </c>
      <c r="DR108" s="59">
        <f t="shared" si="240"/>
        <v>65620.615767308278</v>
      </c>
      <c r="DS108" s="59">
        <f t="shared" si="240"/>
        <v>65620.615767308278</v>
      </c>
      <c r="DT108" s="59">
        <f t="shared" si="240"/>
        <v>65620.615767308278</v>
      </c>
      <c r="DU108" s="59">
        <f t="shared" si="240"/>
        <v>65620.615767308278</v>
      </c>
      <c r="DV108" s="59">
        <f t="shared" si="240"/>
        <v>65620.615767308278</v>
      </c>
      <c r="DW108" s="59">
        <f t="shared" si="240"/>
        <v>65620.615767308278</v>
      </c>
      <c r="DX108" s="59">
        <f t="shared" si="240"/>
        <v>65620.615767308278</v>
      </c>
      <c r="DY108" s="59">
        <f t="shared" si="240"/>
        <v>65620.615767308278</v>
      </c>
    </row>
    <row r="109" spans="1:129" s="19" customFormat="1" outlineLevel="2">
      <c r="A109" s="20"/>
      <c r="C109" s="9" t="str">
        <f>'Model Assumptions'!$H$24</f>
        <v>Product 2</v>
      </c>
      <c r="D109" s="9"/>
      <c r="E109" s="30"/>
      <c r="F109" s="5"/>
      <c r="G109" s="275"/>
      <c r="H109" s="81"/>
      <c r="I109" s="81"/>
      <c r="J109" s="59">
        <f t="shared" ref="J109:AO109" ca="1" si="241">((_NewSalesP2+_RetainedSalesP2)*_ContractPriceP2)</f>
        <v>1181374.6384544517</v>
      </c>
      <c r="K109" s="59">
        <f t="shared" ca="1" si="241"/>
        <v>1203406.6384544517</v>
      </c>
      <c r="L109" s="59">
        <f t="shared" ca="1" si="241"/>
        <v>1225879.2784544516</v>
      </c>
      <c r="M109" s="59">
        <f t="shared" ca="1" si="241"/>
        <v>1248801.3712544516</v>
      </c>
      <c r="N109" s="59">
        <f t="shared" ca="1" si="241"/>
        <v>1272181.9059104517</v>
      </c>
      <c r="O109" s="59">
        <f t="shared" ca="1" si="241"/>
        <v>1296030.0512595717</v>
      </c>
      <c r="P109" s="59">
        <f t="shared" ca="1" si="241"/>
        <v>1320355.159515674</v>
      </c>
      <c r="Q109" s="59">
        <f t="shared" ca="1" si="241"/>
        <v>1345166.7699368985</v>
      </c>
      <c r="R109" s="59">
        <f t="shared" ca="1" si="241"/>
        <v>1370474.6125665475</v>
      </c>
      <c r="S109" s="59">
        <f t="shared" ca="1" si="241"/>
        <v>1396288.6120487896</v>
      </c>
      <c r="T109" s="59">
        <f t="shared" ca="1" si="241"/>
        <v>1422618.8915206764</v>
      </c>
      <c r="U109" s="59">
        <f t="shared" ca="1" si="241"/>
        <v>1449475.7765820008</v>
      </c>
      <c r="V109" s="59">
        <f t="shared" ca="1" si="241"/>
        <v>1501810.4216256139</v>
      </c>
      <c r="W109" s="59">
        <f t="shared" ca="1" si="241"/>
        <v>1531705.207992781</v>
      </c>
      <c r="X109" s="59">
        <f t="shared" ca="1" si="241"/>
        <v>1562197.8900872911</v>
      </c>
      <c r="Y109" s="59">
        <f t="shared" ca="1" si="241"/>
        <v>1593300.425823692</v>
      </c>
      <c r="Z109" s="59">
        <f t="shared" ca="1" si="241"/>
        <v>1625025.0122748206</v>
      </c>
      <c r="AA109" s="59">
        <f t="shared" ca="1" si="241"/>
        <v>1657384.0904549721</v>
      </c>
      <c r="AB109" s="59">
        <f t="shared" ca="1" si="241"/>
        <v>1690390.3501987257</v>
      </c>
      <c r="AC109" s="59">
        <f t="shared" ca="1" si="241"/>
        <v>1724056.7351373555</v>
      </c>
      <c r="AD109" s="59">
        <f t="shared" ca="1" si="241"/>
        <v>1758396.4477747572</v>
      </c>
      <c r="AE109" s="59">
        <f t="shared" ca="1" si="241"/>
        <v>1793422.954664907</v>
      </c>
      <c r="AF109" s="59">
        <f t="shared" ca="1" si="241"/>
        <v>1829149.9916928597</v>
      </c>
      <c r="AG109" s="59">
        <f t="shared" ca="1" si="241"/>
        <v>1865591.5694613715</v>
      </c>
      <c r="AH109" s="59">
        <f t="shared" ca="1" si="241"/>
        <v>1904972.6778133658</v>
      </c>
      <c r="AI109" s="59">
        <f t="shared" ca="1" si="241"/>
        <v>1943059.5959317083</v>
      </c>
      <c r="AJ109" s="59">
        <f t="shared" ca="1" si="241"/>
        <v>1981908.2524124174</v>
      </c>
      <c r="AK109" s="59">
        <f t="shared" ca="1" si="241"/>
        <v>2021533.882022741</v>
      </c>
      <c r="AL109" s="59">
        <f t="shared" ca="1" si="241"/>
        <v>2061952.0242252708</v>
      </c>
      <c r="AM109" s="59">
        <f t="shared" ca="1" si="241"/>
        <v>2103178.5292718513</v>
      </c>
      <c r="AN109" s="59">
        <f t="shared" ca="1" si="241"/>
        <v>2145229.5644193636</v>
      </c>
      <c r="AO109" s="59">
        <f t="shared" ca="1" si="241"/>
        <v>2188121.6202698261</v>
      </c>
      <c r="AP109" s="59">
        <f t="shared" ref="AP109:BU109" ca="1" si="242">((_NewSalesP2+_RetainedSalesP2)*_ContractPriceP2)</f>
        <v>2231871.5172372977</v>
      </c>
      <c r="AQ109" s="59">
        <f t="shared" ca="1" si="242"/>
        <v>2276496.4121441189</v>
      </c>
      <c r="AR109" s="59">
        <f t="shared" ca="1" si="242"/>
        <v>2322013.8049490764</v>
      </c>
      <c r="AS109" s="59">
        <f t="shared" ca="1" si="242"/>
        <v>2368441.5456101331</v>
      </c>
      <c r="AT109" s="59">
        <f t="shared" ca="1" si="242"/>
        <v>2415993.7941018543</v>
      </c>
      <c r="AU109" s="59">
        <f t="shared" ca="1" si="242"/>
        <v>2464312.558861638</v>
      </c>
      <c r="AV109" s="59">
        <f t="shared" ca="1" si="242"/>
        <v>2513597.6989166168</v>
      </c>
      <c r="AW109" s="59">
        <f t="shared" ca="1" si="242"/>
        <v>2563868.5417726957</v>
      </c>
      <c r="AX109" s="59">
        <f t="shared" ca="1" si="242"/>
        <v>2615144.8014858961</v>
      </c>
      <c r="AY109" s="59">
        <f t="shared" ca="1" si="242"/>
        <v>2667446.58639336</v>
      </c>
      <c r="AZ109" s="59">
        <f t="shared" ca="1" si="242"/>
        <v>2720794.4069989738</v>
      </c>
      <c r="BA109" s="59">
        <f t="shared" ca="1" si="242"/>
        <v>2775209.184016699</v>
      </c>
      <c r="BB109" s="59">
        <f t="shared" ca="1" si="242"/>
        <v>2830712.2565747793</v>
      </c>
      <c r="BC109" s="59">
        <f t="shared" ca="1" si="242"/>
        <v>2887325.3905840218</v>
      </c>
      <c r="BD109" s="59">
        <f t="shared" ca="1" si="242"/>
        <v>2945070.7872734489</v>
      </c>
      <c r="BE109" s="59">
        <f t="shared" ca="1" si="242"/>
        <v>3003971.0918966639</v>
      </c>
      <c r="BF109" s="59">
        <f t="shared" ca="1" si="242"/>
        <v>3064066.7715913663</v>
      </c>
      <c r="BG109" s="59">
        <f t="shared" ca="1" si="242"/>
        <v>3125348.0085349977</v>
      </c>
      <c r="BH109" s="59">
        <f t="shared" ca="1" si="242"/>
        <v>3187854.8702175026</v>
      </c>
      <c r="BI109" s="59">
        <f t="shared" ca="1" si="242"/>
        <v>3251611.8691336564</v>
      </c>
      <c r="BJ109" s="59">
        <f t="shared" ca="1" si="242"/>
        <v>3316644.0080281338</v>
      </c>
      <c r="BK109" s="59">
        <f t="shared" ca="1" si="242"/>
        <v>3382976.7897005011</v>
      </c>
      <c r="BL109" s="59">
        <f t="shared" ca="1" si="242"/>
        <v>3450636.2270063162</v>
      </c>
      <c r="BM109" s="59">
        <f t="shared" ca="1" si="242"/>
        <v>3519648.8530582474</v>
      </c>
      <c r="BN109" s="59">
        <f t="shared" ca="1" si="242"/>
        <v>3590041.7316312166</v>
      </c>
      <c r="BO109" s="59">
        <f t="shared" ca="1" si="242"/>
        <v>3661842.4677756452</v>
      </c>
      <c r="BP109" s="59">
        <f t="shared" ca="1" si="242"/>
        <v>3735079.2186429626</v>
      </c>
      <c r="BQ109" s="59">
        <f t="shared" ca="1" si="242"/>
        <v>3809780.7045276258</v>
      </c>
      <c r="BR109" s="59">
        <f t="shared" ca="1" si="242"/>
        <v>3815107.4946613139</v>
      </c>
      <c r="BS109" s="59">
        <f t="shared" ca="1" si="242"/>
        <v>3820539.3707960029</v>
      </c>
      <c r="BT109" s="59">
        <f t="shared" ca="1" si="242"/>
        <v>3826079.8844533851</v>
      </c>
      <c r="BU109" s="59">
        <f t="shared" ca="1" si="242"/>
        <v>3831731.2083839155</v>
      </c>
      <c r="BV109" s="59">
        <f t="shared" ref="BV109:DY109" ca="1" si="243">((_NewSalesP2+_RetainedSalesP2)*_ContractPriceP2)</f>
        <v>3837495.5587930558</v>
      </c>
      <c r="BW109" s="59">
        <f t="shared" ca="1" si="243"/>
        <v>3843375.1962103802</v>
      </c>
      <c r="BX109" s="59">
        <f t="shared" ca="1" si="243"/>
        <v>3849372.4263760499</v>
      </c>
      <c r="BY109" s="59">
        <f t="shared" ca="1" si="243"/>
        <v>3855489.6011450333</v>
      </c>
      <c r="BZ109" s="59">
        <f t="shared" ca="1" si="243"/>
        <v>3861729.1194093963</v>
      </c>
      <c r="CA109" s="59">
        <f t="shared" ca="1" si="243"/>
        <v>3868093.4280390465</v>
      </c>
      <c r="CB109" s="59">
        <f t="shared" ca="1" si="243"/>
        <v>3874585.0228412901</v>
      </c>
      <c r="CC109" s="59">
        <f t="shared" ca="1" si="243"/>
        <v>3881206.4495395781</v>
      </c>
      <c r="CD109" s="59">
        <f t="shared" ca="1" si="243"/>
        <v>3881678.6081585088</v>
      </c>
      <c r="CE109" s="59">
        <f t="shared" ca="1" si="243"/>
        <v>3882160.081441591</v>
      </c>
      <c r="CF109" s="59">
        <f t="shared" ca="1" si="243"/>
        <v>3882651.1841903352</v>
      </c>
      <c r="CG109" s="59">
        <f t="shared" ca="1" si="243"/>
        <v>3883152.1089940541</v>
      </c>
      <c r="CH109" s="59">
        <f t="shared" ca="1" si="243"/>
        <v>3883663.0522938478</v>
      </c>
      <c r="CI109" s="59">
        <f t="shared" ca="1" si="243"/>
        <v>3884184.2144596367</v>
      </c>
      <c r="CJ109" s="59">
        <f t="shared" ca="1" si="243"/>
        <v>3884715.799868742</v>
      </c>
      <c r="CK109" s="59">
        <f t="shared" ca="1" si="243"/>
        <v>3885258.0169860283</v>
      </c>
      <c r="CL109" s="59">
        <f t="shared" ca="1" si="243"/>
        <v>3885811.0784456613</v>
      </c>
      <c r="CM109" s="59">
        <f t="shared" ca="1" si="243"/>
        <v>3886375.2011344866</v>
      </c>
      <c r="CN109" s="59">
        <f t="shared" ca="1" si="243"/>
        <v>3886950.6062770891</v>
      </c>
      <c r="CO109" s="59">
        <f t="shared" ca="1" si="243"/>
        <v>3887537.5195225426</v>
      </c>
      <c r="CP109" s="59">
        <f t="shared" ca="1" si="243"/>
        <v>3887579.3709482299</v>
      </c>
      <c r="CQ109" s="59">
        <f t="shared" ca="1" si="243"/>
        <v>3887622.0480116559</v>
      </c>
      <c r="CR109" s="59">
        <f t="shared" ca="1" si="243"/>
        <v>3887665.57861635</v>
      </c>
      <c r="CS109" s="59">
        <f t="shared" ca="1" si="243"/>
        <v>3887709.9798331386</v>
      </c>
      <c r="CT109" s="59">
        <f t="shared" ca="1" si="243"/>
        <v>3887755.2690742626</v>
      </c>
      <c r="CU109" s="59">
        <f t="shared" ca="1" si="243"/>
        <v>3887801.4641002095</v>
      </c>
      <c r="CV109" s="59">
        <f t="shared" ca="1" si="243"/>
        <v>3887848.583026675</v>
      </c>
      <c r="CW109" s="59">
        <f t="shared" ca="1" si="243"/>
        <v>3887896.6443316699</v>
      </c>
      <c r="CX109" s="59">
        <f t="shared" ca="1" si="243"/>
        <v>3887945.6668627644</v>
      </c>
      <c r="CY109" s="59">
        <f t="shared" ca="1" si="243"/>
        <v>3887995.6698444816</v>
      </c>
      <c r="CZ109" s="59">
        <f t="shared" ca="1" si="243"/>
        <v>3888046.6728858328</v>
      </c>
      <c r="DA109" s="59">
        <f t="shared" ca="1" si="243"/>
        <v>3888098.6959880101</v>
      </c>
      <c r="DB109" s="59">
        <f t="shared" ca="1" si="243"/>
        <v>3888102.4056350696</v>
      </c>
      <c r="DC109" s="59">
        <f t="shared" ca="1" si="243"/>
        <v>3888106.1884654085</v>
      </c>
      <c r="DD109" s="59">
        <f t="shared" ca="1" si="243"/>
        <v>3888110.0469523538</v>
      </c>
      <c r="DE109" s="59">
        <f t="shared" ca="1" si="243"/>
        <v>3888113.9826090387</v>
      </c>
      <c r="DF109" s="59">
        <f t="shared" ca="1" si="243"/>
        <v>3888117.9969788571</v>
      </c>
      <c r="DG109" s="59">
        <f t="shared" ca="1" si="243"/>
        <v>3888122.0916360719</v>
      </c>
      <c r="DH109" s="59">
        <f t="shared" ca="1" si="243"/>
        <v>3888126.2681864314</v>
      </c>
      <c r="DI109" s="59">
        <f t="shared" ca="1" si="243"/>
        <v>3888130.5282677971</v>
      </c>
      <c r="DJ109" s="59">
        <f t="shared" ca="1" si="243"/>
        <v>3888134.8735507908</v>
      </c>
      <c r="DK109" s="59">
        <f t="shared" ca="1" si="243"/>
        <v>3888139.3057394437</v>
      </c>
      <c r="DL109" s="59">
        <f t="shared" ca="1" si="243"/>
        <v>3888143.8265718706</v>
      </c>
      <c r="DM109" s="59">
        <f t="shared" ca="1" si="243"/>
        <v>3888148.4378209459</v>
      </c>
      <c r="DN109" s="59">
        <f t="shared" ca="1" si="243"/>
        <v>3888148.7666384489</v>
      </c>
      <c r="DO109" s="59">
        <f t="shared" ca="1" si="243"/>
        <v>3888149.1019428074</v>
      </c>
      <c r="DP109" s="59">
        <f t="shared" ca="1" si="243"/>
        <v>3888149.4439532529</v>
      </c>
      <c r="DQ109" s="59">
        <f t="shared" ca="1" si="243"/>
        <v>3888149.7928039078</v>
      </c>
      <c r="DR109" s="59">
        <f t="shared" ca="1" si="243"/>
        <v>3888150.1486315751</v>
      </c>
      <c r="DS109" s="59">
        <f t="shared" ca="1" si="243"/>
        <v>3888150.5115757962</v>
      </c>
      <c r="DT109" s="59">
        <f t="shared" ca="1" si="243"/>
        <v>3888150.8817789019</v>
      </c>
      <c r="DU109" s="59">
        <f t="shared" ca="1" si="243"/>
        <v>3888151.2593860691</v>
      </c>
      <c r="DV109" s="59">
        <f t="shared" ca="1" si="243"/>
        <v>3888151.64454538</v>
      </c>
      <c r="DW109" s="59">
        <f t="shared" ca="1" si="243"/>
        <v>3888152.0374078774</v>
      </c>
      <c r="DX109" s="59">
        <f t="shared" ca="1" si="243"/>
        <v>3888152.4381276239</v>
      </c>
      <c r="DY109" s="59">
        <f t="shared" ca="1" si="243"/>
        <v>3888152.8468617662</v>
      </c>
    </row>
    <row r="110" spans="1:129" s="19" customFormat="1" outlineLevel="2">
      <c r="A110" s="20"/>
      <c r="C110" s="9" t="str">
        <f>'Model Assumptions'!$I$24</f>
        <v>Product 3</v>
      </c>
      <c r="D110" s="9"/>
      <c r="E110" s="30"/>
      <c r="F110" s="5"/>
      <c r="G110" s="275"/>
      <c r="H110" s="81"/>
      <c r="I110" s="81"/>
      <c r="J110" s="59">
        <f t="shared" ref="J110:AO110" ca="1" si="244">((_NewSalesP3+_RetainedSalesP3)*_ContractPriceP3)</f>
        <v>693940.19971036387</v>
      </c>
      <c r="K110" s="59">
        <f t="shared" ca="1" si="244"/>
        <v>707302.19971036399</v>
      </c>
      <c r="L110" s="59">
        <f t="shared" ca="1" si="244"/>
        <v>720931.43971036386</v>
      </c>
      <c r="M110" s="59">
        <f t="shared" ca="1" si="244"/>
        <v>734833.26451036392</v>
      </c>
      <c r="N110" s="59">
        <f t="shared" ca="1" si="244"/>
        <v>749013.125806364</v>
      </c>
      <c r="O110" s="59">
        <f t="shared" ca="1" si="244"/>
        <v>763476.58432828391</v>
      </c>
      <c r="P110" s="59">
        <f t="shared" ca="1" si="244"/>
        <v>778229.31202064233</v>
      </c>
      <c r="Q110" s="59">
        <f t="shared" ca="1" si="244"/>
        <v>793277.09426684794</v>
      </c>
      <c r="R110" s="59">
        <f t="shared" ca="1" si="244"/>
        <v>808625.83215797762</v>
      </c>
      <c r="S110" s="59">
        <f t="shared" ca="1" si="244"/>
        <v>824281.54480692989</v>
      </c>
      <c r="T110" s="59">
        <f t="shared" ca="1" si="244"/>
        <v>840250.3717088612</v>
      </c>
      <c r="U110" s="59">
        <f t="shared" ca="1" si="244"/>
        <v>856538.57514883135</v>
      </c>
      <c r="V110" s="59">
        <f t="shared" ca="1" si="244"/>
        <v>873152.5426576006</v>
      </c>
      <c r="W110" s="59">
        <f t="shared" ca="1" si="244"/>
        <v>890098.78951654537</v>
      </c>
      <c r="X110" s="59">
        <f t="shared" ca="1" si="244"/>
        <v>907383.96131266898</v>
      </c>
      <c r="Y110" s="59">
        <f t="shared" ca="1" si="244"/>
        <v>925014.83654471522</v>
      </c>
      <c r="Z110" s="59">
        <f t="shared" ca="1" si="244"/>
        <v>942998.32928140229</v>
      </c>
      <c r="AA110" s="59">
        <f t="shared" ca="1" si="244"/>
        <v>961341.4918728231</v>
      </c>
      <c r="AB110" s="59">
        <f t="shared" ca="1" si="244"/>
        <v>980051.51771607227</v>
      </c>
      <c r="AC110" s="59">
        <f t="shared" ca="1" si="244"/>
        <v>999135.74407618656</v>
      </c>
      <c r="AD110" s="59">
        <f t="shared" ca="1" si="244"/>
        <v>1018601.654963503</v>
      </c>
      <c r="AE110" s="59">
        <f t="shared" ca="1" si="244"/>
        <v>1038456.8840685657</v>
      </c>
      <c r="AF110" s="59">
        <f t="shared" ca="1" si="244"/>
        <v>1058709.2177557298</v>
      </c>
      <c r="AG110" s="59">
        <f t="shared" ca="1" si="244"/>
        <v>1079366.598116637</v>
      </c>
      <c r="AH110" s="59">
        <f t="shared" ca="1" si="244"/>
        <v>1100437.1260847626</v>
      </c>
      <c r="AI110" s="59">
        <f t="shared" ca="1" si="244"/>
        <v>1121929.0646122505</v>
      </c>
      <c r="AJ110" s="59">
        <f t="shared" ca="1" si="244"/>
        <v>1143850.8419102882</v>
      </c>
      <c r="AK110" s="59">
        <f t="shared" ca="1" si="244"/>
        <v>1166211.0547542868</v>
      </c>
      <c r="AL110" s="59">
        <f t="shared" ca="1" si="244"/>
        <v>1189018.4718551652</v>
      </c>
      <c r="AM110" s="59">
        <f t="shared" ca="1" si="244"/>
        <v>1212282.0372980612</v>
      </c>
      <c r="AN110" s="59">
        <f t="shared" ca="1" si="244"/>
        <v>1261501.4568229406</v>
      </c>
      <c r="AO110" s="59">
        <f t="shared" ca="1" si="244"/>
        <v>1286693.257948651</v>
      </c>
      <c r="AP110" s="59">
        <f t="shared" ref="AP110:BU110" ca="1" si="245">((_NewSalesP3+_RetainedSalesP3)*_ContractPriceP3)</f>
        <v>1312388.895096876</v>
      </c>
      <c r="AQ110" s="59">
        <f t="shared" ca="1" si="245"/>
        <v>1338598.4449880652</v>
      </c>
      <c r="AR110" s="59">
        <f t="shared" ca="1" si="245"/>
        <v>1365332.185877078</v>
      </c>
      <c r="AS110" s="59">
        <f t="shared" ca="1" si="245"/>
        <v>1392600.6015838711</v>
      </c>
      <c r="AT110" s="59">
        <f t="shared" ca="1" si="245"/>
        <v>1420414.3856048002</v>
      </c>
      <c r="AU110" s="59">
        <f t="shared" ca="1" si="245"/>
        <v>1448784.4453061479</v>
      </c>
      <c r="AV110" s="59">
        <f t="shared" ca="1" si="245"/>
        <v>1477721.9062015226</v>
      </c>
      <c r="AW110" s="59">
        <f t="shared" ca="1" si="245"/>
        <v>1507238.1163148046</v>
      </c>
      <c r="AX110" s="59">
        <f t="shared" ca="1" si="245"/>
        <v>1537344.6506303523</v>
      </c>
      <c r="AY110" s="59">
        <f t="shared" ca="1" si="245"/>
        <v>1568053.315632211</v>
      </c>
      <c r="AZ110" s="59">
        <f t="shared" ca="1" si="245"/>
        <v>1599376.1539341069</v>
      </c>
      <c r="BA110" s="59">
        <f t="shared" ca="1" si="245"/>
        <v>1631325.4490020406</v>
      </c>
      <c r="BB110" s="59">
        <f t="shared" ca="1" si="245"/>
        <v>1663913.7299713332</v>
      </c>
      <c r="BC110" s="59">
        <f t="shared" ca="1" si="245"/>
        <v>1697153.7765600116</v>
      </c>
      <c r="BD110" s="59">
        <f t="shared" ca="1" si="245"/>
        <v>1731058.6240804635</v>
      </c>
      <c r="BE110" s="59">
        <f t="shared" ca="1" si="245"/>
        <v>1765641.5685513243</v>
      </c>
      <c r="BF110" s="59">
        <f t="shared" ca="1" si="245"/>
        <v>1800916.1719116021</v>
      </c>
      <c r="BG110" s="59">
        <f t="shared" ca="1" si="245"/>
        <v>1836896.2673390859</v>
      </c>
      <c r="BH110" s="59">
        <f t="shared" ca="1" si="245"/>
        <v>1873595.9646751194</v>
      </c>
      <c r="BI110" s="59">
        <f t="shared" ca="1" si="245"/>
        <v>1911029.6559578734</v>
      </c>
      <c r="BJ110" s="59">
        <f t="shared" ca="1" si="245"/>
        <v>1949212.0210662826</v>
      </c>
      <c r="BK110" s="59">
        <f t="shared" ca="1" si="245"/>
        <v>1988158.0334768598</v>
      </c>
      <c r="BL110" s="59">
        <f t="shared" ca="1" si="245"/>
        <v>2027882.9661356488</v>
      </c>
      <c r="BM110" s="59">
        <f t="shared" ca="1" si="245"/>
        <v>2068402.3974476135</v>
      </c>
      <c r="BN110" s="59">
        <f t="shared" ca="1" si="245"/>
        <v>2109732.2173858178</v>
      </c>
      <c r="BO110" s="59">
        <f t="shared" ca="1" si="245"/>
        <v>2151888.6337227854</v>
      </c>
      <c r="BP110" s="59">
        <f t="shared" ca="1" si="245"/>
        <v>2194888.1783864931</v>
      </c>
      <c r="BQ110" s="59">
        <f t="shared" ca="1" si="245"/>
        <v>2238747.7139434745</v>
      </c>
      <c r="BR110" s="59">
        <f t="shared" ca="1" si="245"/>
        <v>2242388.4762435253</v>
      </c>
      <c r="BS110" s="59">
        <f t="shared" ca="1" si="245"/>
        <v>2244251.914713426</v>
      </c>
      <c r="BT110" s="59">
        <f t="shared" ca="1" si="245"/>
        <v>2246152.6219527256</v>
      </c>
      <c r="BU110" s="59">
        <f t="shared" ca="1" si="245"/>
        <v>2248091.3433368108</v>
      </c>
      <c r="BV110" s="59">
        <f t="shared" ref="BV110:DY110" ca="1" si="246">((_NewSalesP3+_RetainedSalesP3)*_ContractPriceP3)</f>
        <v>2250068.8391485773</v>
      </c>
      <c r="BW110" s="59">
        <f t="shared" ca="1" si="246"/>
        <v>2252085.8848765795</v>
      </c>
      <c r="BX110" s="59">
        <f t="shared" ca="1" si="246"/>
        <v>2254143.2715191417</v>
      </c>
      <c r="BY110" s="59">
        <f t="shared" ca="1" si="246"/>
        <v>2256241.8058945555</v>
      </c>
      <c r="BZ110" s="59">
        <f t="shared" ca="1" si="246"/>
        <v>2258382.310957477</v>
      </c>
      <c r="CA110" s="59">
        <f t="shared" ca="1" si="246"/>
        <v>2260565.6261216574</v>
      </c>
      <c r="CB110" s="59">
        <f t="shared" ca="1" si="246"/>
        <v>2262792.607589121</v>
      </c>
      <c r="CC110" s="59">
        <f t="shared" ca="1" si="246"/>
        <v>2265064.128685934</v>
      </c>
      <c r="CD110" s="59">
        <f t="shared" ca="1" si="246"/>
        <v>2267381.0802046838</v>
      </c>
      <c r="CE110" s="59">
        <f t="shared" ca="1" si="246"/>
        <v>2269744.3707538079</v>
      </c>
      <c r="CF110" s="59">
        <f t="shared" ca="1" si="246"/>
        <v>2272154.9271139149</v>
      </c>
      <c r="CG110" s="59">
        <f t="shared" ca="1" si="246"/>
        <v>2274613.6946012238</v>
      </c>
      <c r="CH110" s="59">
        <f t="shared" ca="1" si="246"/>
        <v>2277121.6374382786</v>
      </c>
      <c r="CI110" s="59">
        <f t="shared" ca="1" si="246"/>
        <v>2279679.7391320746</v>
      </c>
      <c r="CJ110" s="59">
        <f t="shared" ca="1" si="246"/>
        <v>2282289.002859747</v>
      </c>
      <c r="CK110" s="59">
        <f t="shared" ca="1" si="246"/>
        <v>2284950.4518619725</v>
      </c>
      <c r="CL110" s="59">
        <f t="shared" ca="1" si="246"/>
        <v>2287665.1298442422</v>
      </c>
      <c r="CM110" s="59">
        <f t="shared" ca="1" si="246"/>
        <v>2290434.1013861578</v>
      </c>
      <c r="CN110" s="59">
        <f t="shared" ca="1" si="246"/>
        <v>2293258.4523589117</v>
      </c>
      <c r="CO110" s="59">
        <f t="shared" ca="1" si="246"/>
        <v>2296139.2903511208</v>
      </c>
      <c r="CP110" s="59">
        <f t="shared" ca="1" si="246"/>
        <v>2299077.7451031734</v>
      </c>
      <c r="CQ110" s="59">
        <f t="shared" ca="1" si="246"/>
        <v>2302074.9689502679</v>
      </c>
      <c r="CR110" s="59">
        <f t="shared" ca="1" si="246"/>
        <v>2305132.1372743039</v>
      </c>
      <c r="CS110" s="59">
        <f t="shared" ca="1" si="246"/>
        <v>2308250.4489648202</v>
      </c>
      <c r="CT110" s="59">
        <f t="shared" ca="1" si="246"/>
        <v>2311431.1268891473</v>
      </c>
      <c r="CU110" s="59">
        <f t="shared" ca="1" si="246"/>
        <v>2314675.418371961</v>
      </c>
      <c r="CV110" s="59">
        <f t="shared" ca="1" si="246"/>
        <v>2314944.725695238</v>
      </c>
      <c r="CW110" s="59">
        <f t="shared" ca="1" si="246"/>
        <v>2315082.5643084352</v>
      </c>
      <c r="CX110" s="59">
        <f t="shared" ca="1" si="246"/>
        <v>2315223.1596938963</v>
      </c>
      <c r="CY110" s="59">
        <f t="shared" ca="1" si="246"/>
        <v>2315366.5669870665</v>
      </c>
      <c r="CZ110" s="59">
        <f t="shared" ca="1" si="246"/>
        <v>2315512.8424261003</v>
      </c>
      <c r="DA110" s="59">
        <f t="shared" ca="1" si="246"/>
        <v>2315662.0433739149</v>
      </c>
      <c r="DB110" s="59">
        <f t="shared" ca="1" si="246"/>
        <v>2315814.2283406854</v>
      </c>
      <c r="DC110" s="59">
        <f t="shared" ca="1" si="246"/>
        <v>2315969.4570067916</v>
      </c>
      <c r="DD110" s="59">
        <f t="shared" ca="1" si="246"/>
        <v>2316127.7902462198</v>
      </c>
      <c r="DE110" s="59">
        <f t="shared" ca="1" si="246"/>
        <v>2316289.2901504366</v>
      </c>
      <c r="DF110" s="59">
        <f t="shared" ca="1" si="246"/>
        <v>2316454.0200527376</v>
      </c>
      <c r="DG110" s="59">
        <f t="shared" ca="1" si="246"/>
        <v>2316622.0445530848</v>
      </c>
      <c r="DH110" s="59">
        <f t="shared" ca="1" si="246"/>
        <v>2316793.4295434388</v>
      </c>
      <c r="DI110" s="59">
        <f t="shared" ca="1" si="246"/>
        <v>2316968.2422336005</v>
      </c>
      <c r="DJ110" s="59">
        <f t="shared" ca="1" si="246"/>
        <v>2317146.551177565</v>
      </c>
      <c r="DK110" s="59">
        <f t="shared" ca="1" si="246"/>
        <v>2317328.4263004088</v>
      </c>
      <c r="DL110" s="59">
        <f t="shared" ca="1" si="246"/>
        <v>2317513.9389257091</v>
      </c>
      <c r="DM110" s="59">
        <f t="shared" ca="1" si="246"/>
        <v>2317703.1618035161</v>
      </c>
      <c r="DN110" s="59">
        <f t="shared" ca="1" si="246"/>
        <v>2317896.1691388786</v>
      </c>
      <c r="DO110" s="59">
        <f t="shared" ca="1" si="246"/>
        <v>2318093.0366209485</v>
      </c>
      <c r="DP110" s="59">
        <f t="shared" ca="1" si="246"/>
        <v>2318293.84145266</v>
      </c>
      <c r="DQ110" s="59">
        <f t="shared" ca="1" si="246"/>
        <v>2318498.6623810055</v>
      </c>
      <c r="DR110" s="59">
        <f t="shared" ca="1" si="246"/>
        <v>2318707.5797279179</v>
      </c>
      <c r="DS110" s="59">
        <f t="shared" ca="1" si="246"/>
        <v>2318920.6754217688</v>
      </c>
      <c r="DT110" s="59">
        <f t="shared" ca="1" si="246"/>
        <v>2319138.0330294967</v>
      </c>
      <c r="DU110" s="59">
        <f t="shared" ca="1" si="246"/>
        <v>2319359.737789379</v>
      </c>
      <c r="DV110" s="59">
        <f t="shared" ca="1" si="246"/>
        <v>2319585.8766444591</v>
      </c>
      <c r="DW110" s="59">
        <f t="shared" ca="1" si="246"/>
        <v>2319816.5382766407</v>
      </c>
      <c r="DX110" s="59">
        <f t="shared" ca="1" si="246"/>
        <v>2320051.8131414657</v>
      </c>
      <c r="DY110" s="59">
        <f t="shared" ca="1" si="246"/>
        <v>2320291.7935035876</v>
      </c>
    </row>
    <row r="111" spans="1:129" s="19" customFormat="1" outlineLevel="2">
      <c r="A111" s="20"/>
      <c r="C111" s="9" t="str">
        <f>'Model Assumptions'!$J$24</f>
        <v>Product 4</v>
      </c>
      <c r="D111" s="9"/>
      <c r="E111" s="30"/>
      <c r="F111" s="5"/>
      <c r="G111" s="275"/>
      <c r="H111" s="14"/>
      <c r="I111" s="14"/>
      <c r="J111" s="59">
        <f t="shared" ref="J111:AO111" ca="1" si="247">((_NewSalesP4+_RetainedSalesP4)*_ContractPriceP4)</f>
        <v>555934.53957623453</v>
      </c>
      <c r="K111" s="59">
        <f t="shared" ca="1" si="247"/>
        <v>566542.53957623465</v>
      </c>
      <c r="L111" s="59">
        <f t="shared" ca="1" si="247"/>
        <v>577362.69957623456</v>
      </c>
      <c r="M111" s="59">
        <f t="shared" ca="1" si="247"/>
        <v>588399.26277623465</v>
      </c>
      <c r="N111" s="59">
        <f t="shared" ca="1" si="247"/>
        <v>599656.55724023457</v>
      </c>
      <c r="O111" s="59">
        <f t="shared" ca="1" si="247"/>
        <v>611138.99759351474</v>
      </c>
      <c r="P111" s="59">
        <f t="shared" ca="1" si="247"/>
        <v>622851.08675386023</v>
      </c>
      <c r="Q111" s="59">
        <f t="shared" ca="1" si="247"/>
        <v>634797.41769741278</v>
      </c>
      <c r="R111" s="59">
        <f t="shared" ca="1" si="247"/>
        <v>646982.67525983625</v>
      </c>
      <c r="S111" s="59">
        <f t="shared" ca="1" si="247"/>
        <v>659411.63797350833</v>
      </c>
      <c r="T111" s="59">
        <f t="shared" ca="1" si="247"/>
        <v>672089.17994145385</v>
      </c>
      <c r="U111" s="59">
        <f t="shared" ca="1" si="247"/>
        <v>685020.27274875832</v>
      </c>
      <c r="V111" s="59">
        <f t="shared" ca="1" si="247"/>
        <v>698209.98741220881</v>
      </c>
      <c r="W111" s="59">
        <f t="shared" ca="1" si="247"/>
        <v>711663.49636892823</v>
      </c>
      <c r="X111" s="59">
        <f t="shared" ca="1" si="247"/>
        <v>725386.07550478214</v>
      </c>
      <c r="Y111" s="59">
        <f t="shared" ca="1" si="247"/>
        <v>739383.10622335318</v>
      </c>
      <c r="Z111" s="59">
        <f t="shared" ca="1" si="247"/>
        <v>753660.07755629567</v>
      </c>
      <c r="AA111" s="59">
        <f t="shared" ca="1" si="247"/>
        <v>768222.58831589681</v>
      </c>
      <c r="AB111" s="59">
        <f t="shared" ca="1" si="247"/>
        <v>783076.34929069004</v>
      </c>
      <c r="AC111" s="59">
        <f t="shared" ca="1" si="247"/>
        <v>798227.18548497919</v>
      </c>
      <c r="AD111" s="59">
        <f t="shared" ca="1" si="247"/>
        <v>813681.03840315412</v>
      </c>
      <c r="AE111" s="59">
        <f t="shared" ca="1" si="247"/>
        <v>829443.96837969252</v>
      </c>
      <c r="AF111" s="59">
        <f t="shared" ca="1" si="247"/>
        <v>845522.1569557616</v>
      </c>
      <c r="AG111" s="59">
        <f t="shared" ca="1" si="247"/>
        <v>861921.90930335212</v>
      </c>
      <c r="AH111" s="59">
        <f t="shared" ca="1" si="247"/>
        <v>896793.67866813729</v>
      </c>
      <c r="AI111" s="59">
        <f t="shared" ca="1" si="247"/>
        <v>914689.42838233884</v>
      </c>
      <c r="AJ111" s="59">
        <f t="shared" ca="1" si="247"/>
        <v>932943.09309082432</v>
      </c>
      <c r="AK111" s="59">
        <f t="shared" ca="1" si="247"/>
        <v>951561.83109347953</v>
      </c>
      <c r="AL111" s="59">
        <f t="shared" ca="1" si="247"/>
        <v>970552.94385618798</v>
      </c>
      <c r="AM111" s="59">
        <f t="shared" ca="1" si="247"/>
        <v>989923.87887415045</v>
      </c>
      <c r="AN111" s="59">
        <f t="shared" ca="1" si="247"/>
        <v>1009682.2325924721</v>
      </c>
      <c r="AO111" s="59">
        <f t="shared" ca="1" si="247"/>
        <v>1029835.7533851605</v>
      </c>
      <c r="AP111" s="59">
        <f t="shared" ref="AP111:BU111" ca="1" si="248">((_NewSalesP4+_RetainedSalesP4)*_ContractPriceP4)</f>
        <v>1050392.3445937023</v>
      </c>
      <c r="AQ111" s="59">
        <f t="shared" ca="1" si="248"/>
        <v>1071360.0676264153</v>
      </c>
      <c r="AR111" s="59">
        <f t="shared" ca="1" si="248"/>
        <v>1092747.1451197823</v>
      </c>
      <c r="AS111" s="59">
        <f t="shared" ca="1" si="248"/>
        <v>1114561.9641630168</v>
      </c>
      <c r="AT111" s="59">
        <f t="shared" ca="1" si="248"/>
        <v>1136813.0795871159</v>
      </c>
      <c r="AU111" s="59">
        <f t="shared" ca="1" si="248"/>
        <v>1159509.2173196969</v>
      </c>
      <c r="AV111" s="59">
        <f t="shared" ca="1" si="248"/>
        <v>1182659.2778069295</v>
      </c>
      <c r="AW111" s="59">
        <f t="shared" ca="1" si="248"/>
        <v>1206272.3395039069</v>
      </c>
      <c r="AX111" s="59">
        <f t="shared" ca="1" si="248"/>
        <v>1230357.662434824</v>
      </c>
      <c r="AY111" s="59">
        <f t="shared" ca="1" si="248"/>
        <v>1254924.6918243591</v>
      </c>
      <c r="AZ111" s="59">
        <f t="shared" ca="1" si="248"/>
        <v>1279983.061801685</v>
      </c>
      <c r="BA111" s="59">
        <f t="shared" ca="1" si="248"/>
        <v>1305542.5991785575</v>
      </c>
      <c r="BB111" s="59">
        <f t="shared" ca="1" si="248"/>
        <v>1331613.3273029674</v>
      </c>
      <c r="BC111" s="59">
        <f t="shared" ca="1" si="248"/>
        <v>1358205.4699898656</v>
      </c>
      <c r="BD111" s="59">
        <f t="shared" ca="1" si="248"/>
        <v>1385329.4555305017</v>
      </c>
      <c r="BE111" s="59">
        <f t="shared" ca="1" si="248"/>
        <v>1412995.9207819505</v>
      </c>
      <c r="BF111" s="59">
        <f t="shared" ca="1" si="248"/>
        <v>1442641.2514832627</v>
      </c>
      <c r="BG111" s="59">
        <f t="shared" ca="1" si="248"/>
        <v>1471490.9240690209</v>
      </c>
      <c r="BH111" s="59">
        <f t="shared" ca="1" si="248"/>
        <v>1500917.5901064947</v>
      </c>
      <c r="BI111" s="59">
        <f t="shared" ca="1" si="248"/>
        <v>1530932.7894647177</v>
      </c>
      <c r="BJ111" s="59">
        <f t="shared" ca="1" si="248"/>
        <v>1561548.2928101057</v>
      </c>
      <c r="BK111" s="59">
        <f t="shared" ca="1" si="248"/>
        <v>1592776.1062224009</v>
      </c>
      <c r="BL111" s="59">
        <f t="shared" ca="1" si="248"/>
        <v>1624628.4759029425</v>
      </c>
      <c r="BM111" s="59">
        <f t="shared" ca="1" si="248"/>
        <v>1657117.8929770945</v>
      </c>
      <c r="BN111" s="59">
        <f t="shared" ca="1" si="248"/>
        <v>1690257.0983927299</v>
      </c>
      <c r="BO111" s="59">
        <f t="shared" ca="1" si="248"/>
        <v>1724059.0879166774</v>
      </c>
      <c r="BP111" s="59">
        <f t="shared" ca="1" si="248"/>
        <v>1758537.1172311045</v>
      </c>
      <c r="BQ111" s="59">
        <f t="shared" ca="1" si="248"/>
        <v>1793704.7071318198</v>
      </c>
      <c r="BR111" s="59">
        <f t="shared" ca="1" si="248"/>
        <v>1795452.928631549</v>
      </c>
      <c r="BS111" s="59">
        <f t="shared" ca="1" si="248"/>
        <v>1797236.1145612728</v>
      </c>
      <c r="BT111" s="59">
        <f t="shared" ca="1" si="248"/>
        <v>1799054.964209591</v>
      </c>
      <c r="BU111" s="59">
        <f t="shared" ca="1" si="248"/>
        <v>1800910.1908508758</v>
      </c>
      <c r="BV111" s="59">
        <f t="shared" ref="BV111:DY111" ca="1" si="249">((_NewSalesP4+_RetainedSalesP4)*_ContractPriceP4)</f>
        <v>1802802.5220249863</v>
      </c>
      <c r="BW111" s="59">
        <f t="shared" ca="1" si="249"/>
        <v>1804732.6998225788</v>
      </c>
      <c r="BX111" s="59">
        <f t="shared" ca="1" si="249"/>
        <v>1806701.4811761235</v>
      </c>
      <c r="BY111" s="59">
        <f t="shared" ca="1" si="249"/>
        <v>1808709.6381567391</v>
      </c>
      <c r="BZ111" s="59">
        <f t="shared" ca="1" si="249"/>
        <v>1810757.9582769666</v>
      </c>
      <c r="CA111" s="59">
        <f t="shared" ca="1" si="249"/>
        <v>1812847.2447995988</v>
      </c>
      <c r="CB111" s="59">
        <f t="shared" ca="1" si="249"/>
        <v>1814978.3170526836</v>
      </c>
      <c r="CC111" s="59">
        <f t="shared" ca="1" si="249"/>
        <v>1817152.0107508304</v>
      </c>
      <c r="CD111" s="59">
        <f t="shared" ca="1" si="249"/>
        <v>1819481.1795817325</v>
      </c>
      <c r="CE111" s="59">
        <f t="shared" ca="1" si="249"/>
        <v>1821747.8352937398</v>
      </c>
      <c r="CF111" s="59">
        <f t="shared" ca="1" si="249"/>
        <v>1824059.8241199877</v>
      </c>
      <c r="CG111" s="59">
        <f t="shared" ca="1" si="249"/>
        <v>1826418.0527227605</v>
      </c>
      <c r="CH111" s="59">
        <f t="shared" ca="1" si="249"/>
        <v>1828823.4458975885</v>
      </c>
      <c r="CI111" s="59">
        <f t="shared" ca="1" si="249"/>
        <v>1831276.9469359133</v>
      </c>
      <c r="CJ111" s="59">
        <f t="shared" ca="1" si="249"/>
        <v>1833779.5179950045</v>
      </c>
      <c r="CK111" s="59">
        <f t="shared" ca="1" si="249"/>
        <v>1836332.1404752776</v>
      </c>
      <c r="CL111" s="59">
        <f t="shared" ca="1" si="249"/>
        <v>1838935.815405156</v>
      </c>
      <c r="CM111" s="59">
        <f t="shared" ca="1" si="249"/>
        <v>1841591.5638336318</v>
      </c>
      <c r="CN111" s="59">
        <f t="shared" ca="1" si="249"/>
        <v>1844300.4272306776</v>
      </c>
      <c r="CO111" s="59">
        <f t="shared" ca="1" si="249"/>
        <v>1847063.4678956638</v>
      </c>
      <c r="CP111" s="59">
        <f t="shared" ca="1" si="249"/>
        <v>1847200.8218374266</v>
      </c>
      <c r="CQ111" s="59">
        <f t="shared" ca="1" si="249"/>
        <v>1847340.9228580245</v>
      </c>
      <c r="CR111" s="59">
        <f t="shared" ca="1" si="249"/>
        <v>1847483.8258990343</v>
      </c>
      <c r="CS111" s="59">
        <f t="shared" ca="1" si="249"/>
        <v>1847629.5870008643</v>
      </c>
      <c r="CT111" s="59">
        <f t="shared" ca="1" si="249"/>
        <v>1847778.263324731</v>
      </c>
      <c r="CU111" s="59">
        <f t="shared" ca="1" si="249"/>
        <v>1847929.9131750751</v>
      </c>
      <c r="CV111" s="59">
        <f t="shared" ca="1" si="249"/>
        <v>1848084.5960224259</v>
      </c>
      <c r="CW111" s="59">
        <f t="shared" ca="1" si="249"/>
        <v>1848242.3725267239</v>
      </c>
      <c r="CX111" s="59">
        <f t="shared" ca="1" si="249"/>
        <v>1848403.3045611077</v>
      </c>
      <c r="CY111" s="59">
        <f t="shared" ca="1" si="249"/>
        <v>1848567.4552361793</v>
      </c>
      <c r="CZ111" s="59">
        <f t="shared" ca="1" si="249"/>
        <v>1848734.8889247521</v>
      </c>
      <c r="DA111" s="59">
        <f t="shared" ca="1" si="249"/>
        <v>1848905.6712870968</v>
      </c>
      <c r="DB111" s="59">
        <f t="shared" ca="1" si="249"/>
        <v>1849088.6689907655</v>
      </c>
      <c r="DC111" s="59">
        <f t="shared" ca="1" si="249"/>
        <v>1849266.7551753316</v>
      </c>
      <c r="DD111" s="59">
        <f t="shared" ca="1" si="249"/>
        <v>1849448.4030835889</v>
      </c>
      <c r="DE111" s="59">
        <f t="shared" ca="1" si="249"/>
        <v>1849633.6839500116</v>
      </c>
      <c r="DF111" s="59">
        <f t="shared" ca="1" si="249"/>
        <v>1849822.6704337623</v>
      </c>
      <c r="DG111" s="59">
        <f t="shared" ca="1" si="249"/>
        <v>1850015.4366471882</v>
      </c>
      <c r="DH111" s="59">
        <f t="shared" ca="1" si="249"/>
        <v>1850212.0581848829</v>
      </c>
      <c r="DI111" s="59">
        <f t="shared" ca="1" si="249"/>
        <v>1850412.6121533311</v>
      </c>
      <c r="DJ111" s="59">
        <f t="shared" ca="1" si="249"/>
        <v>1850617.1772011486</v>
      </c>
      <c r="DK111" s="59">
        <f t="shared" ca="1" si="249"/>
        <v>1850825.8335499221</v>
      </c>
      <c r="DL111" s="59">
        <f t="shared" ca="1" si="249"/>
        <v>1851038.6630256714</v>
      </c>
      <c r="DM111" s="59">
        <f t="shared" ca="1" si="249"/>
        <v>1851255.7490909353</v>
      </c>
      <c r="DN111" s="59">
        <f t="shared" ca="1" si="249"/>
        <v>1851266.5406898949</v>
      </c>
      <c r="DO111" s="59">
        <f t="shared" ca="1" si="249"/>
        <v>1851277.5481208339</v>
      </c>
      <c r="DP111" s="59">
        <f t="shared" ca="1" si="249"/>
        <v>1851288.7757003915</v>
      </c>
      <c r="DQ111" s="59">
        <f t="shared" ca="1" si="249"/>
        <v>1851300.2278315404</v>
      </c>
      <c r="DR111" s="59">
        <f t="shared" ca="1" si="249"/>
        <v>1851311.9090053122</v>
      </c>
      <c r="DS111" s="59">
        <f t="shared" ca="1" si="249"/>
        <v>1851323.8238025594</v>
      </c>
      <c r="DT111" s="59">
        <f t="shared" ca="1" si="249"/>
        <v>1851335.9768957514</v>
      </c>
      <c r="DU111" s="59">
        <f t="shared" ca="1" si="249"/>
        <v>1851348.3730508073</v>
      </c>
      <c r="DV111" s="59">
        <f t="shared" ca="1" si="249"/>
        <v>1851361.0171289644</v>
      </c>
      <c r="DW111" s="59">
        <f t="shared" ca="1" si="249"/>
        <v>1851373.9140886848</v>
      </c>
      <c r="DX111" s="59">
        <f t="shared" ca="1" si="249"/>
        <v>1851387.0689875996</v>
      </c>
      <c r="DY111" s="59">
        <f t="shared" ca="1" si="249"/>
        <v>1851400.4869844923</v>
      </c>
    </row>
    <row r="112" spans="1:129" s="19" customFormat="1" outlineLevel="2">
      <c r="A112" s="20"/>
      <c r="C112" s="9" t="str">
        <f>'Model Assumptions'!$K$24</f>
        <v>Product 5</v>
      </c>
      <c r="D112" s="9"/>
      <c r="E112" s="30"/>
      <c r="F112" s="5"/>
      <c r="G112" s="275"/>
      <c r="H112" s="14"/>
      <c r="I112" s="14"/>
      <c r="J112" s="59">
        <f t="shared" ref="J112:AO112" ca="1" si="250">((_NewSalesP5+_RetainedSalesP5)*_ContractpriceP5)</f>
        <v>266051.1513192078</v>
      </c>
      <c r="K112" s="59">
        <f t="shared" ca="1" si="250"/>
        <v>271355.1513192078</v>
      </c>
      <c r="L112" s="59">
        <f t="shared" ca="1" si="250"/>
        <v>276765.23131920781</v>
      </c>
      <c r="M112" s="59">
        <f t="shared" ca="1" si="250"/>
        <v>282283.5129192078</v>
      </c>
      <c r="N112" s="59">
        <f t="shared" ca="1" si="250"/>
        <v>287912.16015120782</v>
      </c>
      <c r="O112" s="59">
        <f t="shared" ca="1" si="250"/>
        <v>293653.38032784784</v>
      </c>
      <c r="P112" s="59">
        <f t="shared" ca="1" si="250"/>
        <v>299509.42490802059</v>
      </c>
      <c r="Q112" s="59">
        <f t="shared" ca="1" si="250"/>
        <v>305482.59037979686</v>
      </c>
      <c r="R112" s="59">
        <f t="shared" ca="1" si="250"/>
        <v>311575.21916100866</v>
      </c>
      <c r="S112" s="59">
        <f t="shared" ca="1" si="250"/>
        <v>317789.7005178447</v>
      </c>
      <c r="T112" s="59">
        <f t="shared" ca="1" si="250"/>
        <v>324128.47150181746</v>
      </c>
      <c r="U112" s="59">
        <f t="shared" ca="1" si="250"/>
        <v>330594.01790546963</v>
      </c>
      <c r="V112" s="59">
        <f t="shared" ca="1" si="250"/>
        <v>337188.87523719488</v>
      </c>
      <c r="W112" s="59">
        <f t="shared" ca="1" si="250"/>
        <v>343915.62971555465</v>
      </c>
      <c r="X112" s="59">
        <f t="shared" ca="1" si="250"/>
        <v>350776.91928348161</v>
      </c>
      <c r="Y112" s="59">
        <f t="shared" ca="1" si="250"/>
        <v>357775.43464276713</v>
      </c>
      <c r="Z112" s="59">
        <f t="shared" ca="1" si="250"/>
        <v>364913.92030923831</v>
      </c>
      <c r="AA112" s="59">
        <f t="shared" ca="1" si="250"/>
        <v>372195.17568903894</v>
      </c>
      <c r="AB112" s="59">
        <f t="shared" ca="1" si="250"/>
        <v>379622.05617643555</v>
      </c>
      <c r="AC112" s="59">
        <f t="shared" ca="1" si="250"/>
        <v>387197.47427358013</v>
      </c>
      <c r="AD112" s="59">
        <f t="shared" ca="1" si="250"/>
        <v>394924.40073266759</v>
      </c>
      <c r="AE112" s="59">
        <f t="shared" ca="1" si="250"/>
        <v>402805.8657209368</v>
      </c>
      <c r="AF112" s="59">
        <f t="shared" ca="1" si="250"/>
        <v>410844.96000897133</v>
      </c>
      <c r="AG112" s="59">
        <f t="shared" ca="1" si="250"/>
        <v>419044.83618276659</v>
      </c>
      <c r="AH112" s="59">
        <f t="shared" ca="1" si="250"/>
        <v>447460.6159536395</v>
      </c>
      <c r="AI112" s="59">
        <f t="shared" ca="1" si="250"/>
        <v>456408.49081074033</v>
      </c>
      <c r="AJ112" s="59">
        <f t="shared" ca="1" si="250"/>
        <v>465535.32316498307</v>
      </c>
      <c r="AK112" s="59">
        <f t="shared" ca="1" si="250"/>
        <v>474844.69216631062</v>
      </c>
      <c r="AL112" s="59">
        <f t="shared" ca="1" si="250"/>
        <v>484340.24854766479</v>
      </c>
      <c r="AM112" s="59">
        <f t="shared" ca="1" si="250"/>
        <v>494025.71605664602</v>
      </c>
      <c r="AN112" s="59">
        <f t="shared" ca="1" si="250"/>
        <v>503904.89291580691</v>
      </c>
      <c r="AO112" s="59">
        <f t="shared" ca="1" si="250"/>
        <v>513981.65331215109</v>
      </c>
      <c r="AP112" s="59">
        <f t="shared" ref="AP112:BU112" ca="1" si="251">((_NewSalesP5+_RetainedSalesP5)*_ContractpriceP5)</f>
        <v>524259.94891642209</v>
      </c>
      <c r="AQ112" s="59">
        <f t="shared" ca="1" si="251"/>
        <v>534743.81043277844</v>
      </c>
      <c r="AR112" s="59">
        <f t="shared" ca="1" si="251"/>
        <v>545437.34917946206</v>
      </c>
      <c r="AS112" s="59">
        <f t="shared" ca="1" si="251"/>
        <v>556344.75870107929</v>
      </c>
      <c r="AT112" s="59">
        <f t="shared" ca="1" si="251"/>
        <v>567470.31641312875</v>
      </c>
      <c r="AU112" s="59">
        <f t="shared" ca="1" si="251"/>
        <v>578818.38527941937</v>
      </c>
      <c r="AV112" s="59">
        <f t="shared" ca="1" si="251"/>
        <v>590393.41552303568</v>
      </c>
      <c r="AW112" s="59">
        <f t="shared" ca="1" si="251"/>
        <v>602199.94637152436</v>
      </c>
      <c r="AX112" s="59">
        <f t="shared" ca="1" si="251"/>
        <v>614242.60783698282</v>
      </c>
      <c r="AY112" s="59">
        <f t="shared" ca="1" si="251"/>
        <v>626526.12253175047</v>
      </c>
      <c r="AZ112" s="59">
        <f t="shared" ca="1" si="251"/>
        <v>639055.30752041342</v>
      </c>
      <c r="BA112" s="59">
        <f t="shared" ca="1" si="251"/>
        <v>651835.07620884967</v>
      </c>
      <c r="BB112" s="59">
        <f t="shared" ca="1" si="251"/>
        <v>664870.44027105451</v>
      </c>
      <c r="BC112" s="59">
        <f t="shared" ca="1" si="251"/>
        <v>678166.51161450357</v>
      </c>
      <c r="BD112" s="59">
        <f t="shared" ca="1" si="251"/>
        <v>691728.50438482163</v>
      </c>
      <c r="BE112" s="59">
        <f t="shared" ca="1" si="251"/>
        <v>705561.73701054603</v>
      </c>
      <c r="BF112" s="59">
        <f t="shared" ca="1" si="251"/>
        <v>721247.06871713977</v>
      </c>
      <c r="BG112" s="59">
        <f t="shared" ca="1" si="251"/>
        <v>735671.90501001896</v>
      </c>
      <c r="BH112" s="59">
        <f t="shared" ca="1" si="251"/>
        <v>750385.23802875576</v>
      </c>
      <c r="BI112" s="59">
        <f t="shared" ca="1" si="251"/>
        <v>765392.83770786738</v>
      </c>
      <c r="BJ112" s="59">
        <f t="shared" ca="1" si="251"/>
        <v>780700.58938056114</v>
      </c>
      <c r="BK112" s="59">
        <f t="shared" ca="1" si="251"/>
        <v>796314.49608670897</v>
      </c>
      <c r="BL112" s="59">
        <f t="shared" ca="1" si="251"/>
        <v>812240.68092697952</v>
      </c>
      <c r="BM112" s="59">
        <f t="shared" ca="1" si="251"/>
        <v>828485.38946405565</v>
      </c>
      <c r="BN112" s="59">
        <f t="shared" ca="1" si="251"/>
        <v>845054.99217187334</v>
      </c>
      <c r="BO112" s="59">
        <f t="shared" ca="1" si="251"/>
        <v>861955.98693384719</v>
      </c>
      <c r="BP112" s="59">
        <f t="shared" ca="1" si="251"/>
        <v>879195.00159106054</v>
      </c>
      <c r="BQ112" s="59">
        <f t="shared" ca="1" si="251"/>
        <v>896778.79654141818</v>
      </c>
      <c r="BR112" s="59">
        <f t="shared" ca="1" si="251"/>
        <v>897652.90729128278</v>
      </c>
      <c r="BS112" s="59">
        <f t="shared" ca="1" si="251"/>
        <v>898544.50025614479</v>
      </c>
      <c r="BT112" s="59">
        <f t="shared" ca="1" si="251"/>
        <v>899453.92508030403</v>
      </c>
      <c r="BU112" s="59">
        <f t="shared" ca="1" si="251"/>
        <v>900381.5384009463</v>
      </c>
      <c r="BV112" s="59">
        <f t="shared" ref="BV112:DY112" ca="1" si="252">((_NewSalesP5+_RetainedSalesP5)*_ContractpriceP5)</f>
        <v>901327.70398800157</v>
      </c>
      <c r="BW112" s="59">
        <f t="shared" ca="1" si="252"/>
        <v>902292.79288679792</v>
      </c>
      <c r="BX112" s="59">
        <f t="shared" ca="1" si="252"/>
        <v>903277.18356357014</v>
      </c>
      <c r="BY112" s="59">
        <f t="shared" ca="1" si="252"/>
        <v>904281.26205387781</v>
      </c>
      <c r="BZ112" s="59">
        <f t="shared" ca="1" si="252"/>
        <v>905305.42211399158</v>
      </c>
      <c r="CA112" s="59">
        <f t="shared" ca="1" si="252"/>
        <v>906350.06537530781</v>
      </c>
      <c r="CB112" s="59">
        <f t="shared" ca="1" si="252"/>
        <v>907415.60150185029</v>
      </c>
      <c r="CC112" s="59">
        <f t="shared" ca="1" si="252"/>
        <v>908502.44835092349</v>
      </c>
      <c r="CD112" s="59">
        <f t="shared" ca="1" si="252"/>
        <v>909734.81057624158</v>
      </c>
      <c r="CE112" s="59">
        <f t="shared" ca="1" si="252"/>
        <v>910868.13843224547</v>
      </c>
      <c r="CF112" s="59">
        <f t="shared" ca="1" si="252"/>
        <v>912024.13284536928</v>
      </c>
      <c r="CG112" s="59">
        <f t="shared" ca="1" si="252"/>
        <v>913203.24714675557</v>
      </c>
      <c r="CH112" s="59">
        <f t="shared" ca="1" si="252"/>
        <v>914405.9437341697</v>
      </c>
      <c r="CI112" s="59">
        <f t="shared" ca="1" si="252"/>
        <v>915632.69425333198</v>
      </c>
      <c r="CJ112" s="59">
        <f t="shared" ca="1" si="252"/>
        <v>916883.97978287761</v>
      </c>
      <c r="CK112" s="59">
        <f t="shared" ca="1" si="252"/>
        <v>918160.29102301411</v>
      </c>
      <c r="CL112" s="59">
        <f t="shared" ca="1" si="252"/>
        <v>919462.12848795345</v>
      </c>
      <c r="CM112" s="59">
        <f t="shared" ca="1" si="252"/>
        <v>920790.00270219136</v>
      </c>
      <c r="CN112" s="59">
        <f t="shared" ca="1" si="252"/>
        <v>922144.43440071424</v>
      </c>
      <c r="CO112" s="59">
        <f t="shared" ca="1" si="252"/>
        <v>923525.95473320736</v>
      </c>
      <c r="CP112" s="59">
        <f t="shared" ca="1" si="252"/>
        <v>923594.63170408865</v>
      </c>
      <c r="CQ112" s="59">
        <f t="shared" ca="1" si="252"/>
        <v>923664.68221438769</v>
      </c>
      <c r="CR112" s="59">
        <f t="shared" ca="1" si="252"/>
        <v>923736.1337348927</v>
      </c>
      <c r="CS112" s="59">
        <f t="shared" ca="1" si="252"/>
        <v>923809.01428580773</v>
      </c>
      <c r="CT112" s="59">
        <f t="shared" ca="1" si="252"/>
        <v>923883.35244774108</v>
      </c>
      <c r="CU112" s="59">
        <f t="shared" ca="1" si="252"/>
        <v>923959.17737291299</v>
      </c>
      <c r="CV112" s="59">
        <f t="shared" ca="1" si="252"/>
        <v>924036.51879658829</v>
      </c>
      <c r="CW112" s="59">
        <f t="shared" ca="1" si="252"/>
        <v>924115.40704873728</v>
      </c>
      <c r="CX112" s="59">
        <f t="shared" ca="1" si="252"/>
        <v>924195.87306592928</v>
      </c>
      <c r="CY112" s="59">
        <f t="shared" ca="1" si="252"/>
        <v>924277.94840346498</v>
      </c>
      <c r="CZ112" s="59">
        <f t="shared" ca="1" si="252"/>
        <v>924361.66524775152</v>
      </c>
      <c r="DA112" s="59">
        <f t="shared" ca="1" si="252"/>
        <v>924447.05642892374</v>
      </c>
      <c r="DB112" s="59">
        <f t="shared" ca="1" si="252"/>
        <v>924543.88043512264</v>
      </c>
      <c r="DC112" s="59">
        <f t="shared" ca="1" si="252"/>
        <v>924632.9235274056</v>
      </c>
      <c r="DD112" s="59">
        <f t="shared" ca="1" si="252"/>
        <v>924723.74748153426</v>
      </c>
      <c r="DE112" s="59">
        <f t="shared" ca="1" si="252"/>
        <v>924816.38791474549</v>
      </c>
      <c r="DF112" s="59">
        <f t="shared" ca="1" si="252"/>
        <v>924910.88115662104</v>
      </c>
      <c r="DG112" s="59">
        <f t="shared" ca="1" si="252"/>
        <v>925007.26426333399</v>
      </c>
      <c r="DH112" s="59">
        <f t="shared" ca="1" si="252"/>
        <v>925105.57503218122</v>
      </c>
      <c r="DI112" s="59">
        <f t="shared" ca="1" si="252"/>
        <v>925205.85201640544</v>
      </c>
      <c r="DJ112" s="59">
        <f t="shared" ca="1" si="252"/>
        <v>925308.13454031409</v>
      </c>
      <c r="DK112" s="59">
        <f t="shared" ca="1" si="252"/>
        <v>925412.46271470096</v>
      </c>
      <c r="DL112" s="59">
        <f t="shared" ca="1" si="252"/>
        <v>925518.87745257549</v>
      </c>
      <c r="DM112" s="59">
        <f t="shared" ca="1" si="252"/>
        <v>925627.42048520746</v>
      </c>
      <c r="DN112" s="59">
        <f t="shared" ca="1" si="252"/>
        <v>925632.81628468737</v>
      </c>
      <c r="DO112" s="59">
        <f t="shared" ca="1" si="252"/>
        <v>925638.32000015676</v>
      </c>
      <c r="DP112" s="59">
        <f t="shared" ca="1" si="252"/>
        <v>925643.93378993555</v>
      </c>
      <c r="DQ112" s="59">
        <f t="shared" ca="1" si="252"/>
        <v>925649.65985551011</v>
      </c>
      <c r="DR112" s="59">
        <f t="shared" ca="1" si="252"/>
        <v>925655.50044239592</v>
      </c>
      <c r="DS112" s="59">
        <f t="shared" ca="1" si="252"/>
        <v>925661.4578410195</v>
      </c>
      <c r="DT112" s="59">
        <f t="shared" ca="1" si="252"/>
        <v>925667.53438761551</v>
      </c>
      <c r="DU112" s="59">
        <f t="shared" ca="1" si="252"/>
        <v>925673.73246514355</v>
      </c>
      <c r="DV112" s="59">
        <f t="shared" ca="1" si="252"/>
        <v>925680.05450422212</v>
      </c>
      <c r="DW112" s="59">
        <f t="shared" ca="1" si="252"/>
        <v>925686.50298408221</v>
      </c>
      <c r="DX112" s="59">
        <f t="shared" ca="1" si="252"/>
        <v>925693.08043353946</v>
      </c>
      <c r="DY112" s="59">
        <f t="shared" ca="1" si="252"/>
        <v>925699.78943198605</v>
      </c>
    </row>
    <row r="113" spans="1:129" s="19" customFormat="1" outlineLevel="1">
      <c r="A113" s="20"/>
      <c r="C113" s="76" t="s">
        <v>104</v>
      </c>
      <c r="D113" s="65"/>
      <c r="E113" s="65"/>
      <c r="F113" s="56" t="s">
        <v>368</v>
      </c>
      <c r="G113" s="66"/>
      <c r="H113" s="66"/>
      <c r="I113" s="66"/>
      <c r="J113" s="67">
        <f ca="1">SUM(J108:J112)</f>
        <v>2717700.5290602576</v>
      </c>
      <c r="K113" s="67">
        <f t="shared" ref="K113:BV113" ca="1" si="253">SUM(K108:K112)</f>
        <v>2769414.5290602581</v>
      </c>
      <c r="L113" s="67">
        <f t="shared" ca="1" si="253"/>
        <v>2822162.8090602574</v>
      </c>
      <c r="M113" s="67">
        <f t="shared" ca="1" si="253"/>
        <v>2875966.0546602579</v>
      </c>
      <c r="N113" s="67">
        <f t="shared" ca="1" si="253"/>
        <v>2930845.3651722581</v>
      </c>
      <c r="O113" s="67">
        <f t="shared" ca="1" si="253"/>
        <v>2986822.261894498</v>
      </c>
      <c r="P113" s="67">
        <f t="shared" ca="1" si="253"/>
        <v>3043918.6965511828</v>
      </c>
      <c r="Q113" s="67">
        <f t="shared" ca="1" si="253"/>
        <v>3102157.0599010019</v>
      </c>
      <c r="R113" s="67">
        <f t="shared" ca="1" si="253"/>
        <v>3161560.1905178158</v>
      </c>
      <c r="S113" s="67">
        <f t="shared" ca="1" si="253"/>
        <v>3222151.3837469677</v>
      </c>
      <c r="T113" s="67">
        <f t="shared" ca="1" si="253"/>
        <v>3283954.400840702</v>
      </c>
      <c r="U113" s="67">
        <f t="shared" ca="1" si="253"/>
        <v>3346993.478276311</v>
      </c>
      <c r="V113" s="67">
        <f t="shared" ca="1" si="253"/>
        <v>3436233.9595416938</v>
      </c>
      <c r="W113" s="67">
        <f t="shared" ca="1" si="253"/>
        <v>3503772.6988550667</v>
      </c>
      <c r="X113" s="67">
        <f t="shared" ca="1" si="253"/>
        <v>3572662.2129547065</v>
      </c>
      <c r="Y113" s="67">
        <f t="shared" ca="1" si="253"/>
        <v>3642929.5173363397</v>
      </c>
      <c r="Z113" s="67">
        <f t="shared" ca="1" si="253"/>
        <v>3714602.1678056051</v>
      </c>
      <c r="AA113" s="67">
        <f t="shared" ca="1" si="253"/>
        <v>3787708.2712842561</v>
      </c>
      <c r="AB113" s="67">
        <f t="shared" ca="1" si="253"/>
        <v>3862276.4968324797</v>
      </c>
      <c r="AC113" s="67">
        <f t="shared" ca="1" si="253"/>
        <v>3938336.0868916688</v>
      </c>
      <c r="AD113" s="67">
        <f t="shared" ca="1" si="253"/>
        <v>4015916.8687520404</v>
      </c>
      <c r="AE113" s="67">
        <f t="shared" ca="1" si="253"/>
        <v>4095049.2662496194</v>
      </c>
      <c r="AF113" s="67">
        <f t="shared" ca="1" si="253"/>
        <v>4175764.3116971506</v>
      </c>
      <c r="AG113" s="67">
        <f t="shared" ca="1" si="253"/>
        <v>4258093.6580536319</v>
      </c>
      <c r="AH113" s="67">
        <f t="shared" ca="1" si="253"/>
        <v>4382476.2184091993</v>
      </c>
      <c r="AI113" s="67">
        <f t="shared" ca="1" si="253"/>
        <v>4469554.9420241192</v>
      </c>
      <c r="AJ113" s="67">
        <f t="shared" ca="1" si="253"/>
        <v>4558375.2401113352</v>
      </c>
      <c r="AK113" s="67">
        <f t="shared" ca="1" si="253"/>
        <v>4648971.9441602966</v>
      </c>
      <c r="AL113" s="67">
        <f t="shared" ca="1" si="253"/>
        <v>4741380.5822902368</v>
      </c>
      <c r="AM113" s="67">
        <f t="shared" ca="1" si="253"/>
        <v>4835637.3931827759</v>
      </c>
      <c r="AN113" s="67">
        <f t="shared" ca="1" si="253"/>
        <v>4957269.923066292</v>
      </c>
      <c r="AO113" s="67">
        <f t="shared" ca="1" si="253"/>
        <v>5056323.0967578115</v>
      </c>
      <c r="AP113" s="67">
        <f t="shared" ca="1" si="253"/>
        <v>5157357.333923161</v>
      </c>
      <c r="AQ113" s="67">
        <f t="shared" ca="1" si="253"/>
        <v>5260412.255831819</v>
      </c>
      <c r="AR113" s="67">
        <f t="shared" ca="1" si="253"/>
        <v>5365528.2761786487</v>
      </c>
      <c r="AS113" s="67">
        <f t="shared" ca="1" si="253"/>
        <v>5472746.6169324145</v>
      </c>
      <c r="AT113" s="67">
        <f t="shared" ca="1" si="253"/>
        <v>5582305.2775186989</v>
      </c>
      <c r="AU113" s="67">
        <f t="shared" ca="1" si="253"/>
        <v>5693870.5826149378</v>
      </c>
      <c r="AV113" s="67">
        <f t="shared" ca="1" si="253"/>
        <v>5807667.1938131014</v>
      </c>
      <c r="AW113" s="67">
        <f t="shared" ca="1" si="253"/>
        <v>5923739.7372352285</v>
      </c>
      <c r="AX113" s="67">
        <f t="shared" ca="1" si="253"/>
        <v>6042133.7315257983</v>
      </c>
      <c r="AY113" s="67">
        <f t="shared" ca="1" si="253"/>
        <v>6162895.6057021786</v>
      </c>
      <c r="AZ113" s="67">
        <f t="shared" ca="1" si="253"/>
        <v>6286072.7173620872</v>
      </c>
      <c r="BA113" s="67">
        <f t="shared" ca="1" si="253"/>
        <v>6411713.3712551929</v>
      </c>
      <c r="BB113" s="67">
        <f t="shared" ca="1" si="253"/>
        <v>6539866.838226161</v>
      </c>
      <c r="BC113" s="67">
        <f t="shared" ca="1" si="253"/>
        <v>6670583.3745365497</v>
      </c>
      <c r="BD113" s="67">
        <f t="shared" ca="1" si="253"/>
        <v>6803914.2415731456</v>
      </c>
      <c r="BE113" s="67">
        <f t="shared" ca="1" si="253"/>
        <v>6939911.725950473</v>
      </c>
      <c r="BF113" s="67">
        <f t="shared" ca="1" si="253"/>
        <v>7081647.499567559</v>
      </c>
      <c r="BG113" s="67">
        <f t="shared" ca="1" si="253"/>
        <v>7223238.8655345961</v>
      </c>
      <c r="BH113" s="67">
        <f t="shared" ca="1" si="253"/>
        <v>7367662.0588209741</v>
      </c>
      <c r="BI113" s="67">
        <f t="shared" ca="1" si="253"/>
        <v>7514973.7159730792</v>
      </c>
      <c r="BJ113" s="67">
        <f t="shared" ca="1" si="253"/>
        <v>7665231.6062682262</v>
      </c>
      <c r="BK113" s="67">
        <f t="shared" ca="1" si="253"/>
        <v>7818494.654369276</v>
      </c>
      <c r="BL113" s="67">
        <f t="shared" ca="1" si="253"/>
        <v>7974822.9634323483</v>
      </c>
      <c r="BM113" s="67">
        <f t="shared" ca="1" si="253"/>
        <v>8134277.8386766817</v>
      </c>
      <c r="BN113" s="67">
        <f t="shared" ca="1" si="253"/>
        <v>8296921.8114259019</v>
      </c>
      <c r="BO113" s="67">
        <f t="shared" ca="1" si="253"/>
        <v>8462818.6636301056</v>
      </c>
      <c r="BP113" s="67">
        <f t="shared" ca="1" si="253"/>
        <v>8632033.4528783932</v>
      </c>
      <c r="BQ113" s="67">
        <f t="shared" ca="1" si="253"/>
        <v>8804632.5379116479</v>
      </c>
      <c r="BR113" s="67">
        <f t="shared" ca="1" si="253"/>
        <v>8816222.4225949794</v>
      </c>
      <c r="BS113" s="67">
        <f t="shared" ca="1" si="253"/>
        <v>8826192.5160941556</v>
      </c>
      <c r="BT113" s="67">
        <f t="shared" ca="1" si="253"/>
        <v>8836362.0114633143</v>
      </c>
      <c r="BU113" s="67">
        <f t="shared" ca="1" si="253"/>
        <v>8846734.8967398573</v>
      </c>
      <c r="BV113" s="67">
        <f t="shared" ca="1" si="253"/>
        <v>8857315.2397219297</v>
      </c>
      <c r="BW113" s="67">
        <f t="shared" ref="BW113:CC113" ca="1" si="254">SUM(BW108:BW112)</f>
        <v>8868107.1895636432</v>
      </c>
      <c r="BX113" s="67">
        <f t="shared" ca="1" si="254"/>
        <v>8879114.9784021918</v>
      </c>
      <c r="BY113" s="67">
        <f t="shared" ca="1" si="254"/>
        <v>8890342.923017513</v>
      </c>
      <c r="BZ113" s="67">
        <f t="shared" ca="1" si="254"/>
        <v>8901795.4265251402</v>
      </c>
      <c r="CA113" s="67">
        <f t="shared" ca="1" si="254"/>
        <v>8913476.980102919</v>
      </c>
      <c r="CB113" s="67">
        <f t="shared" ca="1" si="254"/>
        <v>8925392.1647522524</v>
      </c>
      <c r="CC113" s="67">
        <f t="shared" ca="1" si="254"/>
        <v>8937545.6530945729</v>
      </c>
      <c r="CD113" s="67">
        <f t="shared" ref="CD113:DY113" ca="1" si="255">SUM(CD108:CD112)</f>
        <v>8943896.2942884751</v>
      </c>
      <c r="CE113" s="67">
        <f t="shared" ca="1" si="255"/>
        <v>8950141.0416886918</v>
      </c>
      <c r="CF113" s="67">
        <f t="shared" ca="1" si="255"/>
        <v>8956510.6840369161</v>
      </c>
      <c r="CG113" s="67">
        <f t="shared" ca="1" si="255"/>
        <v>8963007.7192321029</v>
      </c>
      <c r="CH113" s="67">
        <f t="shared" ca="1" si="255"/>
        <v>8969634.695131192</v>
      </c>
      <c r="CI113" s="67">
        <f t="shared" ca="1" si="255"/>
        <v>8976394.2105482649</v>
      </c>
      <c r="CJ113" s="67">
        <f t="shared" ca="1" si="255"/>
        <v>8983288.9162736796</v>
      </c>
      <c r="CK113" s="67">
        <f t="shared" ca="1" si="255"/>
        <v>8990321.5161136016</v>
      </c>
      <c r="CL113" s="67">
        <f t="shared" ca="1" si="255"/>
        <v>8997494.7679503225</v>
      </c>
      <c r="CM113" s="67">
        <f t="shared" ca="1" si="255"/>
        <v>9004811.4848237745</v>
      </c>
      <c r="CN113" s="67">
        <f t="shared" ca="1" si="255"/>
        <v>9012274.5360347014</v>
      </c>
      <c r="CO113" s="67">
        <f t="shared" ca="1" si="255"/>
        <v>9019886.8482698426</v>
      </c>
      <c r="CP113" s="67">
        <f t="shared" ca="1" si="255"/>
        <v>9023073.1853602268</v>
      </c>
      <c r="CQ113" s="67">
        <f t="shared" ca="1" si="255"/>
        <v>9026323.237801645</v>
      </c>
      <c r="CR113" s="67">
        <f t="shared" ca="1" si="255"/>
        <v>9029638.2912918907</v>
      </c>
      <c r="CS113" s="67">
        <f t="shared" ca="1" si="255"/>
        <v>9033019.6458519399</v>
      </c>
      <c r="CT113" s="67">
        <f t="shared" ca="1" si="255"/>
        <v>9036468.6275031902</v>
      </c>
      <c r="CU113" s="67">
        <f t="shared" ca="1" si="255"/>
        <v>9039986.5887874663</v>
      </c>
      <c r="CV113" s="67">
        <f t="shared" ca="1" si="255"/>
        <v>9040535.039308235</v>
      </c>
      <c r="CW113" s="67">
        <f t="shared" ca="1" si="255"/>
        <v>9040957.6039828751</v>
      </c>
      <c r="CX113" s="67">
        <f t="shared" ca="1" si="255"/>
        <v>9041388.619951006</v>
      </c>
      <c r="CY113" s="67">
        <f t="shared" ca="1" si="255"/>
        <v>9041828.2562384997</v>
      </c>
      <c r="CZ113" s="67">
        <f t="shared" ca="1" si="255"/>
        <v>9042276.6852517463</v>
      </c>
      <c r="DA113" s="67">
        <f t="shared" ca="1" si="255"/>
        <v>9042734.0828452539</v>
      </c>
      <c r="DB113" s="67">
        <f t="shared" ca="1" si="255"/>
        <v>9043169.7991689518</v>
      </c>
      <c r="DC113" s="67">
        <f t="shared" ca="1" si="255"/>
        <v>9043595.9399422444</v>
      </c>
      <c r="DD113" s="67">
        <f t="shared" ca="1" si="255"/>
        <v>9044030.6035310049</v>
      </c>
      <c r="DE113" s="67">
        <f t="shared" ca="1" si="255"/>
        <v>9044473.9603915401</v>
      </c>
      <c r="DF113" s="67">
        <f t="shared" ca="1" si="255"/>
        <v>9044926.1843892857</v>
      </c>
      <c r="DG113" s="67">
        <f t="shared" ca="1" si="255"/>
        <v>9045387.4528669864</v>
      </c>
      <c r="DH113" s="67">
        <f t="shared" ca="1" si="255"/>
        <v>9045857.9467142429</v>
      </c>
      <c r="DI113" s="67">
        <f t="shared" ca="1" si="255"/>
        <v>9046337.8504384421</v>
      </c>
      <c r="DJ113" s="67">
        <f t="shared" ca="1" si="255"/>
        <v>9046827.3522371259</v>
      </c>
      <c r="DK113" s="67">
        <f t="shared" ca="1" si="255"/>
        <v>9047326.6440717839</v>
      </c>
      <c r="DL113" s="67">
        <f t="shared" ca="1" si="255"/>
        <v>9047835.921743134</v>
      </c>
      <c r="DM113" s="67">
        <f t="shared" ca="1" si="255"/>
        <v>9048355.384967912</v>
      </c>
      <c r="DN113" s="67">
        <f t="shared" ca="1" si="255"/>
        <v>9048564.9085192177</v>
      </c>
      <c r="DO113" s="67">
        <f t="shared" ca="1" si="255"/>
        <v>9048778.6224520542</v>
      </c>
      <c r="DP113" s="67">
        <f t="shared" ca="1" si="255"/>
        <v>9048996.6106635481</v>
      </c>
      <c r="DQ113" s="67">
        <f t="shared" ca="1" si="255"/>
        <v>9049218.9586392716</v>
      </c>
      <c r="DR113" s="67">
        <f t="shared" ca="1" si="255"/>
        <v>9049445.7535745092</v>
      </c>
      <c r="DS113" s="67">
        <f t="shared" ca="1" si="255"/>
        <v>9049677.0844084527</v>
      </c>
      <c r="DT113" s="67">
        <f t="shared" ca="1" si="255"/>
        <v>9049913.0418590736</v>
      </c>
      <c r="DU113" s="67">
        <f t="shared" ca="1" si="255"/>
        <v>9050153.7184587084</v>
      </c>
      <c r="DV113" s="67">
        <f t="shared" ca="1" si="255"/>
        <v>9050399.2085903343</v>
      </c>
      <c r="DW113" s="67">
        <f t="shared" ca="1" si="255"/>
        <v>9050649.6085245926</v>
      </c>
      <c r="DX113" s="67">
        <f t="shared" ca="1" si="255"/>
        <v>9050905.0164575372</v>
      </c>
      <c r="DY113" s="67">
        <f t="shared" ca="1" si="255"/>
        <v>9051165.532549141</v>
      </c>
    </row>
    <row r="114" spans="1:129" s="19" customFormat="1" outlineLevel="1">
      <c r="A114" s="20"/>
      <c r="C114" s="246"/>
      <c r="D114" s="30"/>
      <c r="E114" s="333"/>
      <c r="F114" s="334" t="s">
        <v>405</v>
      </c>
      <c r="G114" s="14"/>
      <c r="H114" s="259" t="s">
        <v>405</v>
      </c>
      <c r="I114" s="259" t="s">
        <v>405</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row>
    <row r="115" spans="1:129" s="19" customFormat="1" outlineLevel="2">
      <c r="A115" s="20"/>
      <c r="E115" s="335"/>
      <c r="F115" s="5" t="s">
        <v>406</v>
      </c>
      <c r="G115" s="260" t="s">
        <v>445</v>
      </c>
      <c r="H115" s="259"/>
      <c r="I115" s="259"/>
      <c r="J115" s="516">
        <f>HLOOKUP(J$4,'Model Assumptions'!$G$87:$P$88,2,0)</f>
        <v>0.8</v>
      </c>
      <c r="K115" s="516">
        <f>HLOOKUP(K$4,'Model Assumptions'!$G$87:$P$88,2,0)</f>
        <v>0.8</v>
      </c>
      <c r="L115" s="516">
        <f>HLOOKUP(L$4,'Model Assumptions'!$G$87:$P$88,2,0)</f>
        <v>0.8</v>
      </c>
      <c r="M115" s="516">
        <f>HLOOKUP(M$4,'Model Assumptions'!$G$87:$P$88,2,0)</f>
        <v>0.8</v>
      </c>
      <c r="N115" s="516">
        <f>HLOOKUP(N$4,'Model Assumptions'!$G$87:$P$88,2,0)</f>
        <v>0.8</v>
      </c>
      <c r="O115" s="516">
        <f>HLOOKUP(O$4,'Model Assumptions'!$G$87:$P$88,2,0)</f>
        <v>0.8</v>
      </c>
      <c r="P115" s="516">
        <f>HLOOKUP(P$4,'Model Assumptions'!$G$87:$P$88,2,0)</f>
        <v>0.8</v>
      </c>
      <c r="Q115" s="516">
        <f>HLOOKUP(Q$4,'Model Assumptions'!$G$87:$P$88,2,0)</f>
        <v>0.8</v>
      </c>
      <c r="R115" s="516">
        <f>HLOOKUP(R$4,'Model Assumptions'!$G$87:$P$88,2,0)</f>
        <v>0.8</v>
      </c>
      <c r="S115" s="516">
        <f>HLOOKUP(S$4,'Model Assumptions'!$G$87:$P$88,2,0)</f>
        <v>0.8</v>
      </c>
      <c r="T115" s="516">
        <f>HLOOKUP(T$4,'Model Assumptions'!$G$87:$P$88,2,0)</f>
        <v>0.8</v>
      </c>
      <c r="U115" s="516">
        <f>HLOOKUP(U$4,'Model Assumptions'!$G$87:$P$88,2,0)</f>
        <v>0.8</v>
      </c>
      <c r="V115" s="516">
        <f>HLOOKUP(V$4,'Model Assumptions'!$G$87:$P$88,2,0)</f>
        <v>0.7</v>
      </c>
      <c r="W115" s="516">
        <f>HLOOKUP(W$4,'Model Assumptions'!$G$87:$P$88,2,0)</f>
        <v>0.7</v>
      </c>
      <c r="X115" s="516">
        <f>HLOOKUP(X$4,'Model Assumptions'!$G$87:$P$88,2,0)</f>
        <v>0.7</v>
      </c>
      <c r="Y115" s="516">
        <f>HLOOKUP(Y$4,'Model Assumptions'!$G$87:$P$88,2,0)</f>
        <v>0.7</v>
      </c>
      <c r="Z115" s="516">
        <f>HLOOKUP(Z$4,'Model Assumptions'!$G$87:$P$88,2,0)</f>
        <v>0.7</v>
      </c>
      <c r="AA115" s="516">
        <f>HLOOKUP(AA$4,'Model Assumptions'!$G$87:$P$88,2,0)</f>
        <v>0.7</v>
      </c>
      <c r="AB115" s="516">
        <f>HLOOKUP(AB$4,'Model Assumptions'!$G$87:$P$88,2,0)</f>
        <v>0.7</v>
      </c>
      <c r="AC115" s="516">
        <f>HLOOKUP(AC$4,'Model Assumptions'!$G$87:$P$88,2,0)</f>
        <v>0.7</v>
      </c>
      <c r="AD115" s="516">
        <f>HLOOKUP(AD$4,'Model Assumptions'!$G$87:$P$88,2,0)</f>
        <v>0.7</v>
      </c>
      <c r="AE115" s="516">
        <f>HLOOKUP(AE$4,'Model Assumptions'!$G$87:$P$88,2,0)</f>
        <v>0.7</v>
      </c>
      <c r="AF115" s="516">
        <f>HLOOKUP(AF$4,'Model Assumptions'!$G$87:$P$88,2,0)</f>
        <v>0.7</v>
      </c>
      <c r="AG115" s="516">
        <f>HLOOKUP(AG$4,'Model Assumptions'!$G$87:$P$88,2,0)</f>
        <v>0.7</v>
      </c>
      <c r="AH115" s="516">
        <f>HLOOKUP(AH$4,'Model Assumptions'!$G$87:$P$88,2,0)</f>
        <v>0.6</v>
      </c>
      <c r="AI115" s="516">
        <f>HLOOKUP(AI$4,'Model Assumptions'!$G$87:$P$88,2,0)</f>
        <v>0.6</v>
      </c>
      <c r="AJ115" s="516">
        <f>HLOOKUP(AJ$4,'Model Assumptions'!$G$87:$P$88,2,0)</f>
        <v>0.6</v>
      </c>
      <c r="AK115" s="516">
        <f>HLOOKUP(AK$4,'Model Assumptions'!$G$87:$P$88,2,0)</f>
        <v>0.6</v>
      </c>
      <c r="AL115" s="516">
        <f>HLOOKUP(AL$4,'Model Assumptions'!$G$87:$P$88,2,0)</f>
        <v>0.6</v>
      </c>
      <c r="AM115" s="516">
        <f>HLOOKUP(AM$4,'Model Assumptions'!$G$87:$P$88,2,0)</f>
        <v>0.6</v>
      </c>
      <c r="AN115" s="516">
        <f>HLOOKUP(AN$4,'Model Assumptions'!$G$87:$P$88,2,0)</f>
        <v>0.6</v>
      </c>
      <c r="AO115" s="516">
        <f>HLOOKUP(AO$4,'Model Assumptions'!$G$87:$P$88,2,0)</f>
        <v>0.6</v>
      </c>
      <c r="AP115" s="516">
        <f>HLOOKUP(AP$4,'Model Assumptions'!$G$87:$P$88,2,0)</f>
        <v>0.6</v>
      </c>
      <c r="AQ115" s="516">
        <f>HLOOKUP(AQ$4,'Model Assumptions'!$G$87:$P$88,2,0)</f>
        <v>0.6</v>
      </c>
      <c r="AR115" s="516">
        <f>HLOOKUP(AR$4,'Model Assumptions'!$G$87:$P$88,2,0)</f>
        <v>0.6</v>
      </c>
      <c r="AS115" s="516">
        <f>HLOOKUP(AS$4,'Model Assumptions'!$G$87:$P$88,2,0)</f>
        <v>0.6</v>
      </c>
      <c r="AT115" s="516">
        <f>HLOOKUP(AT$4,'Model Assumptions'!$G$87:$P$88,2,0)</f>
        <v>0.5</v>
      </c>
      <c r="AU115" s="516">
        <f>HLOOKUP(AU$4,'Model Assumptions'!$G$87:$P$88,2,0)</f>
        <v>0.5</v>
      </c>
      <c r="AV115" s="516">
        <f>HLOOKUP(AV$4,'Model Assumptions'!$G$87:$P$88,2,0)</f>
        <v>0.5</v>
      </c>
      <c r="AW115" s="516">
        <f>HLOOKUP(AW$4,'Model Assumptions'!$G$87:$P$88,2,0)</f>
        <v>0.5</v>
      </c>
      <c r="AX115" s="516">
        <f>HLOOKUP(AX$4,'Model Assumptions'!$G$87:$P$88,2,0)</f>
        <v>0.5</v>
      </c>
      <c r="AY115" s="516">
        <f>HLOOKUP(AY$4,'Model Assumptions'!$G$87:$P$88,2,0)</f>
        <v>0.5</v>
      </c>
      <c r="AZ115" s="516">
        <f>HLOOKUP(AZ$4,'Model Assumptions'!$G$87:$P$88,2,0)</f>
        <v>0.5</v>
      </c>
      <c r="BA115" s="516">
        <f>HLOOKUP(BA$4,'Model Assumptions'!$G$87:$P$88,2,0)</f>
        <v>0.5</v>
      </c>
      <c r="BB115" s="516">
        <f>HLOOKUP(BB$4,'Model Assumptions'!$G$87:$P$88,2,0)</f>
        <v>0.5</v>
      </c>
      <c r="BC115" s="516">
        <f>HLOOKUP(BC$4,'Model Assumptions'!$G$87:$P$88,2,0)</f>
        <v>0.5</v>
      </c>
      <c r="BD115" s="516">
        <f>HLOOKUP(BD$4,'Model Assumptions'!$G$87:$P$88,2,0)</f>
        <v>0.5</v>
      </c>
      <c r="BE115" s="516">
        <f>HLOOKUP(BE$4,'Model Assumptions'!$G$87:$P$88,2,0)</f>
        <v>0.5</v>
      </c>
      <c r="BF115" s="516">
        <f>HLOOKUP(BF$4,'Model Assumptions'!$G$87:$P$88,2,0)</f>
        <v>0.5</v>
      </c>
      <c r="BG115" s="516">
        <f>HLOOKUP(BG$4,'Model Assumptions'!$G$87:$P$88,2,0)</f>
        <v>0.5</v>
      </c>
      <c r="BH115" s="516">
        <f>HLOOKUP(BH$4,'Model Assumptions'!$G$87:$P$88,2,0)</f>
        <v>0.5</v>
      </c>
      <c r="BI115" s="516">
        <f>HLOOKUP(BI$4,'Model Assumptions'!$G$87:$P$88,2,0)</f>
        <v>0.5</v>
      </c>
      <c r="BJ115" s="516">
        <f>HLOOKUP(BJ$4,'Model Assumptions'!$G$87:$P$88,2,0)</f>
        <v>0.5</v>
      </c>
      <c r="BK115" s="516">
        <f>HLOOKUP(BK$4,'Model Assumptions'!$G$87:$P$88,2,0)</f>
        <v>0.5</v>
      </c>
      <c r="BL115" s="516">
        <f>HLOOKUP(BL$4,'Model Assumptions'!$G$87:$P$88,2,0)</f>
        <v>0.5</v>
      </c>
      <c r="BM115" s="516">
        <f>HLOOKUP(BM$4,'Model Assumptions'!$G$87:$P$88,2,0)</f>
        <v>0.5</v>
      </c>
      <c r="BN115" s="516">
        <f>HLOOKUP(BN$4,'Model Assumptions'!$G$87:$P$88,2,0)</f>
        <v>0.5</v>
      </c>
      <c r="BO115" s="516">
        <f>HLOOKUP(BO$4,'Model Assumptions'!$G$87:$P$88,2,0)</f>
        <v>0.5</v>
      </c>
      <c r="BP115" s="516">
        <f>HLOOKUP(BP$4,'Model Assumptions'!$G$87:$P$88,2,0)</f>
        <v>0.5</v>
      </c>
      <c r="BQ115" s="516">
        <f>HLOOKUP(BQ$4,'Model Assumptions'!$G$87:$P$88,2,0)</f>
        <v>0.5</v>
      </c>
      <c r="BR115" s="516">
        <f>HLOOKUP(BR$4,'Model Assumptions'!$G$87:$P$88,2,0)</f>
        <v>0.5</v>
      </c>
      <c r="BS115" s="516">
        <f>HLOOKUP(BS$4,'Model Assumptions'!$G$87:$P$88,2,0)</f>
        <v>0.5</v>
      </c>
      <c r="BT115" s="516">
        <f>HLOOKUP(BT$4,'Model Assumptions'!$G$87:$P$88,2,0)</f>
        <v>0.5</v>
      </c>
      <c r="BU115" s="516">
        <f>HLOOKUP(BU$4,'Model Assumptions'!$G$87:$P$88,2,0)</f>
        <v>0.5</v>
      </c>
      <c r="BV115" s="516">
        <f>HLOOKUP(BV$4,'Model Assumptions'!$G$87:$P$88,2,0)</f>
        <v>0.5</v>
      </c>
      <c r="BW115" s="516">
        <f>HLOOKUP(BW$4,'Model Assumptions'!$G$87:$P$88,2,0)</f>
        <v>0.5</v>
      </c>
      <c r="BX115" s="516">
        <f>HLOOKUP(BX$4,'Model Assumptions'!$G$87:$P$88,2,0)</f>
        <v>0.5</v>
      </c>
      <c r="BY115" s="516">
        <f>HLOOKUP(BY$4,'Model Assumptions'!$G$87:$P$88,2,0)</f>
        <v>0.5</v>
      </c>
      <c r="BZ115" s="516">
        <f>HLOOKUP(BZ$4,'Model Assumptions'!$G$87:$P$88,2,0)</f>
        <v>0.5</v>
      </c>
      <c r="CA115" s="516">
        <f>HLOOKUP(CA$4,'Model Assumptions'!$G$87:$P$88,2,0)</f>
        <v>0.5</v>
      </c>
      <c r="CB115" s="516">
        <f>HLOOKUP(CB$4,'Model Assumptions'!$G$87:$P$88,2,0)</f>
        <v>0.5</v>
      </c>
      <c r="CC115" s="516">
        <f>HLOOKUP(CC$4,'Model Assumptions'!$G$87:$P$88,2,0)</f>
        <v>0.5</v>
      </c>
      <c r="CD115" s="516">
        <f>HLOOKUP(CD$4,'Model Assumptions'!$G$87:$P$88,2,0)</f>
        <v>0.5</v>
      </c>
      <c r="CE115" s="516">
        <f>HLOOKUP(CE$4,'Model Assumptions'!$G$87:$P$88,2,0)</f>
        <v>0.5</v>
      </c>
      <c r="CF115" s="516">
        <f>HLOOKUP(CF$4,'Model Assumptions'!$G$87:$P$88,2,0)</f>
        <v>0.5</v>
      </c>
      <c r="CG115" s="516">
        <f>HLOOKUP(CG$4,'Model Assumptions'!$G$87:$P$88,2,0)</f>
        <v>0.5</v>
      </c>
      <c r="CH115" s="516">
        <f>HLOOKUP(CH$4,'Model Assumptions'!$G$87:$P$88,2,0)</f>
        <v>0.5</v>
      </c>
      <c r="CI115" s="516">
        <f>HLOOKUP(CI$4,'Model Assumptions'!$G$87:$P$88,2,0)</f>
        <v>0.5</v>
      </c>
      <c r="CJ115" s="516">
        <f>HLOOKUP(CJ$4,'Model Assumptions'!$G$87:$P$88,2,0)</f>
        <v>0.5</v>
      </c>
      <c r="CK115" s="516">
        <f>HLOOKUP(CK$4,'Model Assumptions'!$G$87:$P$88,2,0)</f>
        <v>0.5</v>
      </c>
      <c r="CL115" s="516">
        <f>HLOOKUP(CL$4,'Model Assumptions'!$G$87:$P$88,2,0)</f>
        <v>0.5</v>
      </c>
      <c r="CM115" s="516">
        <f>HLOOKUP(CM$4,'Model Assumptions'!$G$87:$P$88,2,0)</f>
        <v>0.5</v>
      </c>
      <c r="CN115" s="516">
        <f>HLOOKUP(CN$4,'Model Assumptions'!$G$87:$P$88,2,0)</f>
        <v>0.5</v>
      </c>
      <c r="CO115" s="516">
        <f>HLOOKUP(CO$4,'Model Assumptions'!$G$87:$P$88,2,0)</f>
        <v>0.5</v>
      </c>
      <c r="CP115" s="516">
        <f>HLOOKUP(CP$4,'Model Assumptions'!$G$87:$P$88,2,0)</f>
        <v>0.5</v>
      </c>
      <c r="CQ115" s="516">
        <f>HLOOKUP(CQ$4,'Model Assumptions'!$G$87:$P$88,2,0)</f>
        <v>0.5</v>
      </c>
      <c r="CR115" s="516">
        <f>HLOOKUP(CR$4,'Model Assumptions'!$G$87:$P$88,2,0)</f>
        <v>0.5</v>
      </c>
      <c r="CS115" s="516">
        <f>HLOOKUP(CS$4,'Model Assumptions'!$G$87:$P$88,2,0)</f>
        <v>0.5</v>
      </c>
      <c r="CT115" s="516">
        <f>HLOOKUP(CT$4,'Model Assumptions'!$G$87:$P$88,2,0)</f>
        <v>0.5</v>
      </c>
      <c r="CU115" s="516">
        <f>HLOOKUP(CU$4,'Model Assumptions'!$G$87:$P$88,2,0)</f>
        <v>0.5</v>
      </c>
      <c r="CV115" s="516">
        <f>HLOOKUP(CV$4,'Model Assumptions'!$G$87:$P$88,2,0)</f>
        <v>0.5</v>
      </c>
      <c r="CW115" s="516">
        <f>HLOOKUP(CW$4,'Model Assumptions'!$G$87:$P$88,2,0)</f>
        <v>0.5</v>
      </c>
      <c r="CX115" s="516">
        <f>HLOOKUP(CX$4,'Model Assumptions'!$G$87:$P$88,2,0)</f>
        <v>0.5</v>
      </c>
      <c r="CY115" s="516">
        <f>HLOOKUP(CY$4,'Model Assumptions'!$G$87:$P$88,2,0)</f>
        <v>0.5</v>
      </c>
      <c r="CZ115" s="516">
        <f>HLOOKUP(CZ$4,'Model Assumptions'!$G$87:$P$88,2,0)</f>
        <v>0.5</v>
      </c>
      <c r="DA115" s="516">
        <f>HLOOKUP(DA$4,'Model Assumptions'!$G$87:$P$88,2,0)</f>
        <v>0.5</v>
      </c>
      <c r="DB115" s="516">
        <f>HLOOKUP(DB$4,'Model Assumptions'!$G$87:$P$88,2,0)</f>
        <v>0.5</v>
      </c>
      <c r="DC115" s="516">
        <f>HLOOKUP(DC$4,'Model Assumptions'!$G$87:$P$88,2,0)</f>
        <v>0.5</v>
      </c>
      <c r="DD115" s="516">
        <f>HLOOKUP(DD$4,'Model Assumptions'!$G$87:$P$88,2,0)</f>
        <v>0.5</v>
      </c>
      <c r="DE115" s="516">
        <f>HLOOKUP(DE$4,'Model Assumptions'!$G$87:$P$88,2,0)</f>
        <v>0.5</v>
      </c>
      <c r="DF115" s="516">
        <f>HLOOKUP(DF$4,'Model Assumptions'!$G$87:$P$88,2,0)</f>
        <v>0.5</v>
      </c>
      <c r="DG115" s="516">
        <f>HLOOKUP(DG$4,'Model Assumptions'!$G$87:$P$88,2,0)</f>
        <v>0.5</v>
      </c>
      <c r="DH115" s="516">
        <f>HLOOKUP(DH$4,'Model Assumptions'!$G$87:$P$88,2,0)</f>
        <v>0.5</v>
      </c>
      <c r="DI115" s="516">
        <f>HLOOKUP(DI$4,'Model Assumptions'!$G$87:$P$88,2,0)</f>
        <v>0.5</v>
      </c>
      <c r="DJ115" s="516">
        <f>HLOOKUP(DJ$4,'Model Assumptions'!$G$87:$P$88,2,0)</f>
        <v>0.5</v>
      </c>
      <c r="DK115" s="516">
        <f>HLOOKUP(DK$4,'Model Assumptions'!$G$87:$P$88,2,0)</f>
        <v>0.5</v>
      </c>
      <c r="DL115" s="516">
        <f>HLOOKUP(DL$4,'Model Assumptions'!$G$87:$P$88,2,0)</f>
        <v>0.5</v>
      </c>
      <c r="DM115" s="516">
        <f>HLOOKUP(DM$4,'Model Assumptions'!$G$87:$P$88,2,0)</f>
        <v>0.5</v>
      </c>
      <c r="DN115" s="516">
        <f>HLOOKUP(DN$4,'Model Assumptions'!$G$87:$P$88,2,0)</f>
        <v>0.5</v>
      </c>
      <c r="DO115" s="516">
        <f>HLOOKUP(DO$4,'Model Assumptions'!$G$87:$P$88,2,0)</f>
        <v>0.5</v>
      </c>
      <c r="DP115" s="516">
        <f>HLOOKUP(DP$4,'Model Assumptions'!$G$87:$P$88,2,0)</f>
        <v>0.5</v>
      </c>
      <c r="DQ115" s="516">
        <f>HLOOKUP(DQ$4,'Model Assumptions'!$G$87:$P$88,2,0)</f>
        <v>0.5</v>
      </c>
      <c r="DR115" s="516">
        <f>HLOOKUP(DR$4,'Model Assumptions'!$G$87:$P$88,2,0)</f>
        <v>0.5</v>
      </c>
      <c r="DS115" s="516">
        <f>HLOOKUP(DS$4,'Model Assumptions'!$G$87:$P$88,2,0)</f>
        <v>0.5</v>
      </c>
      <c r="DT115" s="516">
        <f>HLOOKUP(DT$4,'Model Assumptions'!$G$87:$P$88,2,0)</f>
        <v>0.5</v>
      </c>
      <c r="DU115" s="516">
        <f>HLOOKUP(DU$4,'Model Assumptions'!$G$87:$P$88,2,0)</f>
        <v>0.5</v>
      </c>
      <c r="DV115" s="516">
        <f>HLOOKUP(DV$4,'Model Assumptions'!$G$87:$P$88,2,0)</f>
        <v>0.5</v>
      </c>
      <c r="DW115" s="516">
        <f>HLOOKUP(DW$4,'Model Assumptions'!$G$87:$P$88,2,0)</f>
        <v>0.5</v>
      </c>
      <c r="DX115" s="516">
        <f>HLOOKUP(DX$4,'Model Assumptions'!$G$87:$P$88,2,0)</f>
        <v>0.5</v>
      </c>
      <c r="DY115" s="516">
        <f>HLOOKUP(DY$4,'Model Assumptions'!$G$87:$P$88,2,0)</f>
        <v>0.5</v>
      </c>
    </row>
    <row r="116" spans="1:129" s="19" customFormat="1" outlineLevel="2">
      <c r="A116" s="20"/>
      <c r="C116" s="9" t="str">
        <f>'Model Assumptions'!$G$24</f>
        <v>Product 1</v>
      </c>
      <c r="D116" s="9"/>
      <c r="E116" s="30"/>
      <c r="F116" s="5"/>
      <c r="G116" s="14"/>
      <c r="H116" s="14"/>
      <c r="I116" s="14"/>
      <c r="J116" s="59">
        <f>-((_LostP1+_RepossessedP1)*(_ContractPriceP1-_DP_P1)*(_Receivablewriteoffrate))</f>
        <v>0</v>
      </c>
      <c r="K116" s="59">
        <f>-((_LostP1+_RepossessedP1)*(_ContractPriceP1-_DP_P1)*(_Receivablewriteoffrate))</f>
        <v>0</v>
      </c>
      <c r="L116" s="59">
        <f t="shared" ref="L116:AO116" si="256">-((_LostP1+_RepossessedP1)*(_ContractPriceP1-_DP_P1)*(_Receivablewriteoffrate))</f>
        <v>0</v>
      </c>
      <c r="M116" s="59">
        <f t="shared" si="256"/>
        <v>0</v>
      </c>
      <c r="N116" s="59">
        <f t="shared" si="256"/>
        <v>0</v>
      </c>
      <c r="O116" s="59">
        <f t="shared" si="256"/>
        <v>0</v>
      </c>
      <c r="P116" s="59">
        <f t="shared" si="256"/>
        <v>0</v>
      </c>
      <c r="Q116" s="59">
        <f t="shared" si="256"/>
        <v>0</v>
      </c>
      <c r="R116" s="59">
        <f t="shared" si="256"/>
        <v>0</v>
      </c>
      <c r="S116" s="59">
        <f t="shared" si="256"/>
        <v>0</v>
      </c>
      <c r="T116" s="59">
        <f t="shared" si="256"/>
        <v>0</v>
      </c>
      <c r="U116" s="59">
        <f t="shared" si="256"/>
        <v>0</v>
      </c>
      <c r="V116" s="59">
        <f t="shared" si="256"/>
        <v>0</v>
      </c>
      <c r="W116" s="59">
        <f t="shared" si="256"/>
        <v>0</v>
      </c>
      <c r="X116" s="59">
        <f t="shared" si="256"/>
        <v>0</v>
      </c>
      <c r="Y116" s="59">
        <f t="shared" si="256"/>
        <v>0</v>
      </c>
      <c r="Z116" s="59">
        <f t="shared" si="256"/>
        <v>0</v>
      </c>
      <c r="AA116" s="59">
        <f t="shared" si="256"/>
        <v>0</v>
      </c>
      <c r="AB116" s="59">
        <f t="shared" si="256"/>
        <v>0</v>
      </c>
      <c r="AC116" s="59">
        <f t="shared" si="256"/>
        <v>0</v>
      </c>
      <c r="AD116" s="59">
        <f t="shared" si="256"/>
        <v>0</v>
      </c>
      <c r="AE116" s="59">
        <f t="shared" si="256"/>
        <v>0</v>
      </c>
      <c r="AF116" s="59">
        <f t="shared" si="256"/>
        <v>0</v>
      </c>
      <c r="AG116" s="59">
        <f t="shared" si="256"/>
        <v>0</v>
      </c>
      <c r="AH116" s="59">
        <f t="shared" si="256"/>
        <v>0</v>
      </c>
      <c r="AI116" s="59">
        <f t="shared" si="256"/>
        <v>0</v>
      </c>
      <c r="AJ116" s="59">
        <f t="shared" si="256"/>
        <v>0</v>
      </c>
      <c r="AK116" s="59">
        <f t="shared" si="256"/>
        <v>0</v>
      </c>
      <c r="AL116" s="59">
        <f t="shared" si="256"/>
        <v>0</v>
      </c>
      <c r="AM116" s="59">
        <f t="shared" si="256"/>
        <v>0</v>
      </c>
      <c r="AN116" s="59">
        <f t="shared" si="256"/>
        <v>0</v>
      </c>
      <c r="AO116" s="59">
        <f t="shared" si="256"/>
        <v>0</v>
      </c>
      <c r="AP116" s="59">
        <f t="shared" ref="AP116:BU116" si="257">-((_LostP1+_RepossessedP1)*(_ContractPriceP1-_DP_P1)*(_Receivablewriteoffrate))</f>
        <v>0</v>
      </c>
      <c r="AQ116" s="59">
        <f t="shared" si="257"/>
        <v>0</v>
      </c>
      <c r="AR116" s="59">
        <f t="shared" si="257"/>
        <v>0</v>
      </c>
      <c r="AS116" s="59">
        <f t="shared" si="257"/>
        <v>0</v>
      </c>
      <c r="AT116" s="59">
        <f t="shared" si="257"/>
        <v>0</v>
      </c>
      <c r="AU116" s="59">
        <f t="shared" si="257"/>
        <v>0</v>
      </c>
      <c r="AV116" s="59">
        <f t="shared" si="257"/>
        <v>0</v>
      </c>
      <c r="AW116" s="59">
        <f t="shared" si="257"/>
        <v>0</v>
      </c>
      <c r="AX116" s="59">
        <f t="shared" si="257"/>
        <v>0</v>
      </c>
      <c r="AY116" s="59">
        <f t="shared" si="257"/>
        <v>0</v>
      </c>
      <c r="AZ116" s="59">
        <f t="shared" si="257"/>
        <v>0</v>
      </c>
      <c r="BA116" s="59">
        <f t="shared" si="257"/>
        <v>0</v>
      </c>
      <c r="BB116" s="59">
        <f t="shared" si="257"/>
        <v>0</v>
      </c>
      <c r="BC116" s="59">
        <f t="shared" si="257"/>
        <v>0</v>
      </c>
      <c r="BD116" s="59">
        <f t="shared" si="257"/>
        <v>0</v>
      </c>
      <c r="BE116" s="59">
        <f t="shared" si="257"/>
        <v>0</v>
      </c>
      <c r="BF116" s="59">
        <f t="shared" si="257"/>
        <v>0</v>
      </c>
      <c r="BG116" s="59">
        <f t="shared" si="257"/>
        <v>0</v>
      </c>
      <c r="BH116" s="59">
        <f t="shared" si="257"/>
        <v>0</v>
      </c>
      <c r="BI116" s="59">
        <f t="shared" si="257"/>
        <v>0</v>
      </c>
      <c r="BJ116" s="59">
        <f t="shared" si="257"/>
        <v>0</v>
      </c>
      <c r="BK116" s="59">
        <f t="shared" si="257"/>
        <v>0</v>
      </c>
      <c r="BL116" s="59">
        <f t="shared" si="257"/>
        <v>0</v>
      </c>
      <c r="BM116" s="59">
        <f t="shared" si="257"/>
        <v>0</v>
      </c>
      <c r="BN116" s="59">
        <f t="shared" si="257"/>
        <v>0</v>
      </c>
      <c r="BO116" s="59">
        <f t="shared" si="257"/>
        <v>0</v>
      </c>
      <c r="BP116" s="59">
        <f t="shared" si="257"/>
        <v>0</v>
      </c>
      <c r="BQ116" s="59">
        <f t="shared" si="257"/>
        <v>0</v>
      </c>
      <c r="BR116" s="59">
        <f t="shared" si="257"/>
        <v>0</v>
      </c>
      <c r="BS116" s="59">
        <f t="shared" si="257"/>
        <v>0</v>
      </c>
      <c r="BT116" s="59">
        <f t="shared" si="257"/>
        <v>0</v>
      </c>
      <c r="BU116" s="59">
        <f t="shared" si="257"/>
        <v>0</v>
      </c>
      <c r="BV116" s="59">
        <f t="shared" ref="BV116:DY116" si="258">-((_LostP1+_RepossessedP1)*(_ContractPriceP1-_DP_P1)*(_Receivablewriteoffrate))</f>
        <v>0</v>
      </c>
      <c r="BW116" s="59">
        <f t="shared" si="258"/>
        <v>0</v>
      </c>
      <c r="BX116" s="59">
        <f t="shared" si="258"/>
        <v>0</v>
      </c>
      <c r="BY116" s="59">
        <f t="shared" si="258"/>
        <v>0</v>
      </c>
      <c r="BZ116" s="59">
        <f t="shared" si="258"/>
        <v>0</v>
      </c>
      <c r="CA116" s="59">
        <f t="shared" si="258"/>
        <v>0</v>
      </c>
      <c r="CB116" s="59">
        <f t="shared" si="258"/>
        <v>0</v>
      </c>
      <c r="CC116" s="59">
        <f t="shared" si="258"/>
        <v>0</v>
      </c>
      <c r="CD116" s="59">
        <f t="shared" si="258"/>
        <v>0</v>
      </c>
      <c r="CE116" s="59">
        <f t="shared" si="258"/>
        <v>0</v>
      </c>
      <c r="CF116" s="59">
        <f t="shared" si="258"/>
        <v>0</v>
      </c>
      <c r="CG116" s="59">
        <f t="shared" si="258"/>
        <v>0</v>
      </c>
      <c r="CH116" s="59">
        <f t="shared" si="258"/>
        <v>0</v>
      </c>
      <c r="CI116" s="59">
        <f t="shared" si="258"/>
        <v>0</v>
      </c>
      <c r="CJ116" s="59">
        <f t="shared" si="258"/>
        <v>0</v>
      </c>
      <c r="CK116" s="59">
        <f t="shared" si="258"/>
        <v>0</v>
      </c>
      <c r="CL116" s="59">
        <f t="shared" si="258"/>
        <v>0</v>
      </c>
      <c r="CM116" s="59">
        <f t="shared" si="258"/>
        <v>0</v>
      </c>
      <c r="CN116" s="59">
        <f t="shared" si="258"/>
        <v>0</v>
      </c>
      <c r="CO116" s="59">
        <f t="shared" si="258"/>
        <v>0</v>
      </c>
      <c r="CP116" s="59">
        <f t="shared" si="258"/>
        <v>0</v>
      </c>
      <c r="CQ116" s="59">
        <f t="shared" si="258"/>
        <v>0</v>
      </c>
      <c r="CR116" s="59">
        <f t="shared" si="258"/>
        <v>0</v>
      </c>
      <c r="CS116" s="59">
        <f t="shared" si="258"/>
        <v>0</v>
      </c>
      <c r="CT116" s="59">
        <f t="shared" si="258"/>
        <v>0</v>
      </c>
      <c r="CU116" s="59">
        <f t="shared" si="258"/>
        <v>0</v>
      </c>
      <c r="CV116" s="59">
        <f t="shared" si="258"/>
        <v>0</v>
      </c>
      <c r="CW116" s="59">
        <f t="shared" si="258"/>
        <v>0</v>
      </c>
      <c r="CX116" s="59">
        <f t="shared" si="258"/>
        <v>0</v>
      </c>
      <c r="CY116" s="59">
        <f t="shared" si="258"/>
        <v>0</v>
      </c>
      <c r="CZ116" s="59">
        <f t="shared" si="258"/>
        <v>0</v>
      </c>
      <c r="DA116" s="59">
        <f t="shared" si="258"/>
        <v>0</v>
      </c>
      <c r="DB116" s="59">
        <f t="shared" si="258"/>
        <v>0</v>
      </c>
      <c r="DC116" s="59">
        <f t="shared" si="258"/>
        <v>0</v>
      </c>
      <c r="DD116" s="59">
        <f t="shared" si="258"/>
        <v>0</v>
      </c>
      <c r="DE116" s="59">
        <f t="shared" si="258"/>
        <v>0</v>
      </c>
      <c r="DF116" s="59">
        <f t="shared" si="258"/>
        <v>0</v>
      </c>
      <c r="DG116" s="59">
        <f t="shared" si="258"/>
        <v>0</v>
      </c>
      <c r="DH116" s="59">
        <f t="shared" si="258"/>
        <v>0</v>
      </c>
      <c r="DI116" s="59">
        <f t="shared" si="258"/>
        <v>0</v>
      </c>
      <c r="DJ116" s="59">
        <f t="shared" si="258"/>
        <v>0</v>
      </c>
      <c r="DK116" s="59">
        <f t="shared" si="258"/>
        <v>0</v>
      </c>
      <c r="DL116" s="59">
        <f t="shared" si="258"/>
        <v>0</v>
      </c>
      <c r="DM116" s="59">
        <f t="shared" si="258"/>
        <v>0</v>
      </c>
      <c r="DN116" s="59">
        <f t="shared" si="258"/>
        <v>0</v>
      </c>
      <c r="DO116" s="59">
        <f t="shared" si="258"/>
        <v>0</v>
      </c>
      <c r="DP116" s="59">
        <f t="shared" si="258"/>
        <v>0</v>
      </c>
      <c r="DQ116" s="59">
        <f t="shared" si="258"/>
        <v>0</v>
      </c>
      <c r="DR116" s="59">
        <f t="shared" si="258"/>
        <v>0</v>
      </c>
      <c r="DS116" s="59">
        <f t="shared" si="258"/>
        <v>0</v>
      </c>
      <c r="DT116" s="59">
        <f t="shared" si="258"/>
        <v>0</v>
      </c>
      <c r="DU116" s="59">
        <f t="shared" si="258"/>
        <v>0</v>
      </c>
      <c r="DV116" s="59">
        <f t="shared" si="258"/>
        <v>0</v>
      </c>
      <c r="DW116" s="59">
        <f t="shared" si="258"/>
        <v>0</v>
      </c>
      <c r="DX116" s="59">
        <f t="shared" si="258"/>
        <v>0</v>
      </c>
      <c r="DY116" s="59">
        <f t="shared" si="258"/>
        <v>0</v>
      </c>
    </row>
    <row r="117" spans="1:129" s="19" customFormat="1" outlineLevel="2">
      <c r="A117" s="20"/>
      <c r="C117" s="9" t="str">
        <f>'Model Assumptions'!$H$24</f>
        <v>Product 2</v>
      </c>
      <c r="D117" s="9"/>
      <c r="E117" s="30"/>
      <c r="F117" s="5"/>
      <c r="G117" s="14"/>
      <c r="H117" s="14"/>
      <c r="I117" s="14"/>
      <c r="J117" s="59">
        <f t="shared" ref="J117:AO117" si="259">-((_LostP2+_RepossessedP2)*(_ContractPriceP2-_DP_P2)*(_Receivablewriteoffrate))</f>
        <v>-76800</v>
      </c>
      <c r="K117" s="59">
        <f t="shared" ca="1" si="259"/>
        <v>-78760.023138915101</v>
      </c>
      <c r="L117" s="59">
        <f t="shared" ca="1" si="259"/>
        <v>-80857.118046441057</v>
      </c>
      <c r="M117" s="59">
        <f t="shared" ca="1" si="259"/>
        <v>-83093.047444891723</v>
      </c>
      <c r="N117" s="59">
        <f t="shared" ca="1" si="259"/>
        <v>-85469.619098157898</v>
      </c>
      <c r="O117" s="59">
        <f t="shared" ca="1" si="259"/>
        <v>-87988.686614667415</v>
      </c>
      <c r="P117" s="59">
        <f t="shared" ca="1" si="259"/>
        <v>-90652.150267383375</v>
      </c>
      <c r="Q117" s="59">
        <f t="shared" ca="1" si="259"/>
        <v>-93461.957831171108</v>
      </c>
      <c r="R117" s="59">
        <f t="shared" ca="1" si="259"/>
        <v>-96420.105437871898</v>
      </c>
      <c r="S117" s="59">
        <f t="shared" ca="1" si="259"/>
        <v>-99528.638449427614</v>
      </c>
      <c r="T117" s="59">
        <f t="shared" ca="1" si="259"/>
        <v>-102789.65234940816</v>
      </c>
      <c r="U117" s="59">
        <f t="shared" ca="1" si="259"/>
        <v>-106205.2936533001</v>
      </c>
      <c r="V117" s="59">
        <f t="shared" ca="1" si="259"/>
        <v>-96055.540733182221</v>
      </c>
      <c r="W117" s="59">
        <f t="shared" ca="1" si="259"/>
        <v>-97923.967281311139</v>
      </c>
      <c r="X117" s="59">
        <f t="shared" ca="1" si="259"/>
        <v>-99838.208838727354</v>
      </c>
      <c r="Y117" s="59">
        <f t="shared" ca="1" si="259"/>
        <v>-101799.09724083332</v>
      </c>
      <c r="Z117" s="59">
        <f t="shared" ca="1" si="259"/>
        <v>-103807.4818043874</v>
      </c>
      <c r="AA117" s="59">
        <f t="shared" ca="1" si="259"/>
        <v>-105864.22966868452</v>
      </c>
      <c r="AB117" s="59">
        <f t="shared" ca="1" si="259"/>
        <v>-107970.22614364483</v>
      </c>
      <c r="AC117" s="59">
        <f t="shared" ca="1" si="259"/>
        <v>-110126.37506494783</v>
      </c>
      <c r="AD117" s="59">
        <f t="shared" ca="1" si="259"/>
        <v>-112333.59915635195</v>
      </c>
      <c r="AE117" s="59">
        <f t="shared" ca="1" si="259"/>
        <v>-114592.8403993424</v>
      </c>
      <c r="AF117" s="59">
        <f t="shared" ca="1" si="259"/>
        <v>-116905.06041025335</v>
      </c>
      <c r="AG117" s="59">
        <f t="shared" ca="1" si="259"/>
        <v>-119271.24082501263</v>
      </c>
      <c r="AH117" s="59">
        <f t="shared" ca="1" si="259"/>
        <v>-104307.75744999506</v>
      </c>
      <c r="AI117" s="59">
        <f t="shared" ca="1" si="259"/>
        <v>-106324.89662162204</v>
      </c>
      <c r="AJ117" s="59">
        <f t="shared" ca="1" si="259"/>
        <v>-108383.6704374757</v>
      </c>
      <c r="AK117" s="59">
        <f t="shared" ca="1" si="259"/>
        <v>-110484.89867183261</v>
      </c>
      <c r="AL117" s="59">
        <f t="shared" ca="1" si="259"/>
        <v>-112629.41762364098</v>
      </c>
      <c r="AM117" s="59">
        <f t="shared" ca="1" si="259"/>
        <v>-114818.0804457222</v>
      </c>
      <c r="AN117" s="59">
        <f t="shared" ca="1" si="259"/>
        <v>-117051.75748056931</v>
      </c>
      <c r="AO117" s="59">
        <f t="shared" ca="1" si="259"/>
        <v>-119331.33660287448</v>
      </c>
      <c r="AP117" s="59">
        <f t="shared" ref="AP117:BU117" ca="1" si="260">-((_LostP2+_RepossessedP2)*(_ContractPriceP2-_DP_P2)*(_Receivablewriteoffrate))</f>
        <v>-121657.7235689192</v>
      </c>
      <c r="AQ117" s="59">
        <f t="shared" ca="1" si="260"/>
        <v>-124031.84237296532</v>
      </c>
      <c r="AR117" s="59">
        <f t="shared" ca="1" si="260"/>
        <v>-126454.63561078609</v>
      </c>
      <c r="AS117" s="59">
        <f t="shared" ca="1" si="260"/>
        <v>-128927.06485048005</v>
      </c>
      <c r="AT117" s="59">
        <f t="shared" ca="1" si="260"/>
        <v>-109541.75917559462</v>
      </c>
      <c r="AU117" s="59">
        <f t="shared" ca="1" si="260"/>
        <v>-111679.47416808545</v>
      </c>
      <c r="AV117" s="59">
        <f t="shared" ca="1" si="260"/>
        <v>-113860.51910722646</v>
      </c>
      <c r="AW117" s="59">
        <f t="shared" ca="1" si="260"/>
        <v>-116085.75483548263</v>
      </c>
      <c r="AX117" s="59">
        <f t="shared" ca="1" si="260"/>
        <v>-118356.05946973294</v>
      </c>
      <c r="AY117" s="59">
        <f t="shared" ca="1" si="260"/>
        <v>-120672.32874618299</v>
      </c>
      <c r="AZ117" s="59">
        <f t="shared" ca="1" si="260"/>
        <v>-123035.47637218167</v>
      </c>
      <c r="BA117" s="59">
        <f t="shared" ca="1" si="260"/>
        <v>-125446.43438507972</v>
      </c>
      <c r="BB117" s="59">
        <f t="shared" ca="1" si="260"/>
        <v>-127906.15351827133</v>
      </c>
      <c r="BC117" s="59">
        <f t="shared" ca="1" si="260"/>
        <v>-130415.60357456202</v>
      </c>
      <c r="BD117" s="59">
        <f t="shared" ca="1" si="260"/>
        <v>-132975.77380700942</v>
      </c>
      <c r="BE117" s="59">
        <f t="shared" ca="1" si="260"/>
        <v>-135587.67330738637</v>
      </c>
      <c r="BF117" s="59">
        <f t="shared" ca="1" si="260"/>
        <v>-138252.33140241861</v>
      </c>
      <c r="BG117" s="59">
        <f t="shared" ca="1" si="260"/>
        <v>-140970.10329879189</v>
      </c>
      <c r="BH117" s="59">
        <f t="shared" ca="1" si="260"/>
        <v>-143742.70731993721</v>
      </c>
      <c r="BI117" s="59">
        <f t="shared" ca="1" si="260"/>
        <v>-146571.23534148157</v>
      </c>
      <c r="BJ117" s="59">
        <f t="shared" ca="1" si="260"/>
        <v>-149456.80112423317</v>
      </c>
      <c r="BK117" s="59">
        <f t="shared" ca="1" si="260"/>
        <v>-152400.54075140838</v>
      </c>
      <c r="BL117" s="59">
        <f t="shared" ca="1" si="260"/>
        <v>-155403.61307460806</v>
      </c>
      <c r="BM117" s="59">
        <f t="shared" ca="1" si="260"/>
        <v>-158467.20016871789</v>
      </c>
      <c r="BN117" s="59">
        <f t="shared" ca="1" si="260"/>
        <v>-161592.50779591152</v>
      </c>
      <c r="BO117" s="59">
        <f t="shared" ca="1" si="260"/>
        <v>-164780.76587893863</v>
      </c>
      <c r="BP117" s="59">
        <f t="shared" ca="1" si="260"/>
        <v>-168033.22898388305</v>
      </c>
      <c r="BQ117" s="59">
        <f t="shared" ca="1" si="260"/>
        <v>-171351.17681258052</v>
      </c>
      <c r="BR117" s="59">
        <f t="shared" ca="1" si="260"/>
        <v>-174735.91470488958</v>
      </c>
      <c r="BS117" s="59">
        <f t="shared" ca="1" si="260"/>
        <v>-177873.73361292802</v>
      </c>
      <c r="BT117" s="59">
        <f t="shared" ca="1" si="260"/>
        <v>-180762.89928649852</v>
      </c>
      <c r="BU117" s="59">
        <f t="shared" ca="1" si="260"/>
        <v>-183401.55275703798</v>
      </c>
      <c r="BV117" s="59">
        <f t="shared" ref="BV117:DY117" ca="1" si="261">-((_LostP2+_RepossessedP2)*(_ContractPriceP2-_DP_P2)*(_Receivablewriteoffrate))</f>
        <v>-185787.76673565092</v>
      </c>
      <c r="BW117" s="59">
        <f t="shared" ca="1" si="261"/>
        <v>-187919.54455811201</v>
      </c>
      <c r="BX117" s="59">
        <f t="shared" ca="1" si="261"/>
        <v>-189794.8191056556</v>
      </c>
      <c r="BY117" s="59">
        <f t="shared" ca="1" si="261"/>
        <v>-191411.45170109696</v>
      </c>
      <c r="BZ117" s="59">
        <f t="shared" ca="1" si="261"/>
        <v>-192767.23097982456</v>
      </c>
      <c r="CA117" s="59">
        <f t="shared" ca="1" si="261"/>
        <v>-193859.8717351903</v>
      </c>
      <c r="CB117" s="59">
        <f t="shared" ca="1" si="261"/>
        <v>-194687.01373781645</v>
      </c>
      <c r="CC117" s="59">
        <f t="shared" ca="1" si="261"/>
        <v>-195246.22052832655</v>
      </c>
      <c r="CD117" s="59">
        <f t="shared" ca="1" si="261"/>
        <v>-195534.97818300009</v>
      </c>
      <c r="CE117" s="59">
        <f t="shared" ca="1" si="261"/>
        <v>-195801.96191636959</v>
      </c>
      <c r="CF117" s="59">
        <f t="shared" ca="1" si="261"/>
        <v>-196047.01688108215</v>
      </c>
      <c r="CG117" s="59">
        <f t="shared" ca="1" si="261"/>
        <v>-196269.97718619779</v>
      </c>
      <c r="CH117" s="59">
        <f t="shared" ca="1" si="261"/>
        <v>-196470.67089611356</v>
      </c>
      <c r="CI117" s="59">
        <f t="shared" ca="1" si="261"/>
        <v>-196648.91993693839</v>
      </c>
      <c r="CJ117" s="59">
        <f t="shared" ca="1" si="261"/>
        <v>-196804.54000072341</v>
      </c>
      <c r="CK117" s="59">
        <f t="shared" ca="1" si="261"/>
        <v>-196937.34044750643</v>
      </c>
      <c r="CL117" s="59">
        <f t="shared" ca="1" si="261"/>
        <v>-197047.12420513007</v>
      </c>
      <c r="CM117" s="59">
        <f t="shared" ca="1" si="261"/>
        <v>-197133.68766679225</v>
      </c>
      <c r="CN117" s="59">
        <f t="shared" ca="1" si="261"/>
        <v>-197196.82058628474</v>
      </c>
      <c r="CO117" s="59">
        <f t="shared" ca="1" si="261"/>
        <v>-197236.30597087825</v>
      </c>
      <c r="CP117" s="59">
        <f t="shared" ca="1" si="261"/>
        <v>-197251.91997180766</v>
      </c>
      <c r="CQ117" s="59">
        <f t="shared" ca="1" si="261"/>
        <v>-197265.70377570027</v>
      </c>
      <c r="CR117" s="59">
        <f t="shared" ca="1" si="261"/>
        <v>-197277.64265901697</v>
      </c>
      <c r="CS117" s="59">
        <f t="shared" ca="1" si="261"/>
        <v>-197287.72092931269</v>
      </c>
      <c r="CT117" s="59">
        <f t="shared" ca="1" si="261"/>
        <v>-197295.92236823391</v>
      </c>
      <c r="CU117" s="59">
        <f t="shared" ca="1" si="261"/>
        <v>-197302.23022312095</v>
      </c>
      <c r="CV117" s="59">
        <f t="shared" ca="1" si="261"/>
        <v>-197306.62719842122</v>
      </c>
      <c r="CW117" s="59">
        <f t="shared" ca="1" si="261"/>
        <v>-197309.09544690992</v>
      </c>
      <c r="CX117" s="59">
        <f t="shared" ca="1" si="261"/>
        <v>-197309.61656071394</v>
      </c>
      <c r="CY117" s="59">
        <f t="shared" ca="1" si="261"/>
        <v>-197308.17156213606</v>
      </c>
      <c r="CZ117" s="59">
        <f t="shared" ca="1" si="261"/>
        <v>-197304.74089427537</v>
      </c>
      <c r="DA117" s="59">
        <f t="shared" ca="1" si="261"/>
        <v>-197299.3044114392</v>
      </c>
      <c r="DB117" s="59">
        <f t="shared" ca="1" si="261"/>
        <v>-197291.84136934427</v>
      </c>
      <c r="DC117" s="59">
        <f t="shared" ca="1" si="261"/>
        <v>-197284.30457178794</v>
      </c>
      <c r="DD117" s="59">
        <f t="shared" ca="1" si="261"/>
        <v>-197276.69182899361</v>
      </c>
      <c r="DE117" s="59">
        <f t="shared" ca="1" si="261"/>
        <v>-197269.00087414941</v>
      </c>
      <c r="DF117" s="59">
        <f t="shared" ca="1" si="261"/>
        <v>-197261.22940258629</v>
      </c>
      <c r="DG117" s="59">
        <f t="shared" ca="1" si="261"/>
        <v>-197253.37507094597</v>
      </c>
      <c r="DH117" s="59">
        <f t="shared" ca="1" si="261"/>
        <v>-197245.43549633355</v>
      </c>
      <c r="DI117" s="59">
        <f t="shared" ca="1" si="261"/>
        <v>-197237.40825545287</v>
      </c>
      <c r="DJ117" s="59">
        <f t="shared" ca="1" si="261"/>
        <v>-197229.29088372635</v>
      </c>
      <c r="DK117" s="59">
        <f t="shared" ca="1" si="261"/>
        <v>-197221.08087439733</v>
      </c>
      <c r="DL117" s="59">
        <f t="shared" ca="1" si="261"/>
        <v>-197212.77567761546</v>
      </c>
      <c r="DM117" s="59">
        <f t="shared" ca="1" si="261"/>
        <v>-197204.37269950437</v>
      </c>
      <c r="DN117" s="59">
        <f t="shared" ca="1" si="261"/>
        <v>-197195.86930121138</v>
      </c>
      <c r="DO117" s="59">
        <f t="shared" ca="1" si="261"/>
        <v>-197187.43778420117</v>
      </c>
      <c r="DP117" s="59">
        <f t="shared" ca="1" si="261"/>
        <v>-197179.07717018673</v>
      </c>
      <c r="DQ117" s="59">
        <f t="shared" ca="1" si="261"/>
        <v>-197170.7864818947</v>
      </c>
      <c r="DR117" s="59">
        <f t="shared" ca="1" si="261"/>
        <v>-197162.56474645931</v>
      </c>
      <c r="DS117" s="59">
        <f t="shared" ca="1" si="261"/>
        <v>-197154.41099527161</v>
      </c>
      <c r="DT117" s="59">
        <f t="shared" ca="1" si="261"/>
        <v>-197146.32426382691</v>
      </c>
      <c r="DU117" s="59">
        <f t="shared" ca="1" si="261"/>
        <v>-197138.3035915725</v>
      </c>
      <c r="DV117" s="59">
        <f t="shared" ca="1" si="261"/>
        <v>-197130.34802175395</v>
      </c>
      <c r="DW117" s="59">
        <f t="shared" ca="1" si="261"/>
        <v>-197122.4566012611</v>
      </c>
      <c r="DX117" s="59">
        <f t="shared" ca="1" si="261"/>
        <v>-197114.62838047332</v>
      </c>
      <c r="DY117" s="59">
        <f t="shared" ca="1" si="261"/>
        <v>-197106.86241310355</v>
      </c>
    </row>
    <row r="118" spans="1:129" s="19" customFormat="1" outlineLevel="2">
      <c r="A118" s="20"/>
      <c r="C118" s="9" t="str">
        <f>'Model Assumptions'!$I$24</f>
        <v>Product 3</v>
      </c>
      <c r="D118" s="9"/>
      <c r="E118" s="30"/>
      <c r="F118" s="5"/>
      <c r="G118" s="14"/>
      <c r="H118" s="14"/>
      <c r="I118" s="14"/>
      <c r="J118" s="59">
        <f t="shared" ref="J118:AO118" si="262">-((_LostP3+_RepossessedP3)*(_ContractPriceP3-_DP_P3)*(_Receivablewriteoffrate))</f>
        <v>-76800</v>
      </c>
      <c r="K118" s="59">
        <f t="shared" ca="1" si="262"/>
        <v>-79223.730339713409</v>
      </c>
      <c r="L118" s="59">
        <f t="shared" ca="1" si="262"/>
        <v>-81721.143376029679</v>
      </c>
      <c r="M118" s="59">
        <f t="shared" ca="1" si="262"/>
        <v>-84293.46068198279</v>
      </c>
      <c r="N118" s="59">
        <f t="shared" ca="1" si="262"/>
        <v>-86941.93078287637</v>
      </c>
      <c r="O118" s="59">
        <f t="shared" ca="1" si="262"/>
        <v>-89667.829670121006</v>
      </c>
      <c r="P118" s="59">
        <f t="shared" ca="1" si="262"/>
        <v>-92472.461325600409</v>
      </c>
      <c r="Q118" s="59">
        <f t="shared" ca="1" si="262"/>
        <v>-95357.158256774361</v>
      </c>
      <c r="R118" s="59">
        <f t="shared" ca="1" si="262"/>
        <v>-98323.282042730891</v>
      </c>
      <c r="S118" s="59">
        <f t="shared" ca="1" si="262"/>
        <v>-101372.22389140409</v>
      </c>
      <c r="T118" s="59">
        <f t="shared" ca="1" si="262"/>
        <v>-104505.40520817827</v>
      </c>
      <c r="U118" s="59">
        <f t="shared" ca="1" si="262"/>
        <v>-107724.27817610421</v>
      </c>
      <c r="V118" s="59">
        <f t="shared" ca="1" si="262"/>
        <v>-97151.535554462185</v>
      </c>
      <c r="W118" s="59">
        <f t="shared" ca="1" si="262"/>
        <v>-100121.9320940727</v>
      </c>
      <c r="X118" s="59">
        <f t="shared" ca="1" si="262"/>
        <v>-103171.28762524526</v>
      </c>
      <c r="Y118" s="59">
        <f t="shared" ca="1" si="262"/>
        <v>-106300.98581720336</v>
      </c>
      <c r="Z118" s="59">
        <f t="shared" ca="1" si="262"/>
        <v>-109512.43996766114</v>
      </c>
      <c r="AA118" s="59">
        <f t="shared" ca="1" si="262"/>
        <v>-112807.09357584191</v>
      </c>
      <c r="AB118" s="59">
        <f t="shared" ca="1" si="262"/>
        <v>-116186.42092715309</v>
      </c>
      <c r="AC118" s="59">
        <f t="shared" ca="1" si="262"/>
        <v>-119651.92768974755</v>
      </c>
      <c r="AD118" s="59">
        <f t="shared" ca="1" si="262"/>
        <v>-123205.15152320838</v>
      </c>
      <c r="AE118" s="59">
        <f t="shared" ca="1" si="262"/>
        <v>-126847.66269959678</v>
      </c>
      <c r="AF118" s="59">
        <f t="shared" ca="1" si="262"/>
        <v>-130581.06473710878</v>
      </c>
      <c r="AG118" s="59">
        <f t="shared" ca="1" si="262"/>
        <v>-134406.9950465908</v>
      </c>
      <c r="AH118" s="59">
        <f t="shared" ca="1" si="262"/>
        <v>-118566.10764957432</v>
      </c>
      <c r="AI118" s="59">
        <f t="shared" ca="1" si="262"/>
        <v>-122008.42590793667</v>
      </c>
      <c r="AJ118" s="59">
        <f t="shared" ca="1" si="262"/>
        <v>-125534.44461531685</v>
      </c>
      <c r="AK118" s="59">
        <f t="shared" ca="1" si="262"/>
        <v>-129145.68923985671</v>
      </c>
      <c r="AL118" s="59">
        <f t="shared" ca="1" si="262"/>
        <v>-132843.71724446933</v>
      </c>
      <c r="AM118" s="59">
        <f t="shared" ca="1" si="262"/>
        <v>-136630.11871188035</v>
      </c>
      <c r="AN118" s="59">
        <f t="shared" ca="1" si="262"/>
        <v>-140506.51698231869</v>
      </c>
      <c r="AO118" s="59">
        <f t="shared" ca="1" si="262"/>
        <v>-143213.66108754431</v>
      </c>
      <c r="AP118" s="59">
        <f t="shared" ref="AP118:BU118" ca="1" si="263">-((_LostP3+_RepossessedP3)*(_ContractPriceP3-_DP_P3)*(_Receivablewriteoffrate))</f>
        <v>-145977.86891057482</v>
      </c>
      <c r="AQ118" s="59">
        <f t="shared" ca="1" si="263"/>
        <v>-148800.25251740913</v>
      </c>
      <c r="AR118" s="59">
        <f t="shared" ca="1" si="263"/>
        <v>-151681.94650745005</v>
      </c>
      <c r="AS118" s="59">
        <f t="shared" ca="1" si="263"/>
        <v>-154624.1084612509</v>
      </c>
      <c r="AT118" s="59">
        <f t="shared" ca="1" si="263"/>
        <v>-131356.59949770622</v>
      </c>
      <c r="AU118" s="59">
        <f t="shared" ca="1" si="263"/>
        <v>-133912.15353137691</v>
      </c>
      <c r="AV118" s="59">
        <f t="shared" ca="1" si="263"/>
        <v>-136521.11023641392</v>
      </c>
      <c r="AW118" s="59">
        <f t="shared" ca="1" si="263"/>
        <v>-139184.51475033766</v>
      </c>
      <c r="AX118" s="59">
        <f t="shared" ca="1" si="263"/>
        <v>-141903.43334257809</v>
      </c>
      <c r="AY118" s="59">
        <f t="shared" ca="1" si="263"/>
        <v>-144678.953834821</v>
      </c>
      <c r="AZ118" s="59">
        <f t="shared" ca="1" si="263"/>
        <v>-147512.18602978493</v>
      </c>
      <c r="BA118" s="59">
        <f t="shared" ca="1" si="263"/>
        <v>-150404.26214859559</v>
      </c>
      <c r="BB118" s="59">
        <f t="shared" ca="1" si="263"/>
        <v>-153356.3372769304</v>
      </c>
      <c r="BC118" s="59">
        <f t="shared" ca="1" si="263"/>
        <v>-156369.58982010832</v>
      </c>
      <c r="BD118" s="59">
        <f t="shared" ca="1" si="263"/>
        <v>-159445.22196730351</v>
      </c>
      <c r="BE118" s="59">
        <f t="shared" ca="1" si="263"/>
        <v>-162584.46016506475</v>
      </c>
      <c r="BF118" s="59">
        <f t="shared" ca="1" si="263"/>
        <v>-165788.55560032715</v>
      </c>
      <c r="BG118" s="59">
        <f t="shared" ca="1" si="263"/>
        <v>-169058.78469310526</v>
      </c>
      <c r="BH118" s="59">
        <f t="shared" ca="1" si="263"/>
        <v>-172396.44959906134</v>
      </c>
      <c r="BI118" s="59">
        <f t="shared" ca="1" si="263"/>
        <v>-175802.87872214566</v>
      </c>
      <c r="BJ118" s="59">
        <f t="shared" ca="1" si="263"/>
        <v>-179279.42723751071</v>
      </c>
      <c r="BK118" s="59">
        <f t="shared" ca="1" si="263"/>
        <v>-182827.47762490396</v>
      </c>
      <c r="BL118" s="59">
        <f t="shared" ca="1" si="263"/>
        <v>-186448.44021274868</v>
      </c>
      <c r="BM118" s="59">
        <f t="shared" ca="1" si="263"/>
        <v>-190143.75373312697</v>
      </c>
      <c r="BN118" s="59">
        <f t="shared" ca="1" si="263"/>
        <v>-193914.88588788168</v>
      </c>
      <c r="BO118" s="59">
        <f t="shared" ca="1" si="263"/>
        <v>-197763.33392606062</v>
      </c>
      <c r="BP118" s="59">
        <f t="shared" ca="1" si="263"/>
        <v>-201690.62523292899</v>
      </c>
      <c r="BQ118" s="59">
        <f t="shared" ca="1" si="263"/>
        <v>-205698.3179307814</v>
      </c>
      <c r="BR118" s="59">
        <f t="shared" ca="1" si="263"/>
        <v>-209788.00149178901</v>
      </c>
      <c r="BS118" s="59">
        <f t="shared" ca="1" si="263"/>
        <v>-213686.71099260426</v>
      </c>
      <c r="BT118" s="59">
        <f t="shared" ca="1" si="263"/>
        <v>-217469.61990423221</v>
      </c>
      <c r="BU118" s="59">
        <f t="shared" ca="1" si="263"/>
        <v>-221136.34996268121</v>
      </c>
      <c r="BV118" s="59">
        <f t="shared" ref="BV118:DY118" ca="1" si="264">-((_LostP3+_RepossessedP3)*(_ContractPriceP3-_DP_P3)*(_Receivablewriteoffrate))</f>
        <v>-224686.49596120178</v>
      </c>
      <c r="BW118" s="59">
        <f t="shared" ca="1" si="264"/>
        <v>-228119.62540520623</v>
      </c>
      <c r="BX118" s="59">
        <f t="shared" ca="1" si="264"/>
        <v>-231435.27815834922</v>
      </c>
      <c r="BY118" s="59">
        <f t="shared" ca="1" si="264"/>
        <v>-234632.96607961081</v>
      </c>
      <c r="BZ118" s="59">
        <f t="shared" ca="1" si="264"/>
        <v>-237712.17265122297</v>
      </c>
      <c r="CA118" s="59">
        <f t="shared" ca="1" si="264"/>
        <v>-240672.35259727336</v>
      </c>
      <c r="CB118" s="59">
        <f t="shared" ca="1" si="264"/>
        <v>-243512.93149282073</v>
      </c>
      <c r="CC118" s="59">
        <f t="shared" ca="1" si="264"/>
        <v>-246233.30536334918</v>
      </c>
      <c r="CD118" s="59">
        <f t="shared" ca="1" si="264"/>
        <v>-248832.84027438768</v>
      </c>
      <c r="CE118" s="59">
        <f t="shared" ca="1" si="264"/>
        <v>-251310.87191111551</v>
      </c>
      <c r="CF118" s="59">
        <f t="shared" ca="1" si="264"/>
        <v>-253666.70514777151</v>
      </c>
      <c r="CG118" s="59">
        <f t="shared" ca="1" si="264"/>
        <v>-255899.61360668269</v>
      </c>
      <c r="CH118" s="59">
        <f t="shared" ca="1" si="264"/>
        <v>-258008.83920671872</v>
      </c>
      <c r="CI118" s="59">
        <f t="shared" ca="1" si="264"/>
        <v>-259993.59170098256</v>
      </c>
      <c r="CJ118" s="59">
        <f t="shared" ca="1" si="264"/>
        <v>-261853.04820353657</v>
      </c>
      <c r="CK118" s="59">
        <f t="shared" ca="1" si="264"/>
        <v>-263586.3527049626</v>
      </c>
      <c r="CL118" s="59">
        <f t="shared" ca="1" si="264"/>
        <v>-265192.61557654984</v>
      </c>
      <c r="CM118" s="59">
        <f t="shared" ca="1" si="264"/>
        <v>-266670.91306290007</v>
      </c>
      <c r="CN118" s="59">
        <f t="shared" ca="1" si="264"/>
        <v>-268020.28676273534</v>
      </c>
      <c r="CO118" s="59">
        <f t="shared" ca="1" si="264"/>
        <v>-269239.74309768778</v>
      </c>
      <c r="CP118" s="59">
        <f t="shared" ca="1" si="264"/>
        <v>-270328.2527688485</v>
      </c>
      <c r="CQ118" s="59">
        <f t="shared" ca="1" si="264"/>
        <v>-271284.75020084652</v>
      </c>
      <c r="CR118" s="59">
        <f t="shared" ca="1" si="264"/>
        <v>-272108.13297322451</v>
      </c>
      <c r="CS118" s="59">
        <f t="shared" ca="1" si="264"/>
        <v>-272797.26123887266</v>
      </c>
      <c r="CT118" s="59">
        <f t="shared" ca="1" si="264"/>
        <v>-273350.9571292781</v>
      </c>
      <c r="CU118" s="59">
        <f t="shared" ca="1" si="264"/>
        <v>-273768.00414634164</v>
      </c>
      <c r="CV118" s="59">
        <f t="shared" ca="1" si="264"/>
        <v>-274047.14654050797</v>
      </c>
      <c r="CW118" s="59">
        <f t="shared" ca="1" si="264"/>
        <v>-274312.39629282645</v>
      </c>
      <c r="CX118" s="59">
        <f t="shared" ca="1" si="264"/>
        <v>-274569.31165058928</v>
      </c>
      <c r="CY118" s="59">
        <f t="shared" ca="1" si="264"/>
        <v>-274817.86231980118</v>
      </c>
      <c r="CZ118" s="59">
        <f t="shared" ca="1" si="264"/>
        <v>-275058.01603664836</v>
      </c>
      <c r="DA118" s="59">
        <f t="shared" ca="1" si="264"/>
        <v>-275289.73854174087</v>
      </c>
      <c r="DB118" s="59">
        <f t="shared" ca="1" si="264"/>
        <v>-275512.9935537047</v>
      </c>
      <c r="DC118" s="59">
        <f t="shared" ca="1" si="264"/>
        <v>-275727.74274210946</v>
      </c>
      <c r="DD118" s="59">
        <f t="shared" ca="1" si="264"/>
        <v>-275933.94569972198</v>
      </c>
      <c r="DE118" s="59">
        <f t="shared" ca="1" si="264"/>
        <v>-276131.55991407199</v>
      </c>
      <c r="DF118" s="59">
        <f t="shared" ca="1" si="264"/>
        <v>-276320.54073831841</v>
      </c>
      <c r="DG118" s="59">
        <f t="shared" ca="1" si="264"/>
        <v>-276500.84136140312</v>
      </c>
      <c r="DH118" s="59">
        <f t="shared" ca="1" si="264"/>
        <v>-276672.41277747927</v>
      </c>
      <c r="DI118" s="59">
        <f t="shared" ca="1" si="264"/>
        <v>-276835.20375460153</v>
      </c>
      <c r="DJ118" s="59">
        <f t="shared" ca="1" si="264"/>
        <v>-276989.16080266342</v>
      </c>
      <c r="DK118" s="59">
        <f t="shared" ca="1" si="264"/>
        <v>-277134.22814056987</v>
      </c>
      <c r="DL118" s="59">
        <f t="shared" ca="1" si="264"/>
        <v>-277270.34766262886</v>
      </c>
      <c r="DM118" s="59">
        <f t="shared" ca="1" si="264"/>
        <v>-277397.45890414948</v>
      </c>
      <c r="DN118" s="59">
        <f t="shared" ca="1" si="264"/>
        <v>-277515.49900623085</v>
      </c>
      <c r="DO118" s="59">
        <f t="shared" ca="1" si="264"/>
        <v>-277624.40267972683</v>
      </c>
      <c r="DP118" s="59">
        <f t="shared" ca="1" si="264"/>
        <v>-277724.10216837196</v>
      </c>
      <c r="DQ118" s="59">
        <f t="shared" ca="1" si="264"/>
        <v>-277814.52721105242</v>
      </c>
      <c r="DR118" s="59">
        <f t="shared" ca="1" si="264"/>
        <v>-277895.60500320641</v>
      </c>
      <c r="DS118" s="59">
        <f t="shared" ca="1" si="264"/>
        <v>-277967.26015733712</v>
      </c>
      <c r="DT118" s="59">
        <f t="shared" ca="1" si="264"/>
        <v>-278029.41466262267</v>
      </c>
      <c r="DU118" s="59">
        <f t="shared" ca="1" si="264"/>
        <v>-278081.98784360552</v>
      </c>
      <c r="DV118" s="59">
        <f t="shared" ca="1" si="264"/>
        <v>-278124.8963179437</v>
      </c>
      <c r="DW118" s="59">
        <f t="shared" ca="1" si="264"/>
        <v>-278158.05395320704</v>
      </c>
      <c r="DX118" s="59">
        <f t="shared" ca="1" si="264"/>
        <v>-278181.37182269944</v>
      </c>
      <c r="DY118" s="59">
        <f t="shared" ca="1" si="264"/>
        <v>-278194.75816029048</v>
      </c>
    </row>
    <row r="119" spans="1:129" s="19" customFormat="1" outlineLevel="2">
      <c r="A119" s="20"/>
      <c r="C119" s="9" t="str">
        <f>'Model Assumptions'!$J$24</f>
        <v>Product 4</v>
      </c>
      <c r="D119" s="9"/>
      <c r="E119" s="30"/>
      <c r="F119" s="5"/>
      <c r="G119" s="14"/>
      <c r="H119" s="14"/>
      <c r="I119" s="14"/>
      <c r="J119" s="59">
        <f t="shared" ref="J119:AO119" si="265">-((_LostP4+_RepossessedP4)*(_ContractPriceP4-_DP_P4)*(_Receivablewriteoffrate))</f>
        <v>-57600</v>
      </c>
      <c r="K119" s="59">
        <f t="shared" ca="1" si="265"/>
        <v>-59243.735215856403</v>
      </c>
      <c r="L119" s="59">
        <f t="shared" ca="1" si="265"/>
        <v>-60949.36907955425</v>
      </c>
      <c r="M119" s="59">
        <f t="shared" ca="1" si="265"/>
        <v>-62717.849324615105</v>
      </c>
      <c r="N119" s="59">
        <f t="shared" ca="1" si="265"/>
        <v>-64550.145541625367</v>
      </c>
      <c r="O119" s="59">
        <f t="shared" ca="1" si="265"/>
        <v>-66447.2495863535</v>
      </c>
      <c r="P119" s="59">
        <f t="shared" ca="1" si="265"/>
        <v>-68410.175996320133</v>
      </c>
      <c r="Q119" s="59">
        <f t="shared" ca="1" si="265"/>
        <v>-70439.962415986563</v>
      </c>
      <c r="R119" s="59">
        <f t="shared" ca="1" si="265"/>
        <v>-72537.67003073181</v>
      </c>
      <c r="S119" s="59">
        <f t="shared" ca="1" si="265"/>
        <v>-74704.384009790578</v>
      </c>
      <c r="T119" s="59">
        <f t="shared" ca="1" si="265"/>
        <v>-76941.213958328924</v>
      </c>
      <c r="U119" s="59">
        <f t="shared" ca="1" si="265"/>
        <v>-79249.294378837512</v>
      </c>
      <c r="V119" s="59">
        <f t="shared" ca="1" si="265"/>
        <v>-71426.061999272497</v>
      </c>
      <c r="W119" s="59">
        <f t="shared" ca="1" si="265"/>
        <v>-73573.387971478878</v>
      </c>
      <c r="X119" s="59">
        <f t="shared" ca="1" si="265"/>
        <v>-75786.171049529672</v>
      </c>
      <c r="Y119" s="59">
        <f t="shared" ca="1" si="265"/>
        <v>-78065.49526967782</v>
      </c>
      <c r="Z119" s="59">
        <f t="shared" ca="1" si="265"/>
        <v>-80412.468599959844</v>
      </c>
      <c r="AA119" s="59">
        <f t="shared" ca="1" si="265"/>
        <v>-82828.223396321177</v>
      </c>
      <c r="AB119" s="59">
        <f t="shared" ca="1" si="265"/>
        <v>-85313.916868088578</v>
      </c>
      <c r="AC119" s="59">
        <f t="shared" ca="1" si="265"/>
        <v>-87870.731552975456</v>
      </c>
      <c r="AD119" s="59">
        <f t="shared" ca="1" si="265"/>
        <v>-90499.875801807342</v>
      </c>
      <c r="AE119" s="59">
        <f t="shared" ca="1" si="265"/>
        <v>-93202.584273160639</v>
      </c>
      <c r="AF119" s="59">
        <f t="shared" ca="1" si="265"/>
        <v>-95980.118438110367</v>
      </c>
      <c r="AG119" s="59">
        <f t="shared" ca="1" si="265"/>
        <v>-98833.767095286705</v>
      </c>
      <c r="AH119" s="59">
        <f t="shared" ca="1" si="265"/>
        <v>-87227.011625524261</v>
      </c>
      <c r="AI119" s="59">
        <f t="shared" ca="1" si="265"/>
        <v>-88902.478474703035</v>
      </c>
      <c r="AJ119" s="59">
        <f t="shared" ca="1" si="265"/>
        <v>-90614.14541475536</v>
      </c>
      <c r="AK119" s="59">
        <f t="shared" ca="1" si="265"/>
        <v>-92362.709539959804</v>
      </c>
      <c r="AL119" s="59">
        <f t="shared" ca="1" si="265"/>
        <v>-94148.882155555882</v>
      </c>
      <c r="AM119" s="59">
        <f t="shared" ca="1" si="265"/>
        <v>-95973.38905927258</v>
      </c>
      <c r="AN119" s="59">
        <f t="shared" ca="1" si="265"/>
        <v>-97836.970828514211</v>
      </c>
      <c r="AO119" s="59">
        <f t="shared" ca="1" si="265"/>
        <v>-99740.383113316755</v>
      </c>
      <c r="AP119" s="59">
        <f t="shared" ref="AP119:BU119" ca="1" si="266">-((_LostP4+_RepossessedP4)*(_ContractPriceP4-_DP_P4)*(_Receivablewriteoffrate))</f>
        <v>-101684.39693518968</v>
      </c>
      <c r="AQ119" s="59">
        <f t="shared" ca="1" si="266"/>
        <v>-103669.79899196065</v>
      </c>
      <c r="AR119" s="59">
        <f t="shared" ca="1" si="266"/>
        <v>-105697.39196874303</v>
      </c>
      <c r="AS119" s="59">
        <f t="shared" ca="1" si="266"/>
        <v>-107767.99485514827</v>
      </c>
      <c r="AT119" s="59">
        <f t="shared" ca="1" si="266"/>
        <v>-91568.702724056639</v>
      </c>
      <c r="AU119" s="59">
        <f t="shared" ca="1" si="266"/>
        <v>-93367.991488127125</v>
      </c>
      <c r="AV119" s="59">
        <f t="shared" ca="1" si="266"/>
        <v>-95205.253563763676</v>
      </c>
      <c r="AW119" s="59">
        <f t="shared" ca="1" si="266"/>
        <v>-97081.22854183476</v>
      </c>
      <c r="AX119" s="59">
        <f t="shared" ca="1" si="266"/>
        <v>-98996.671003779833</v>
      </c>
      <c r="AY119" s="59">
        <f t="shared" ca="1" si="266"/>
        <v>-100952.35081943328</v>
      </c>
      <c r="AZ119" s="59">
        <f t="shared" ca="1" si="266"/>
        <v>-102949.05345082459</v>
      </c>
      <c r="BA119" s="59">
        <f t="shared" ca="1" si="266"/>
        <v>-104987.5802620742</v>
      </c>
      <c r="BB119" s="59">
        <f t="shared" ca="1" si="266"/>
        <v>-107068.74883550702</v>
      </c>
      <c r="BC119" s="59">
        <f t="shared" ca="1" si="266"/>
        <v>-109193.39329410713</v>
      </c>
      <c r="BD119" s="59">
        <f t="shared" ca="1" si="266"/>
        <v>-111362.36463044089</v>
      </c>
      <c r="BE119" s="59">
        <f t="shared" ca="1" si="266"/>
        <v>-113576.53104217735</v>
      </c>
      <c r="BF119" s="59">
        <f t="shared" ca="1" si="266"/>
        <v>-115836.7782743378</v>
      </c>
      <c r="BG119" s="59">
        <f t="shared" ca="1" si="266"/>
        <v>-118084.79539008494</v>
      </c>
      <c r="BH119" s="59">
        <f t="shared" ca="1" si="266"/>
        <v>-120378.59098031443</v>
      </c>
      <c r="BI119" s="59">
        <f t="shared" ca="1" si="266"/>
        <v>-122719.07243319416</v>
      </c>
      <c r="BJ119" s="59">
        <f t="shared" ca="1" si="266"/>
        <v>-125107.16536646872</v>
      </c>
      <c r="BK119" s="59">
        <f t="shared" ca="1" si="266"/>
        <v>-127543.81399123267</v>
      </c>
      <c r="BL119" s="59">
        <f t="shared" ca="1" si="266"/>
        <v>-130029.9814829875</v>
      </c>
      <c r="BM119" s="59">
        <f t="shared" ca="1" si="266"/>
        <v>-132566.65036012811</v>
      </c>
      <c r="BN119" s="59">
        <f t="shared" ca="1" si="266"/>
        <v>-135154.8228700067</v>
      </c>
      <c r="BO119" s="59">
        <f t="shared" ca="1" si="266"/>
        <v>-137795.52138272609</v>
      </c>
      <c r="BP119" s="59">
        <f t="shared" ca="1" si="266"/>
        <v>-140489.78879281663</v>
      </c>
      <c r="BQ119" s="59">
        <f t="shared" ca="1" si="266"/>
        <v>-143238.68892895459</v>
      </c>
      <c r="BR119" s="59">
        <f t="shared" ca="1" si="266"/>
        <v>-146043.3069718825</v>
      </c>
      <c r="BS119" s="59">
        <f t="shared" ca="1" si="266"/>
        <v>-148747.26040285389</v>
      </c>
      <c r="BT119" s="59">
        <f t="shared" ca="1" si="266"/>
        <v>-151350.10349935779</v>
      </c>
      <c r="BU119" s="59">
        <f t="shared" ca="1" si="266"/>
        <v>-153851.36594873582</v>
      </c>
      <c r="BV119" s="59">
        <f t="shared" ref="BV119:DY119" ca="1" si="267">-((_LostP4+_RepossessedP4)*(_ContractPriceP4-_DP_P4)*(_Receivablewriteoffrate))</f>
        <v>-156250.55251313586</v>
      </c>
      <c r="BW119" s="59">
        <f t="shared" ca="1" si="267"/>
        <v>-158547.14268619812</v>
      </c>
      <c r="BX119" s="59">
        <f t="shared" ca="1" si="267"/>
        <v>-160740.59034132204</v>
      </c>
      <c r="BY119" s="59">
        <f t="shared" ca="1" si="267"/>
        <v>-162830.32337136287</v>
      </c>
      <c r="BZ119" s="59">
        <f t="shared" ca="1" si="267"/>
        <v>-164815.74331960085</v>
      </c>
      <c r="CA119" s="59">
        <f t="shared" ca="1" si="267"/>
        <v>-166696.22500182386</v>
      </c>
      <c r="CB119" s="59">
        <f t="shared" ca="1" si="267"/>
        <v>-168471.11611936148</v>
      </c>
      <c r="CC119" s="59">
        <f t="shared" ca="1" si="267"/>
        <v>-170139.73686290326</v>
      </c>
      <c r="CD119" s="59">
        <f t="shared" ca="1" si="267"/>
        <v>-171701.37950693278</v>
      </c>
      <c r="CE119" s="59">
        <f t="shared" ca="1" si="267"/>
        <v>-173150.65563462296</v>
      </c>
      <c r="CF119" s="59">
        <f t="shared" ca="1" si="267"/>
        <v>-174491.28560992214</v>
      </c>
      <c r="CG119" s="59">
        <f t="shared" ca="1" si="267"/>
        <v>-175722.47282653186</v>
      </c>
      <c r="CH119" s="59">
        <f t="shared" ca="1" si="267"/>
        <v>-176843.39098286029</v>
      </c>
      <c r="CI119" s="59">
        <f t="shared" ca="1" si="267"/>
        <v>-177853.18362574794</v>
      </c>
      <c r="CJ119" s="59">
        <f t="shared" ca="1" si="267"/>
        <v>-178750.96368369175</v>
      </c>
      <c r="CK119" s="59">
        <f t="shared" ca="1" si="267"/>
        <v>-179535.81298937072</v>
      </c>
      <c r="CL119" s="59">
        <f t="shared" ca="1" si="267"/>
        <v>-180206.78179127388</v>
      </c>
      <c r="CM119" s="59">
        <f t="shared" ca="1" si="267"/>
        <v>-180762.88825422467</v>
      </c>
      <c r="CN119" s="59">
        <f t="shared" ca="1" si="267"/>
        <v>-181203.1179485938</v>
      </c>
      <c r="CO119" s="59">
        <f t="shared" ca="1" si="267"/>
        <v>-181526.42332798819</v>
      </c>
      <c r="CP119" s="59">
        <f t="shared" ca="1" si="267"/>
        <v>-181731.72319519683</v>
      </c>
      <c r="CQ119" s="59">
        <f t="shared" ca="1" si="267"/>
        <v>-181929.26459230631</v>
      </c>
      <c r="CR119" s="59">
        <f t="shared" ca="1" si="267"/>
        <v>-182119.0109945891</v>
      </c>
      <c r="CS119" s="59">
        <f t="shared" ca="1" si="267"/>
        <v>-182300.92396037636</v>
      </c>
      <c r="CT119" s="59">
        <f t="shared" ca="1" si="267"/>
        <v>-182474.9631045835</v>
      </c>
      <c r="CU119" s="59">
        <f t="shared" ca="1" si="267"/>
        <v>-182641.08607158798</v>
      </c>
      <c r="CV119" s="59">
        <f t="shared" ca="1" si="267"/>
        <v>-182799.24850744664</v>
      </c>
      <c r="CW119" s="59">
        <f t="shared" ca="1" si="267"/>
        <v>-182949.40403144137</v>
      </c>
      <c r="CX119" s="59">
        <f t="shared" ca="1" si="267"/>
        <v>-183091.50420694065</v>
      </c>
      <c r="CY119" s="59">
        <f t="shared" ca="1" si="267"/>
        <v>-183225.49851156442</v>
      </c>
      <c r="CZ119" s="59">
        <f t="shared" ca="1" si="267"/>
        <v>-183351.33430663895</v>
      </c>
      <c r="DA119" s="59">
        <f t="shared" ca="1" si="267"/>
        <v>-183468.95680592972</v>
      </c>
      <c r="DB119" s="59">
        <f t="shared" ca="1" si="267"/>
        <v>-183578.30904363788</v>
      </c>
      <c r="DC119" s="59">
        <f t="shared" ca="1" si="267"/>
        <v>-183678.96631589351</v>
      </c>
      <c r="DD119" s="59">
        <f t="shared" ca="1" si="267"/>
        <v>-183771.21958929842</v>
      </c>
      <c r="DE119" s="59">
        <f t="shared" ca="1" si="267"/>
        <v>-183855.00495531864</v>
      </c>
      <c r="DF119" s="59">
        <f t="shared" ca="1" si="267"/>
        <v>-183930.2561855349</v>
      </c>
      <c r="DG119" s="59">
        <f t="shared" ca="1" si="267"/>
        <v>-183996.90469566241</v>
      </c>
      <c r="DH119" s="59">
        <f t="shared" ca="1" si="267"/>
        <v>-184054.87950874638</v>
      </c>
      <c r="DI119" s="59">
        <f t="shared" ca="1" si="267"/>
        <v>-184104.10721751835</v>
      </c>
      <c r="DJ119" s="59">
        <f t="shared" ca="1" si="267"/>
        <v>-184144.51194589783</v>
      </c>
      <c r="DK119" s="59">
        <f t="shared" ca="1" si="267"/>
        <v>-184176.01530962263</v>
      </c>
      <c r="DL119" s="59">
        <f t="shared" ca="1" si="267"/>
        <v>-184198.53637599191</v>
      </c>
      <c r="DM119" s="59">
        <f t="shared" ca="1" si="267"/>
        <v>-184211.99162270481</v>
      </c>
      <c r="DN119" s="59">
        <f t="shared" ca="1" si="267"/>
        <v>-184216.29489577812</v>
      </c>
      <c r="DO119" s="59">
        <f t="shared" ca="1" si="267"/>
        <v>-184220.10686970231</v>
      </c>
      <c r="DP119" s="59">
        <f t="shared" ca="1" si="267"/>
        <v>-184223.4234921406</v>
      </c>
      <c r="DQ119" s="59">
        <f t="shared" ca="1" si="267"/>
        <v>-184226.24057197286</v>
      </c>
      <c r="DR119" s="59">
        <f t="shared" ca="1" si="267"/>
        <v>-184228.55377709752</v>
      </c>
      <c r="DS119" s="59">
        <f t="shared" ca="1" si="267"/>
        <v>-184230.35863218358</v>
      </c>
      <c r="DT119" s="59">
        <f t="shared" ca="1" si="267"/>
        <v>-184231.65051637153</v>
      </c>
      <c r="DU119" s="59">
        <f t="shared" ca="1" si="267"/>
        <v>-184232.42466092343</v>
      </c>
      <c r="DV119" s="59">
        <f t="shared" ca="1" si="267"/>
        <v>-184232.67614681984</v>
      </c>
      <c r="DW119" s="59">
        <f t="shared" ca="1" si="267"/>
        <v>-184232.39990230306</v>
      </c>
      <c r="DX119" s="59">
        <f t="shared" ca="1" si="267"/>
        <v>-184231.59070036619</v>
      </c>
      <c r="DY119" s="59">
        <f t="shared" ca="1" si="267"/>
        <v>-184230.24315618604</v>
      </c>
    </row>
    <row r="120" spans="1:129" s="19" customFormat="1" outlineLevel="2">
      <c r="A120" s="20"/>
      <c r="C120" s="9" t="str">
        <f>'Model Assumptions'!$K$24</f>
        <v>Product 5</v>
      </c>
      <c r="D120" s="9"/>
      <c r="E120" s="30"/>
      <c r="F120" s="5"/>
      <c r="G120" s="14"/>
      <c r="H120" s="14"/>
      <c r="I120" s="14"/>
      <c r="J120" s="59">
        <f t="shared" ref="J120:AO120" si="268">-((_LostP5+_RepossessedP5)*(_ContractpriceP5-_DP_P5)*(_Receivablewriteoffrate))</f>
        <v>-1920</v>
      </c>
      <c r="K120" s="59">
        <f t="shared" ca="1" si="268"/>
        <v>-3802.6311738618806</v>
      </c>
      <c r="L120" s="59">
        <f t="shared" ca="1" si="268"/>
        <v>-5705.6040359851431</v>
      </c>
      <c r="M120" s="59">
        <f t="shared" ca="1" si="268"/>
        <v>-7629.4985294871703</v>
      </c>
      <c r="N120" s="59">
        <f t="shared" ca="1" si="268"/>
        <v>-9574.9044652541779</v>
      </c>
      <c r="O120" s="59">
        <f t="shared" ca="1" si="268"/>
        <v>-11542.421736607519</v>
      </c>
      <c r="P120" s="59">
        <f t="shared" ca="1" si="268"/>
        <v>-13532.660538090207</v>
      </c>
      <c r="Q120" s="59">
        <f t="shared" ca="1" si="268"/>
        <v>-15546.241588457802</v>
      </c>
      <c r="R120" s="59">
        <f t="shared" ca="1" si="268"/>
        <v>-17583.796357959454</v>
      </c>
      <c r="S120" s="59">
        <f t="shared" ca="1" si="268"/>
        <v>-19645.967299996577</v>
      </c>
      <c r="T120" s="59">
        <f t="shared" ca="1" si="268"/>
        <v>-21733.408087248423</v>
      </c>
      <c r="U120" s="59">
        <f t="shared" ca="1" si="268"/>
        <v>-23846.783852355551</v>
      </c>
      <c r="V120" s="59">
        <f t="shared" ca="1" si="268"/>
        <v>-22738.425004097215</v>
      </c>
      <c r="W120" s="59">
        <f t="shared" ca="1" si="268"/>
        <v>-24634.802170347761</v>
      </c>
      <c r="X120" s="59">
        <f t="shared" ca="1" si="268"/>
        <v>-26555.68074771906</v>
      </c>
      <c r="Y120" s="59">
        <f t="shared" ca="1" si="268"/>
        <v>-28501.685025755545</v>
      </c>
      <c r="Z120" s="59">
        <f t="shared" ca="1" si="268"/>
        <v>-30473.450437179363</v>
      </c>
      <c r="AA120" s="59">
        <f t="shared" ca="1" si="268"/>
        <v>-32471.623794179985</v>
      </c>
      <c r="AB120" s="59">
        <f t="shared" ca="1" si="268"/>
        <v>-34496.863529295464</v>
      </c>
      <c r="AC120" s="59">
        <f t="shared" ca="1" si="268"/>
        <v>-36549.839940978367</v>
      </c>
      <c r="AD120" s="59">
        <f t="shared" ca="1" si="268"/>
        <v>-38631.235443941368</v>
      </c>
      <c r="AE120" s="59">
        <f t="shared" ca="1" si="268"/>
        <v>-40741.744824379617</v>
      </c>
      <c r="AF120" s="59">
        <f t="shared" ca="1" si="268"/>
        <v>-42882.075500168445</v>
      </c>
      <c r="AG120" s="59">
        <f t="shared" ca="1" si="268"/>
        <v>-45052.947786137454</v>
      </c>
      <c r="AH120" s="59">
        <f t="shared" ca="1" si="268"/>
        <v>-40504.367283877378</v>
      </c>
      <c r="AI120" s="59">
        <f t="shared" ca="1" si="268"/>
        <v>-41419.859228410845</v>
      </c>
      <c r="AJ120" s="59">
        <f t="shared" ca="1" si="268"/>
        <v>-42352.67363318165</v>
      </c>
      <c r="AK120" s="59">
        <f t="shared" ca="1" si="268"/>
        <v>-43303.166821181076</v>
      </c>
      <c r="AL120" s="59">
        <f t="shared" ca="1" si="268"/>
        <v>-44271.70214312234</v>
      </c>
      <c r="AM120" s="59">
        <f t="shared" ca="1" si="268"/>
        <v>-45258.650118982492</v>
      </c>
      <c r="AN120" s="59">
        <f t="shared" ca="1" si="268"/>
        <v>-46264.388582365071</v>
      </c>
      <c r="AO120" s="59">
        <f t="shared" ca="1" si="268"/>
        <v>-47289.302827740488</v>
      </c>
      <c r="AP120" s="59">
        <f t="shared" ref="AP120:BU120" ca="1" si="269">-((_LostP5+_RepossessedP5)*(_ContractpriceP5-_DP_P5)*(_Receivablewriteoffrate))</f>
        <v>-48333.785760621373</v>
      </c>
      <c r="AQ120" s="59">
        <f t="shared" ca="1" si="269"/>
        <v>-49398.238050731823</v>
      </c>
      <c r="AR120" s="59">
        <f t="shared" ca="1" si="269"/>
        <v>-50483.06828823073</v>
      </c>
      <c r="AS120" s="59">
        <f t="shared" ca="1" si="269"/>
        <v>-51588.693143050004</v>
      </c>
      <c r="AT120" s="59">
        <f t="shared" ca="1" si="269"/>
        <v>-43929.614606175266</v>
      </c>
      <c r="AU120" s="59">
        <f t="shared" ca="1" si="269"/>
        <v>-44886.695634648408</v>
      </c>
      <c r="AV120" s="59">
        <f t="shared" ca="1" si="269"/>
        <v>-45862.188952440185</v>
      </c>
      <c r="AW120" s="59">
        <f t="shared" ca="1" si="269"/>
        <v>-46856.470098649508</v>
      </c>
      <c r="AX120" s="59">
        <f t="shared" ca="1" si="269"/>
        <v>-47869.922050224086</v>
      </c>
      <c r="AY120" s="59">
        <f t="shared" ca="1" si="269"/>
        <v>-48902.935371446838</v>
      </c>
      <c r="AZ120" s="59">
        <f t="shared" ca="1" si="269"/>
        <v>-49955.908366404539</v>
      </c>
      <c r="BA120" s="59">
        <f t="shared" ca="1" si="269"/>
        <v>-51029.247234498798</v>
      </c>
      <c r="BB120" s="59">
        <f t="shared" ca="1" si="269"/>
        <v>-52123.366229059946</v>
      </c>
      <c r="BC120" s="59">
        <f t="shared" ca="1" si="269"/>
        <v>-53238.687819126309</v>
      </c>
      <c r="BD120" s="59">
        <f t="shared" ca="1" si="269"/>
        <v>-54375.642854451835</v>
      </c>
      <c r="BE120" s="59">
        <f t="shared" ca="1" si="269"/>
        <v>-55534.670733807128</v>
      </c>
      <c r="BF120" s="59">
        <f t="shared" ca="1" si="269"/>
        <v>-56716.219576639545</v>
      </c>
      <c r="BG120" s="59">
        <f t="shared" ca="1" si="269"/>
        <v>-57855.305275751147</v>
      </c>
      <c r="BH120" s="59">
        <f t="shared" ca="1" si="269"/>
        <v>-59017.129440691519</v>
      </c>
      <c r="BI120" s="59">
        <f t="shared" ca="1" si="269"/>
        <v>-60202.147273258764</v>
      </c>
      <c r="BJ120" s="59">
        <f t="shared" ca="1" si="269"/>
        <v>-61410.823074962165</v>
      </c>
      <c r="BK120" s="59">
        <f t="shared" ca="1" si="269"/>
        <v>-62643.630429059594</v>
      </c>
      <c r="BL120" s="59">
        <f t="shared" ca="1" si="269"/>
        <v>-63901.052386235315</v>
      </c>
      <c r="BM120" s="59">
        <f t="shared" ca="1" si="269"/>
        <v>-65183.581653990943</v>
      </c>
      <c r="BN120" s="59">
        <f t="shared" ca="1" si="269"/>
        <v>-66491.720789823696</v>
      </c>
      <c r="BO120" s="59">
        <f t="shared" ca="1" si="269"/>
        <v>-67825.982398267923</v>
      </c>
      <c r="BP120" s="59">
        <f t="shared" ca="1" si="269"/>
        <v>-69186.889331876882</v>
      </c>
      <c r="BQ120" s="59">
        <f t="shared" ca="1" si="269"/>
        <v>-70574.97489622391</v>
      </c>
      <c r="BR120" s="59">
        <f t="shared" ca="1" si="269"/>
        <v>-71990.783059003108</v>
      </c>
      <c r="BS120" s="59">
        <f t="shared" ca="1" si="269"/>
        <v>-73356.123924390908</v>
      </c>
      <c r="BT120" s="59">
        <f t="shared" ca="1" si="269"/>
        <v>-74670.775981045968</v>
      </c>
      <c r="BU120" s="59">
        <f t="shared" ca="1" si="269"/>
        <v>-75934.505409054007</v>
      </c>
      <c r="BV120" s="59">
        <f t="shared" ref="BV120:DY120" ca="1" si="270">-((_LostP5+_RepossessedP5)*(_ContractpriceP5-_DP_P5)*(_Receivablewriteoffrate))</f>
        <v>-77147.065912539911</v>
      </c>
      <c r="BW120" s="59">
        <f t="shared" ca="1" si="270"/>
        <v>-78308.198548144035</v>
      </c>
      <c r="BX120" s="59">
        <f t="shared" ca="1" si="270"/>
        <v>-79417.631549288257</v>
      </c>
      <c r="BY120" s="59">
        <f t="shared" ca="1" si="270"/>
        <v>-80475.080146155145</v>
      </c>
      <c r="BZ120" s="59">
        <f t="shared" ca="1" si="270"/>
        <v>-81480.246381302088</v>
      </c>
      <c r="CA120" s="59">
        <f t="shared" ca="1" si="270"/>
        <v>-82432.818920831312</v>
      </c>
      <c r="CB120" s="59">
        <f t="shared" ca="1" si="270"/>
        <v>-83332.472861033661</v>
      </c>
      <c r="CC120" s="59">
        <f t="shared" ca="1" si="270"/>
        <v>-84178.869530423748</v>
      </c>
      <c r="CD120" s="59">
        <f t="shared" ca="1" si="270"/>
        <v>-84971.656287081511</v>
      </c>
      <c r="CE120" s="59">
        <f t="shared" ca="1" si="270"/>
        <v>-85705.324745274847</v>
      </c>
      <c r="CF120" s="59">
        <f t="shared" ca="1" si="270"/>
        <v>-86384.579823329186</v>
      </c>
      <c r="CG120" s="59">
        <f t="shared" ca="1" si="270"/>
        <v>-87009.024121134775</v>
      </c>
      <c r="CH120" s="59">
        <f t="shared" ca="1" si="270"/>
        <v>-87578.245381904708</v>
      </c>
      <c r="CI120" s="59">
        <f t="shared" ca="1" si="270"/>
        <v>-88091.816264128196</v>
      </c>
      <c r="CJ120" s="59">
        <f t="shared" ca="1" si="270"/>
        <v>-88549.294108271948</v>
      </c>
      <c r="CK120" s="59">
        <f t="shared" ca="1" si="270"/>
        <v>-88950.220698131598</v>
      </c>
      <c r="CL120" s="59">
        <f t="shared" ca="1" si="270"/>
        <v>-89294.122016733105</v>
      </c>
      <c r="CM120" s="59">
        <f t="shared" ca="1" si="270"/>
        <v>-89580.507996681932</v>
      </c>
      <c r="CN120" s="59">
        <f t="shared" ca="1" si="270"/>
        <v>-89808.872264855236</v>
      </c>
      <c r="CO120" s="59">
        <f t="shared" ca="1" si="270"/>
        <v>-89978.691881331193</v>
      </c>
      <c r="CP120" s="59">
        <f t="shared" ca="1" si="270"/>
        <v>-90089.42707244656</v>
      </c>
      <c r="CQ120" s="59">
        <f t="shared" ca="1" si="270"/>
        <v>-90196.202175937229</v>
      </c>
      <c r="CR120" s="59">
        <f t="shared" ca="1" si="270"/>
        <v>-90298.999737965205</v>
      </c>
      <c r="CS120" s="59">
        <f t="shared" ca="1" si="270"/>
        <v>-90397.801338136531</v>
      </c>
      <c r="CT120" s="59">
        <f t="shared" ca="1" si="270"/>
        <v>-90492.58757634506</v>
      </c>
      <c r="CU120" s="59">
        <f t="shared" ca="1" si="270"/>
        <v>-90583.338059291185</v>
      </c>
      <c r="CV120" s="59">
        <f t="shared" ca="1" si="270"/>
        <v>-90670.031386669943</v>
      </c>
      <c r="CW120" s="59">
        <f t="shared" ca="1" si="270"/>
        <v>-90752.645137022249</v>
      </c>
      <c r="CX120" s="59">
        <f t="shared" ca="1" si="270"/>
        <v>-90831.155853243268</v>
      </c>
      <c r="CY120" s="59">
        <f t="shared" ca="1" si="270"/>
        <v>-90905.539027741834</v>
      </c>
      <c r="CZ120" s="59">
        <f t="shared" ca="1" si="270"/>
        <v>-90975.769087243898</v>
      </c>
      <c r="DA120" s="59">
        <f t="shared" ca="1" si="270"/>
        <v>-91041.819377234453</v>
      </c>
      <c r="DB120" s="59">
        <f t="shared" ca="1" si="270"/>
        <v>-91103.662146030241</v>
      </c>
      <c r="DC120" s="59">
        <f t="shared" ca="1" si="270"/>
        <v>-91160.864566880584</v>
      </c>
      <c r="DD120" s="59">
        <f t="shared" ca="1" si="270"/>
        <v>-91213.79625045837</v>
      </c>
      <c r="DE120" s="59">
        <f t="shared" ca="1" si="270"/>
        <v>-91262.425929875026</v>
      </c>
      <c r="DF120" s="59">
        <f t="shared" ca="1" si="270"/>
        <v>-91306.72117142567</v>
      </c>
      <c r="DG120" s="59">
        <f t="shared" ca="1" si="270"/>
        <v>-91346.648356667516</v>
      </c>
      <c r="DH120" s="59">
        <f t="shared" ca="1" si="270"/>
        <v>-91382.172664085796</v>
      </c>
      <c r="DI120" s="59">
        <f t="shared" ca="1" si="270"/>
        <v>-91413.258050339296</v>
      </c>
      <c r="DJ120" s="59">
        <f t="shared" ca="1" si="270"/>
        <v>-91439.867231077893</v>
      </c>
      <c r="DK120" s="59">
        <f t="shared" ca="1" si="270"/>
        <v>-91461.961661323658</v>
      </c>
      <c r="DL120" s="59">
        <f t="shared" ca="1" si="270"/>
        <v>-91479.501515407828</v>
      </c>
      <c r="DM120" s="59">
        <f t="shared" ca="1" si="270"/>
        <v>-91492.44566645482</v>
      </c>
      <c r="DN120" s="59">
        <f t="shared" ca="1" si="270"/>
        <v>-91500.751665405085</v>
      </c>
      <c r="DO120" s="59">
        <f t="shared" ca="1" si="270"/>
        <v>-91508.750471156687</v>
      </c>
      <c r="DP120" s="59">
        <f t="shared" ca="1" si="270"/>
        <v>-91516.44067297742</v>
      </c>
      <c r="DQ120" s="59">
        <f t="shared" ca="1" si="270"/>
        <v>-91523.82078458913</v>
      </c>
      <c r="DR120" s="59">
        <f t="shared" ca="1" si="270"/>
        <v>-91530.889243130121</v>
      </c>
      <c r="DS120" s="59">
        <f t="shared" ca="1" si="270"/>
        <v>-91537.644408091946</v>
      </c>
      <c r="DT120" s="59">
        <f t="shared" ca="1" si="270"/>
        <v>-91544.084560230593</v>
      </c>
      <c r="DU120" s="59">
        <f t="shared" ca="1" si="270"/>
        <v>-91550.207900450769</v>
      </c>
      <c r="DV120" s="59">
        <f t="shared" ca="1" si="270"/>
        <v>-91556.012548663741</v>
      </c>
      <c r="DW120" s="59">
        <f t="shared" ca="1" si="270"/>
        <v>-91561.49654261746</v>
      </c>
      <c r="DX120" s="59">
        <f t="shared" ca="1" si="270"/>
        <v>-91566.657836699</v>
      </c>
      <c r="DY120" s="59">
        <f t="shared" ca="1" si="270"/>
        <v>-91571.494300708422</v>
      </c>
    </row>
    <row r="121" spans="1:129" s="19" customFormat="1" outlineLevel="1">
      <c r="A121" s="20"/>
      <c r="C121" s="121" t="s">
        <v>371</v>
      </c>
      <c r="D121" s="121"/>
      <c r="E121" s="65"/>
      <c r="F121" s="56" t="s">
        <v>372</v>
      </c>
      <c r="G121" s="66"/>
      <c r="H121" s="66"/>
      <c r="I121" s="66"/>
      <c r="J121" s="67">
        <f>SUM(J116:J120)</f>
        <v>-213120</v>
      </c>
      <c r="K121" s="67">
        <f t="shared" ref="K121:BV121" ca="1" si="271">SUM(K116:K120)</f>
        <v>-221030.11986834681</v>
      </c>
      <c r="L121" s="67">
        <f t="shared" ca="1" si="271"/>
        <v>-229233.23453801012</v>
      </c>
      <c r="M121" s="67">
        <f t="shared" ca="1" si="271"/>
        <v>-237733.85598097678</v>
      </c>
      <c r="N121" s="67">
        <f t="shared" ca="1" si="271"/>
        <v>-246536.59988791379</v>
      </c>
      <c r="O121" s="67">
        <f t="shared" ca="1" si="271"/>
        <v>-255646.18760774945</v>
      </c>
      <c r="P121" s="67">
        <f t="shared" ca="1" si="271"/>
        <v>-265067.44812739413</v>
      </c>
      <c r="Q121" s="67">
        <f t="shared" ca="1" si="271"/>
        <v>-274805.32009238983</v>
      </c>
      <c r="R121" s="67">
        <f t="shared" ca="1" si="271"/>
        <v>-284864.85386929405</v>
      </c>
      <c r="S121" s="67">
        <f t="shared" ca="1" si="271"/>
        <v>-295251.21365061885</v>
      </c>
      <c r="T121" s="67">
        <f t="shared" ca="1" si="271"/>
        <v>-305969.67960316379</v>
      </c>
      <c r="U121" s="67">
        <f t="shared" ca="1" si="271"/>
        <v>-317025.6500605974</v>
      </c>
      <c r="V121" s="67">
        <f t="shared" ca="1" si="271"/>
        <v>-287371.56329101411</v>
      </c>
      <c r="W121" s="67">
        <f t="shared" ca="1" si="271"/>
        <v>-296254.08951721049</v>
      </c>
      <c r="X121" s="67">
        <f t="shared" ca="1" si="271"/>
        <v>-305351.34826122137</v>
      </c>
      <c r="Y121" s="67">
        <f t="shared" ca="1" si="271"/>
        <v>-314667.26335347007</v>
      </c>
      <c r="Z121" s="67">
        <f t="shared" ca="1" si="271"/>
        <v>-324205.84080918774</v>
      </c>
      <c r="AA121" s="67">
        <f t="shared" ca="1" si="271"/>
        <v>-333971.17043502757</v>
      </c>
      <c r="AB121" s="67">
        <f t="shared" ca="1" si="271"/>
        <v>-343967.427468182</v>
      </c>
      <c r="AC121" s="67">
        <f t="shared" ca="1" si="271"/>
        <v>-354198.87424864923</v>
      </c>
      <c r="AD121" s="67">
        <f t="shared" ca="1" si="271"/>
        <v>-364669.86192530906</v>
      </c>
      <c r="AE121" s="67">
        <f t="shared" ca="1" si="271"/>
        <v>-375384.83219647949</v>
      </c>
      <c r="AF121" s="67">
        <f t="shared" ca="1" si="271"/>
        <v>-386348.31908564089</v>
      </c>
      <c r="AG121" s="67">
        <f t="shared" ca="1" si="271"/>
        <v>-397564.95075302757</v>
      </c>
      <c r="AH121" s="67">
        <f t="shared" ca="1" si="271"/>
        <v>-350605.24400897103</v>
      </c>
      <c r="AI121" s="67">
        <f t="shared" ca="1" si="271"/>
        <v>-358655.66023267258</v>
      </c>
      <c r="AJ121" s="67">
        <f t="shared" ca="1" si="271"/>
        <v>-366884.93410072959</v>
      </c>
      <c r="AK121" s="67">
        <f t="shared" ca="1" si="271"/>
        <v>-375296.46427283017</v>
      </c>
      <c r="AL121" s="67">
        <f t="shared" ca="1" si="271"/>
        <v>-383893.71916678851</v>
      </c>
      <c r="AM121" s="67">
        <f t="shared" ca="1" si="271"/>
        <v>-392680.23833585763</v>
      </c>
      <c r="AN121" s="67">
        <f t="shared" ca="1" si="271"/>
        <v>-401659.63387376728</v>
      </c>
      <c r="AO121" s="67">
        <f t="shared" ca="1" si="271"/>
        <v>-409574.68363147607</v>
      </c>
      <c r="AP121" s="67">
        <f t="shared" ca="1" si="271"/>
        <v>-417653.77517530508</v>
      </c>
      <c r="AQ121" s="67">
        <f t="shared" ca="1" si="271"/>
        <v>-425900.13193306694</v>
      </c>
      <c r="AR121" s="67">
        <f t="shared" ca="1" si="271"/>
        <v>-434317.04237520992</v>
      </c>
      <c r="AS121" s="67">
        <f t="shared" ca="1" si="271"/>
        <v>-442907.86130992923</v>
      </c>
      <c r="AT121" s="67">
        <f t="shared" ca="1" si="271"/>
        <v>-376396.67600353278</v>
      </c>
      <c r="AU121" s="67">
        <f t="shared" ca="1" si="271"/>
        <v>-383846.31482223794</v>
      </c>
      <c r="AV121" s="67">
        <f t="shared" ca="1" si="271"/>
        <v>-391449.0718598442</v>
      </c>
      <c r="AW121" s="67">
        <f t="shared" ca="1" si="271"/>
        <v>-399207.96822630457</v>
      </c>
      <c r="AX121" s="67">
        <f t="shared" ca="1" si="271"/>
        <v>-407126.085866315</v>
      </c>
      <c r="AY121" s="67">
        <f t="shared" ca="1" si="271"/>
        <v>-415206.56877188408</v>
      </c>
      <c r="AZ121" s="67">
        <f t="shared" ca="1" si="271"/>
        <v>-423452.62421919574</v>
      </c>
      <c r="BA121" s="67">
        <f t="shared" ca="1" si="271"/>
        <v>-431867.52403024829</v>
      </c>
      <c r="BB121" s="67">
        <f t="shared" ca="1" si="271"/>
        <v>-440454.60585976869</v>
      </c>
      <c r="BC121" s="67">
        <f t="shared" ca="1" si="271"/>
        <v>-449217.27450790373</v>
      </c>
      <c r="BD121" s="67">
        <f t="shared" ca="1" si="271"/>
        <v>-458159.00325920567</v>
      </c>
      <c r="BE121" s="67">
        <f t="shared" ca="1" si="271"/>
        <v>-467283.33524843561</v>
      </c>
      <c r="BF121" s="67">
        <f t="shared" ca="1" si="271"/>
        <v>-476593.88485372311</v>
      </c>
      <c r="BG121" s="67">
        <f t="shared" ca="1" si="271"/>
        <v>-485968.98865773331</v>
      </c>
      <c r="BH121" s="67">
        <f t="shared" ca="1" si="271"/>
        <v>-495534.87734000449</v>
      </c>
      <c r="BI121" s="67">
        <f t="shared" ca="1" si="271"/>
        <v>-505295.33377008012</v>
      </c>
      <c r="BJ121" s="67">
        <f t="shared" ca="1" si="271"/>
        <v>-515254.21680317476</v>
      </c>
      <c r="BK121" s="67">
        <f t="shared" ca="1" si="271"/>
        <v>-525415.46279660461</v>
      </c>
      <c r="BL121" s="67">
        <f t="shared" ca="1" si="271"/>
        <v>-535783.0871565796</v>
      </c>
      <c r="BM121" s="67">
        <f t="shared" ca="1" si="271"/>
        <v>-546361.18591596384</v>
      </c>
      <c r="BN121" s="67">
        <f t="shared" ca="1" si="271"/>
        <v>-557153.93734362361</v>
      </c>
      <c r="BO121" s="67">
        <f t="shared" ca="1" si="271"/>
        <v>-568165.60358599329</v>
      </c>
      <c r="BP121" s="67">
        <f t="shared" ca="1" si="271"/>
        <v>-579400.53234150563</v>
      </c>
      <c r="BQ121" s="67">
        <f t="shared" ca="1" si="271"/>
        <v>-590863.15856854047</v>
      </c>
      <c r="BR121" s="67">
        <f t="shared" ca="1" si="271"/>
        <v>-602558.00622756418</v>
      </c>
      <c r="BS121" s="67">
        <f t="shared" ca="1" si="271"/>
        <v>-613663.82893277705</v>
      </c>
      <c r="BT121" s="67">
        <f t="shared" ca="1" si="271"/>
        <v>-624253.39867113461</v>
      </c>
      <c r="BU121" s="67">
        <f t="shared" ca="1" si="271"/>
        <v>-634323.77407750906</v>
      </c>
      <c r="BV121" s="67">
        <f t="shared" ca="1" si="271"/>
        <v>-643871.88112252846</v>
      </c>
      <c r="BW121" s="67">
        <f t="shared" ref="BW121:CC121" ca="1" si="272">SUM(BW116:BW120)</f>
        <v>-652894.51119766047</v>
      </c>
      <c r="BX121" s="67">
        <f t="shared" ca="1" si="272"/>
        <v>-661388.31915461516</v>
      </c>
      <c r="BY121" s="67">
        <f t="shared" ca="1" si="272"/>
        <v>-669349.82129822578</v>
      </c>
      <c r="BZ121" s="67">
        <f t="shared" ca="1" si="272"/>
        <v>-676775.39333195053</v>
      </c>
      <c r="CA121" s="67">
        <f t="shared" ca="1" si="272"/>
        <v>-683661.26825511886</v>
      </c>
      <c r="CB121" s="67">
        <f t="shared" ca="1" si="272"/>
        <v>-690003.53421103233</v>
      </c>
      <c r="CC121" s="67">
        <f t="shared" ca="1" si="272"/>
        <v>-695798.13228500274</v>
      </c>
      <c r="CD121" s="67">
        <f t="shared" ref="CD121:DY121" ca="1" si="273">SUM(CD116:CD120)</f>
        <v>-701040.85425140208</v>
      </c>
      <c r="CE121" s="67">
        <f t="shared" ca="1" si="273"/>
        <v>-705968.81420738297</v>
      </c>
      <c r="CF121" s="67">
        <f t="shared" ca="1" si="273"/>
        <v>-710589.58746210497</v>
      </c>
      <c r="CG121" s="67">
        <f t="shared" ca="1" si="273"/>
        <v>-714901.08774054714</v>
      </c>
      <c r="CH121" s="67">
        <f t="shared" ca="1" si="273"/>
        <v>-718901.14646759722</v>
      </c>
      <c r="CI121" s="67">
        <f t="shared" ca="1" si="273"/>
        <v>-722587.51152779709</v>
      </c>
      <c r="CJ121" s="67">
        <f t="shared" ca="1" si="273"/>
        <v>-725957.84599622374</v>
      </c>
      <c r="CK121" s="67">
        <f t="shared" ca="1" si="273"/>
        <v>-729009.72683997138</v>
      </c>
      <c r="CL121" s="67">
        <f t="shared" ca="1" si="273"/>
        <v>-731740.64358968684</v>
      </c>
      <c r="CM121" s="67">
        <f t="shared" ca="1" si="273"/>
        <v>-734147.99698059901</v>
      </c>
      <c r="CN121" s="67">
        <f t="shared" ca="1" si="273"/>
        <v>-736229.09756246908</v>
      </c>
      <c r="CO121" s="67">
        <f t="shared" ca="1" si="273"/>
        <v>-737981.16427788534</v>
      </c>
      <c r="CP121" s="67">
        <f t="shared" ca="1" si="273"/>
        <v>-739401.32300829957</v>
      </c>
      <c r="CQ121" s="67">
        <f t="shared" ca="1" si="273"/>
        <v>-740675.92074479035</v>
      </c>
      <c r="CR121" s="67">
        <f t="shared" ca="1" si="273"/>
        <v>-741803.78636479576</v>
      </c>
      <c r="CS121" s="67">
        <f t="shared" ca="1" si="273"/>
        <v>-742783.70746669825</v>
      </c>
      <c r="CT121" s="67">
        <f t="shared" ca="1" si="273"/>
        <v>-743614.43017844064</v>
      </c>
      <c r="CU121" s="67">
        <f t="shared" ca="1" si="273"/>
        <v>-744294.6585003417</v>
      </c>
      <c r="CV121" s="67">
        <f t="shared" ca="1" si="273"/>
        <v>-744823.05363304575</v>
      </c>
      <c r="CW121" s="67">
        <f t="shared" ca="1" si="273"/>
        <v>-745323.54090819997</v>
      </c>
      <c r="CX121" s="67">
        <f t="shared" ca="1" si="273"/>
        <v>-745801.58827148715</v>
      </c>
      <c r="CY121" s="67">
        <f t="shared" ca="1" si="273"/>
        <v>-746257.0714212436</v>
      </c>
      <c r="CZ121" s="67">
        <f t="shared" ca="1" si="273"/>
        <v>-746689.86032480665</v>
      </c>
      <c r="DA121" s="67">
        <f t="shared" ca="1" si="273"/>
        <v>-747099.81913634413</v>
      </c>
      <c r="DB121" s="67">
        <f t="shared" ca="1" si="273"/>
        <v>-747486.80611271714</v>
      </c>
      <c r="DC121" s="67">
        <f t="shared" ca="1" si="273"/>
        <v>-747851.87819667149</v>
      </c>
      <c r="DD121" s="67">
        <f t="shared" ca="1" si="273"/>
        <v>-748195.65336847235</v>
      </c>
      <c r="DE121" s="67">
        <f t="shared" ca="1" si="273"/>
        <v>-748517.99167341506</v>
      </c>
      <c r="DF121" s="67">
        <f t="shared" ca="1" si="273"/>
        <v>-748818.74749786523</v>
      </c>
      <c r="DG121" s="67">
        <f t="shared" ca="1" si="273"/>
        <v>-749097.76948467898</v>
      </c>
      <c r="DH121" s="67">
        <f t="shared" ca="1" si="273"/>
        <v>-749354.90044664487</v>
      </c>
      <c r="DI121" s="67">
        <f t="shared" ca="1" si="273"/>
        <v>-749589.97727791208</v>
      </c>
      <c r="DJ121" s="67">
        <f t="shared" ca="1" si="273"/>
        <v>-749802.83086336544</v>
      </c>
      <c r="DK121" s="67">
        <f t="shared" ca="1" si="273"/>
        <v>-749993.28598591348</v>
      </c>
      <c r="DL121" s="67">
        <f t="shared" ca="1" si="273"/>
        <v>-750161.16123164399</v>
      </c>
      <c r="DM121" s="67">
        <f t="shared" ca="1" si="273"/>
        <v>-750306.26889281347</v>
      </c>
      <c r="DN121" s="67">
        <f t="shared" ca="1" si="273"/>
        <v>-750428.41486862546</v>
      </c>
      <c r="DO121" s="67">
        <f t="shared" ca="1" si="273"/>
        <v>-750540.69780478696</v>
      </c>
      <c r="DP121" s="67">
        <f t="shared" ca="1" si="273"/>
        <v>-750643.04350367677</v>
      </c>
      <c r="DQ121" s="67">
        <f t="shared" ca="1" si="273"/>
        <v>-750735.37504950922</v>
      </c>
      <c r="DR121" s="67">
        <f t="shared" ca="1" si="273"/>
        <v>-750817.61276989337</v>
      </c>
      <c r="DS121" s="67">
        <f t="shared" ca="1" si="273"/>
        <v>-750889.67419288424</v>
      </c>
      <c r="DT121" s="67">
        <f t="shared" ca="1" si="273"/>
        <v>-750951.47400305164</v>
      </c>
      <c r="DU121" s="67">
        <f t="shared" ca="1" si="273"/>
        <v>-751002.92399655224</v>
      </c>
      <c r="DV121" s="67">
        <f t="shared" ca="1" si="273"/>
        <v>-751043.93303518125</v>
      </c>
      <c r="DW121" s="67">
        <f t="shared" ca="1" si="273"/>
        <v>-751074.40699938871</v>
      </c>
      <c r="DX121" s="67">
        <f t="shared" ca="1" si="273"/>
        <v>-751094.24874023802</v>
      </c>
      <c r="DY121" s="67">
        <f t="shared" ca="1" si="273"/>
        <v>-751103.35803028848</v>
      </c>
    </row>
    <row r="122" spans="1:129" s="19" customFormat="1" outlineLevel="1">
      <c r="A122" s="20"/>
      <c r="C122" s="121"/>
      <c r="D122" s="121"/>
      <c r="E122" s="65"/>
      <c r="F122" s="56"/>
      <c r="G122" s="66"/>
      <c r="H122" s="66"/>
      <c r="I122" s="66"/>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row>
    <row r="123" spans="1:129" s="19" customFormat="1" outlineLevel="1">
      <c r="A123" s="20"/>
      <c r="C123" s="76" t="s">
        <v>367</v>
      </c>
      <c r="D123" s="65"/>
      <c r="E123" s="65"/>
      <c r="F123" s="56" t="s">
        <v>370</v>
      </c>
      <c r="G123" s="66"/>
      <c r="H123" s="66"/>
      <c r="I123" s="66"/>
      <c r="J123" s="67">
        <f ca="1">J113+J121</f>
        <v>2504580.5290602576</v>
      </c>
      <c r="K123" s="67">
        <f ca="1">K113+K121</f>
        <v>2548384.4091919111</v>
      </c>
      <c r="L123" s="67">
        <f ca="1">L113+L121</f>
        <v>2592929.5745222471</v>
      </c>
      <c r="M123" s="67">
        <f ca="1">M113+M121</f>
        <v>2638232.1986792809</v>
      </c>
      <c r="N123" s="67">
        <f t="shared" ref="N123:BV123" ca="1" si="274">N113+N121</f>
        <v>2684308.7652843446</v>
      </c>
      <c r="O123" s="67">
        <f t="shared" ca="1" si="274"/>
        <v>2731176.0742867487</v>
      </c>
      <c r="P123" s="67">
        <f t="shared" ca="1" si="274"/>
        <v>2778851.2484237887</v>
      </c>
      <c r="Q123" s="67">
        <f t="shared" ca="1" si="274"/>
        <v>2827351.739808612</v>
      </c>
      <c r="R123" s="67">
        <f t="shared" ca="1" si="274"/>
        <v>2876695.3366485219</v>
      </c>
      <c r="S123" s="67">
        <f t="shared" ca="1" si="274"/>
        <v>2926900.170096349</v>
      </c>
      <c r="T123" s="67">
        <f t="shared" ca="1" si="274"/>
        <v>2977984.7212375384</v>
      </c>
      <c r="U123" s="67">
        <f t="shared" ca="1" si="274"/>
        <v>3029967.8282157136</v>
      </c>
      <c r="V123" s="67">
        <f t="shared" ca="1" si="274"/>
        <v>3148862.3962506796</v>
      </c>
      <c r="W123" s="67">
        <f t="shared" ca="1" si="274"/>
        <v>3207518.6093378561</v>
      </c>
      <c r="X123" s="67">
        <f t="shared" ca="1" si="274"/>
        <v>3267310.8646934852</v>
      </c>
      <c r="Y123" s="67">
        <f t="shared" ca="1" si="274"/>
        <v>3328262.2539828694</v>
      </c>
      <c r="Z123" s="67">
        <f t="shared" ca="1" si="274"/>
        <v>3390396.3269964173</v>
      </c>
      <c r="AA123" s="67">
        <f t="shared" ca="1" si="274"/>
        <v>3453737.1008492284</v>
      </c>
      <c r="AB123" s="67">
        <f t="shared" ca="1" si="274"/>
        <v>3518309.0693642977</v>
      </c>
      <c r="AC123" s="67">
        <f t="shared" ca="1" si="274"/>
        <v>3584137.2126430199</v>
      </c>
      <c r="AD123" s="67">
        <f t="shared" ca="1" si="274"/>
        <v>3651247.0068267314</v>
      </c>
      <c r="AE123" s="67">
        <f t="shared" ca="1" si="274"/>
        <v>3719664.4340531398</v>
      </c>
      <c r="AF123" s="67">
        <f t="shared" ca="1" si="274"/>
        <v>3789415.9926115097</v>
      </c>
      <c r="AG123" s="67">
        <f t="shared" ca="1" si="274"/>
        <v>3860528.7073006043</v>
      </c>
      <c r="AH123" s="67">
        <f t="shared" ca="1" si="274"/>
        <v>4031870.9744002284</v>
      </c>
      <c r="AI123" s="67">
        <f t="shared" ca="1" si="274"/>
        <v>4110899.2817914467</v>
      </c>
      <c r="AJ123" s="67">
        <f t="shared" ca="1" si="274"/>
        <v>4191490.3060106058</v>
      </c>
      <c r="AK123" s="67">
        <f t="shared" ca="1" si="274"/>
        <v>4273675.4798874669</v>
      </c>
      <c r="AL123" s="67">
        <f t="shared" ca="1" si="274"/>
        <v>4357486.8631234486</v>
      </c>
      <c r="AM123" s="67">
        <f t="shared" ca="1" si="274"/>
        <v>4442957.1548469178</v>
      </c>
      <c r="AN123" s="67">
        <f t="shared" ca="1" si="274"/>
        <v>4555610.2891925247</v>
      </c>
      <c r="AO123" s="67">
        <f t="shared" ca="1" si="274"/>
        <v>4646748.4131263355</v>
      </c>
      <c r="AP123" s="67">
        <f t="shared" ca="1" si="274"/>
        <v>4739703.5587478559</v>
      </c>
      <c r="AQ123" s="67">
        <f t="shared" ca="1" si="274"/>
        <v>4834512.123898752</v>
      </c>
      <c r="AR123" s="67">
        <f t="shared" ca="1" si="274"/>
        <v>4931211.233803439</v>
      </c>
      <c r="AS123" s="67">
        <f t="shared" ca="1" si="274"/>
        <v>5029838.7556224857</v>
      </c>
      <c r="AT123" s="67">
        <f t="shared" ca="1" si="274"/>
        <v>5205908.6015151665</v>
      </c>
      <c r="AU123" s="67">
        <f t="shared" ca="1" si="274"/>
        <v>5310024.2677926999</v>
      </c>
      <c r="AV123" s="67">
        <f t="shared" ca="1" si="274"/>
        <v>5416218.1219532574</v>
      </c>
      <c r="AW123" s="67">
        <f t="shared" ca="1" si="274"/>
        <v>5524531.7690089243</v>
      </c>
      <c r="AX123" s="67">
        <f t="shared" ca="1" si="274"/>
        <v>5635007.645659483</v>
      </c>
      <c r="AY123" s="67">
        <f t="shared" ca="1" si="274"/>
        <v>5747689.0369302947</v>
      </c>
      <c r="AZ123" s="67">
        <f t="shared" ca="1" si="274"/>
        <v>5862620.0931428913</v>
      </c>
      <c r="BA123" s="67">
        <f t="shared" ca="1" si="274"/>
        <v>5979845.8472249443</v>
      </c>
      <c r="BB123" s="67">
        <f t="shared" ca="1" si="274"/>
        <v>6099412.2323663924</v>
      </c>
      <c r="BC123" s="67">
        <f t="shared" ca="1" si="274"/>
        <v>6221366.1000286462</v>
      </c>
      <c r="BD123" s="67">
        <f t="shared" ca="1" si="274"/>
        <v>6345755.2383139404</v>
      </c>
      <c r="BE123" s="67">
        <f t="shared" ca="1" si="274"/>
        <v>6472628.3907020371</v>
      </c>
      <c r="BF123" s="67">
        <f t="shared" ca="1" si="274"/>
        <v>6605053.6147138355</v>
      </c>
      <c r="BG123" s="67">
        <f t="shared" ca="1" si="274"/>
        <v>6737269.8768768627</v>
      </c>
      <c r="BH123" s="67">
        <f t="shared" ca="1" si="274"/>
        <v>6872127.1814809693</v>
      </c>
      <c r="BI123" s="67">
        <f t="shared" ca="1" si="274"/>
        <v>7009678.3822029987</v>
      </c>
      <c r="BJ123" s="67">
        <f t="shared" ca="1" si="274"/>
        <v>7149977.3894650517</v>
      </c>
      <c r="BK123" s="67">
        <f t="shared" ca="1" si="274"/>
        <v>7293079.1915726718</v>
      </c>
      <c r="BL123" s="67">
        <f t="shared" ca="1" si="274"/>
        <v>7439039.8762757685</v>
      </c>
      <c r="BM123" s="67">
        <f t="shared" ca="1" si="274"/>
        <v>7587916.652760718</v>
      </c>
      <c r="BN123" s="67">
        <f t="shared" ca="1" si="274"/>
        <v>7739767.8740822785</v>
      </c>
      <c r="BO123" s="67">
        <f t="shared" ca="1" si="274"/>
        <v>7894653.0600441126</v>
      </c>
      <c r="BP123" s="67">
        <f t="shared" ca="1" si="274"/>
        <v>8052632.9205368878</v>
      </c>
      <c r="BQ123" s="67">
        <f t="shared" ca="1" si="274"/>
        <v>8213769.3793431073</v>
      </c>
      <c r="BR123" s="67">
        <f t="shared" ca="1" si="274"/>
        <v>8213664.4163674153</v>
      </c>
      <c r="BS123" s="67">
        <f t="shared" ca="1" si="274"/>
        <v>8212528.6871613786</v>
      </c>
      <c r="BT123" s="67">
        <f t="shared" ca="1" si="274"/>
        <v>8212108.6127921799</v>
      </c>
      <c r="BU123" s="67">
        <f t="shared" ca="1" si="274"/>
        <v>8212411.1226623487</v>
      </c>
      <c r="BV123" s="67">
        <f t="shared" ca="1" si="274"/>
        <v>8213443.3585994011</v>
      </c>
      <c r="BW123" s="67">
        <f t="shared" ref="BW123:CC123" ca="1" si="275">BW113+BW121</f>
        <v>8215212.6783659831</v>
      </c>
      <c r="BX123" s="67">
        <f t="shared" ca="1" si="275"/>
        <v>8217726.6592475763</v>
      </c>
      <c r="BY123" s="67">
        <f t="shared" ca="1" si="275"/>
        <v>8220993.1017192872</v>
      </c>
      <c r="BZ123" s="67">
        <f t="shared" ca="1" si="275"/>
        <v>8225020.0331931897</v>
      </c>
      <c r="CA123" s="67">
        <f t="shared" ca="1" si="275"/>
        <v>8229815.7118477998</v>
      </c>
      <c r="CB123" s="67">
        <f t="shared" ca="1" si="275"/>
        <v>8235388.6305412203</v>
      </c>
      <c r="CC123" s="67">
        <f t="shared" ca="1" si="275"/>
        <v>8241747.5208095703</v>
      </c>
      <c r="CD123" s="67">
        <f t="shared" ref="CD123:DY123" ca="1" si="276">CD113+CD121</f>
        <v>8242855.4400370726</v>
      </c>
      <c r="CE123" s="67">
        <f t="shared" ca="1" si="276"/>
        <v>8244172.2274813093</v>
      </c>
      <c r="CF123" s="67">
        <f t="shared" ca="1" si="276"/>
        <v>8245921.0965748113</v>
      </c>
      <c r="CG123" s="67">
        <f t="shared" ca="1" si="276"/>
        <v>8248106.6314915558</v>
      </c>
      <c r="CH123" s="67">
        <f t="shared" ca="1" si="276"/>
        <v>8250733.5486635948</v>
      </c>
      <c r="CI123" s="67">
        <f t="shared" ca="1" si="276"/>
        <v>8253806.6990204677</v>
      </c>
      <c r="CJ123" s="67">
        <f t="shared" ca="1" si="276"/>
        <v>8257331.0702774562</v>
      </c>
      <c r="CK123" s="67">
        <f t="shared" ca="1" si="276"/>
        <v>8261311.7892736299</v>
      </c>
      <c r="CL123" s="67">
        <f t="shared" ca="1" si="276"/>
        <v>8265754.1243606359</v>
      </c>
      <c r="CM123" s="67">
        <f t="shared" ca="1" si="276"/>
        <v>8270663.4878431754</v>
      </c>
      <c r="CN123" s="67">
        <f t="shared" ca="1" si="276"/>
        <v>8276045.4384722319</v>
      </c>
      <c r="CO123" s="67">
        <f t="shared" ca="1" si="276"/>
        <v>8281905.6839919575</v>
      </c>
      <c r="CP123" s="67">
        <f t="shared" ca="1" si="276"/>
        <v>8283671.862351927</v>
      </c>
      <c r="CQ123" s="67">
        <f t="shared" ca="1" si="276"/>
        <v>8285647.3170568543</v>
      </c>
      <c r="CR123" s="67">
        <f t="shared" ca="1" si="276"/>
        <v>8287834.504927095</v>
      </c>
      <c r="CS123" s="67">
        <f t="shared" ca="1" si="276"/>
        <v>8290235.9383852417</v>
      </c>
      <c r="CT123" s="67">
        <f t="shared" ca="1" si="276"/>
        <v>8292854.1973247491</v>
      </c>
      <c r="CU123" s="67">
        <f t="shared" ca="1" si="276"/>
        <v>8295691.9302871246</v>
      </c>
      <c r="CV123" s="67">
        <f t="shared" ca="1" si="276"/>
        <v>8295711.9856751896</v>
      </c>
      <c r="CW123" s="67">
        <f t="shared" ca="1" si="276"/>
        <v>8295634.0630746754</v>
      </c>
      <c r="CX123" s="67">
        <f t="shared" ca="1" si="276"/>
        <v>8295587.0316795185</v>
      </c>
      <c r="CY123" s="67">
        <f t="shared" ca="1" si="276"/>
        <v>8295571.1848172564</v>
      </c>
      <c r="CZ123" s="67">
        <f t="shared" ca="1" si="276"/>
        <v>8295586.8249269398</v>
      </c>
      <c r="DA123" s="67">
        <f t="shared" ca="1" si="276"/>
        <v>8295634.26370891</v>
      </c>
      <c r="DB123" s="67">
        <f t="shared" ca="1" si="276"/>
        <v>8295682.9930562349</v>
      </c>
      <c r="DC123" s="67">
        <f t="shared" ca="1" si="276"/>
        <v>8295744.0617455728</v>
      </c>
      <c r="DD123" s="67">
        <f t="shared" ca="1" si="276"/>
        <v>8295834.9501625327</v>
      </c>
      <c r="DE123" s="67">
        <f t="shared" ca="1" si="276"/>
        <v>8295955.9687181246</v>
      </c>
      <c r="DF123" s="67">
        <f t="shared" ca="1" si="276"/>
        <v>8296107.4368914207</v>
      </c>
      <c r="DG123" s="67">
        <f t="shared" ca="1" si="276"/>
        <v>8296289.6833823072</v>
      </c>
      <c r="DH123" s="67">
        <f ca="1">DH113+DH121</f>
        <v>8296503.0462675979</v>
      </c>
      <c r="DI123" s="67">
        <f t="shared" ca="1" si="276"/>
        <v>8296747.8731605299</v>
      </c>
      <c r="DJ123" s="67">
        <f t="shared" ca="1" si="276"/>
        <v>8297024.52137376</v>
      </c>
      <c r="DK123" s="67">
        <f t="shared" ca="1" si="276"/>
        <v>8297333.3580858707</v>
      </c>
      <c r="DL123" s="67">
        <f t="shared" ca="1" si="276"/>
        <v>8297674.7605114896</v>
      </c>
      <c r="DM123" s="67">
        <f t="shared" ca="1" si="276"/>
        <v>8298049.1160750985</v>
      </c>
      <c r="DN123" s="67">
        <f t="shared" ca="1" si="276"/>
        <v>8298136.4936505919</v>
      </c>
      <c r="DO123" s="67">
        <f t="shared" ca="1" si="276"/>
        <v>8298237.924647267</v>
      </c>
      <c r="DP123" s="67">
        <f t="shared" ca="1" si="276"/>
        <v>8298353.5671598716</v>
      </c>
      <c r="DQ123" s="67">
        <f t="shared" ca="1" si="276"/>
        <v>8298483.5835897624</v>
      </c>
      <c r="DR123" s="67">
        <f t="shared" ca="1" si="276"/>
        <v>8298628.1408046158</v>
      </c>
      <c r="DS123" s="67">
        <f t="shared" ca="1" si="276"/>
        <v>8298787.4102155687</v>
      </c>
      <c r="DT123" s="67">
        <f t="shared" ca="1" si="276"/>
        <v>8298961.5678560222</v>
      </c>
      <c r="DU123" s="67">
        <f t="shared" ca="1" si="276"/>
        <v>8299150.7944621565</v>
      </c>
      <c r="DV123" s="67">
        <f t="shared" ca="1" si="276"/>
        <v>8299355.2755551534</v>
      </c>
      <c r="DW123" s="67">
        <f t="shared" ca="1" si="276"/>
        <v>8299575.2015252039</v>
      </c>
      <c r="DX123" s="67">
        <f t="shared" ca="1" si="276"/>
        <v>8299810.7677172991</v>
      </c>
      <c r="DY123" s="67">
        <f t="shared" ca="1" si="276"/>
        <v>8300062.1745188525</v>
      </c>
    </row>
    <row r="124" spans="1:129" s="19" customFormat="1" outlineLevel="1">
      <c r="A124" s="20"/>
      <c r="B124" s="60"/>
      <c r="C124" s="5"/>
      <c r="D124" s="30"/>
      <c r="E124" s="30"/>
      <c r="F124" s="30"/>
      <c r="G124" s="14"/>
      <c r="H124" s="14"/>
      <c r="I124" s="14"/>
      <c r="J124" s="106"/>
      <c r="K124" s="58"/>
      <c r="L124" s="106"/>
      <c r="M124" s="58"/>
      <c r="N124" s="106"/>
      <c r="O124" s="58"/>
      <c r="P124" s="106"/>
      <c r="Q124" s="106"/>
      <c r="R124" s="58"/>
      <c r="S124" s="58"/>
      <c r="T124" s="58"/>
      <c r="U124" s="58"/>
      <c r="V124" s="58"/>
      <c r="W124" s="58"/>
      <c r="X124" s="101"/>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row>
    <row r="125" spans="1:129" s="19" customFormat="1" outlineLevel="1">
      <c r="A125" s="20"/>
      <c r="B125" s="60"/>
      <c r="C125" s="5" t="s">
        <v>77</v>
      </c>
      <c r="D125" s="30"/>
      <c r="E125" s="30"/>
      <c r="F125" s="332" t="s">
        <v>479</v>
      </c>
      <c r="G125" s="244" t="s">
        <v>628</v>
      </c>
      <c r="H125" s="435" t="str">
        <f>_VATtaxbasis</f>
        <v>Cash basis</v>
      </c>
      <c r="I125" s="14"/>
      <c r="J125" s="250">
        <f t="shared" ref="J125:AO125" ca="1" si="277">IF(_VATtaxbasis="cash basis",-(_TotalRevenueCash-(_TotalRevenueCash/(1+_VATonsales))),-(_TotalRevenueAcc-(_TotalRevenueAcc/(1+_VATonsales))))</f>
        <v>-137599.69439480477</v>
      </c>
      <c r="K125" s="250">
        <f t="shared" ca="1" si="277"/>
        <v>-141921.40395427309</v>
      </c>
      <c r="L125" s="250">
        <f t="shared" ca="1" si="277"/>
        <v>-146421.90096360096</v>
      </c>
      <c r="M125" s="250">
        <f t="shared" ca="1" si="277"/>
        <v>-151103.83763919957</v>
      </c>
      <c r="N125" s="250">
        <f t="shared" ca="1" si="277"/>
        <v>-155969.92847713293</v>
      </c>
      <c r="O125" s="250">
        <f t="shared" ca="1" si="277"/>
        <v>-161022.95140635944</v>
      </c>
      <c r="P125" s="250">
        <f t="shared" ca="1" si="277"/>
        <v>-166265.74896596023</v>
      </c>
      <c r="Q125" s="250">
        <f t="shared" ca="1" si="277"/>
        <v>-171701.2295068244</v>
      </c>
      <c r="R125" s="250">
        <f t="shared" ca="1" si="277"/>
        <v>-177332.36841827654</v>
      </c>
      <c r="S125" s="250">
        <f t="shared" ca="1" si="277"/>
        <v>-183162.20938013075</v>
      </c>
      <c r="T125" s="250">
        <f t="shared" ca="1" si="277"/>
        <v>-189193.86564067355</v>
      </c>
      <c r="U125" s="250">
        <f t="shared" ca="1" si="277"/>
        <v>-195430.52132108388</v>
      </c>
      <c r="V125" s="250">
        <f t="shared" ca="1" si="277"/>
        <v>-202127.35822439916</v>
      </c>
      <c r="W125" s="250">
        <f t="shared" ca="1" si="277"/>
        <v>-207518.76144076255</v>
      </c>
      <c r="X125" s="250">
        <f t="shared" ca="1" si="277"/>
        <v>-213037.79477953212</v>
      </c>
      <c r="Y125" s="250">
        <f t="shared" ca="1" si="277"/>
        <v>-218686.81282257522</v>
      </c>
      <c r="Z125" s="250">
        <f t="shared" ca="1" si="277"/>
        <v>-224468.21922360267</v>
      </c>
      <c r="AA125" s="250">
        <f t="shared" ca="1" si="277"/>
        <v>-230384.46766980272</v>
      </c>
      <c r="AB125" s="250">
        <f t="shared" ca="1" si="277"/>
        <v>-236438.06286290707</v>
      </c>
      <c r="AC125" s="250">
        <f t="shared" ca="1" si="277"/>
        <v>-242631.56152007449</v>
      </c>
      <c r="AD125" s="250">
        <f t="shared" ca="1" si="277"/>
        <v>-248967.57339498354</v>
      </c>
      <c r="AE125" s="250">
        <f t="shared" ca="1" si="277"/>
        <v>-255448.76231954386</v>
      </c>
      <c r="AF125" s="250">
        <f t="shared" ca="1" si="277"/>
        <v>-262077.84726662654</v>
      </c>
      <c r="AG125" s="250">
        <f t="shared" ca="1" si="277"/>
        <v>-268857.60343424138</v>
      </c>
      <c r="AH125" s="250">
        <f t="shared" ca="1" si="277"/>
        <v>-276080.29803671176</v>
      </c>
      <c r="AI125" s="250">
        <f t="shared" ca="1" si="277"/>
        <v>-282044.88484398834</v>
      </c>
      <c r="AJ125" s="250">
        <f t="shared" ca="1" si="277"/>
        <v>-288138.0252017281</v>
      </c>
      <c r="AK125" s="250">
        <f t="shared" ca="1" si="277"/>
        <v>-294362.197562797</v>
      </c>
      <c r="AL125" s="250">
        <f t="shared" ca="1" si="277"/>
        <v>-300719.9308753009</v>
      </c>
      <c r="AM125" s="250">
        <f t="shared" ca="1" si="277"/>
        <v>-307213.8055832251</v>
      </c>
      <c r="AN125" s="250">
        <f t="shared" ca="1" si="277"/>
        <v>-314041.03924850887</v>
      </c>
      <c r="AO125" s="250">
        <f t="shared" ca="1" si="277"/>
        <v>-320231.77607562393</v>
      </c>
      <c r="AP125" s="250">
        <f t="shared" ref="AP125:BU125" ca="1" si="278">IF(_VATtaxbasis="cash basis",-(_TotalRevenueCash-(_TotalRevenueCash/(1+_VATonsales))),-(_TotalRevenueAcc-(_TotalRevenueAcc/(1+_VATonsales))))</f>
        <v>-326549.8623727262</v>
      </c>
      <c r="AQ125" s="250">
        <f t="shared" ca="1" si="278"/>
        <v>-332997.80978188151</v>
      </c>
      <c r="AR125" s="250">
        <f t="shared" ca="1" si="278"/>
        <v>-339578.18053146871</v>
      </c>
      <c r="AS125" s="250">
        <f t="shared" ca="1" si="278"/>
        <v>-346293.58844437497</v>
      </c>
      <c r="AT125" s="250">
        <f t="shared" ca="1" si="278"/>
        <v>-353148.67928979173</v>
      </c>
      <c r="AU125" s="250">
        <f t="shared" ca="1" si="278"/>
        <v>-360132.27497278759</v>
      </c>
      <c r="AV125" s="250">
        <f t="shared" ca="1" si="278"/>
        <v>-367258.38287095632</v>
      </c>
      <c r="AW125" s="250">
        <f t="shared" ca="1" si="278"/>
        <v>-374529.82482558629</v>
      </c>
      <c r="AX125" s="250">
        <f t="shared" ca="1" si="278"/>
        <v>-381949.47939882195</v>
      </c>
      <c r="AY125" s="250">
        <f t="shared" ca="1" si="278"/>
        <v>-389520.28300523991</v>
      </c>
      <c r="AZ125" s="250">
        <f t="shared" ca="1" si="278"/>
        <v>-397245.2310660868</v>
      </c>
      <c r="BA125" s="250">
        <f t="shared" ca="1" si="278"/>
        <v>-405127.37918662792</v>
      </c>
      <c r="BB125" s="250">
        <f t="shared" ca="1" si="278"/>
        <v>-413169.84435707284</v>
      </c>
      <c r="BC125" s="250">
        <f t="shared" ca="1" si="278"/>
        <v>-421375.80617754441</v>
      </c>
      <c r="BD125" s="250">
        <f t="shared" ca="1" si="278"/>
        <v>-429748.50810757745</v>
      </c>
      <c r="BE125" s="250">
        <f t="shared" ca="1" si="278"/>
        <v>-438291.25874063</v>
      </c>
      <c r="BF125" s="250">
        <f t="shared" ca="1" si="278"/>
        <v>-447028.59435655735</v>
      </c>
      <c r="BG125" s="250">
        <f t="shared" ca="1" si="278"/>
        <v>-455841.17036903556</v>
      </c>
      <c r="BH125" s="250">
        <f t="shared" ca="1" si="278"/>
        <v>-464832.25310613122</v>
      </c>
      <c r="BI125" s="250">
        <f t="shared" ca="1" si="278"/>
        <v>-474005.39015029371</v>
      </c>
      <c r="BJ125" s="250">
        <f t="shared" ca="1" si="278"/>
        <v>-483364.20026114024</v>
      </c>
      <c r="BK125" s="250">
        <f t="shared" ca="1" si="278"/>
        <v>-492912.3747967463</v>
      </c>
      <c r="BL125" s="250">
        <f t="shared" ca="1" si="278"/>
        <v>-502653.67916338332</v>
      </c>
      <c r="BM125" s="250">
        <f t="shared" ca="1" si="278"/>
        <v>-512591.95429426711</v>
      </c>
      <c r="BN125" s="250">
        <f t="shared" ca="1" si="278"/>
        <v>-522731.11815791391</v>
      </c>
      <c r="BO125" s="250">
        <f t="shared" ca="1" si="278"/>
        <v>-533075.16729667783</v>
      </c>
      <c r="BP125" s="250">
        <f t="shared" ca="1" si="278"/>
        <v>-543628.17839608248</v>
      </c>
      <c r="BQ125" s="250">
        <f t="shared" ca="1" si="278"/>
        <v>-554394.3098855624</v>
      </c>
      <c r="BR125" s="250">
        <f t="shared" ca="1" si="278"/>
        <v>-563871.00736887753</v>
      </c>
      <c r="BS125" s="250">
        <f t="shared" ca="1" si="278"/>
        <v>-572812.84542097431</v>
      </c>
      <c r="BT125" s="250">
        <f t="shared" ca="1" si="278"/>
        <v>-581273.33152654581</v>
      </c>
      <c r="BU125" s="250">
        <f t="shared" ca="1" si="278"/>
        <v>-589249.44053373672</v>
      </c>
      <c r="BV125" s="250">
        <f t="shared" ref="BV125:DA125" ca="1" si="279">IF(_VATtaxbasis="cash basis",-(_TotalRevenueCash-(_TotalRevenueCash/(1+_VATonsales))),-(_TotalRevenueAcc-(_TotalRevenueAcc/(1+_VATonsales))))</f>
        <v>-596738.02076878399</v>
      </c>
      <c r="BW125" s="250">
        <f t="shared" ca="1" si="279"/>
        <v>-603735.79216576926</v>
      </c>
      <c r="BX125" s="250">
        <f t="shared" ca="1" si="279"/>
        <v>-610239.34435235616</v>
      </c>
      <c r="BY125" s="250">
        <f t="shared" ca="1" si="279"/>
        <v>-616245.13469072338</v>
      </c>
      <c r="BZ125" s="250">
        <f t="shared" ca="1" si="279"/>
        <v>-621749.48627282307</v>
      </c>
      <c r="CA125" s="250">
        <f t="shared" ca="1" si="279"/>
        <v>-626748.58586916141</v>
      </c>
      <c r="CB125" s="250">
        <f t="shared" ca="1" si="279"/>
        <v>-631238.48183019832</v>
      </c>
      <c r="CC125" s="250">
        <f t="shared" ca="1" si="279"/>
        <v>-635215.08193949796</v>
      </c>
      <c r="CD125" s="250">
        <f t="shared" ca="1" si="279"/>
        <v>-638612.34854587168</v>
      </c>
      <c r="CE125" s="250">
        <f t="shared" ca="1" si="279"/>
        <v>-641802.13502053544</v>
      </c>
      <c r="CF125" s="250">
        <f t="shared" ca="1" si="279"/>
        <v>-644790.89186892286</v>
      </c>
      <c r="CG125" s="250">
        <f t="shared" ca="1" si="279"/>
        <v>-647577.24675206747</v>
      </c>
      <c r="CH125" s="250">
        <f t="shared" ca="1" si="279"/>
        <v>-650159.77340168506</v>
      </c>
      <c r="CI125" s="250">
        <f t="shared" ca="1" si="279"/>
        <v>-652536.99080641754</v>
      </c>
      <c r="CJ125" s="250">
        <f t="shared" ca="1" si="279"/>
        <v>-654707.36237914674</v>
      </c>
      <c r="CK125" s="250">
        <f t="shared" ca="1" si="279"/>
        <v>-656669.29510503262</v>
      </c>
      <c r="CL125" s="250">
        <f t="shared" ca="1" si="279"/>
        <v>-658421.13866992109</v>
      </c>
      <c r="CM125" s="250">
        <f t="shared" ca="1" si="279"/>
        <v>-659961.18456874881</v>
      </c>
      <c r="CN125" s="250">
        <f t="shared" ca="1" si="279"/>
        <v>-661287.66519356612</v>
      </c>
      <c r="CO125" s="250">
        <f t="shared" ca="1" si="279"/>
        <v>-662398.75290081464</v>
      </c>
      <c r="CP125" s="250">
        <f t="shared" ca="1" si="279"/>
        <v>-663258.81298685633</v>
      </c>
      <c r="CQ125" s="250">
        <f t="shared" ca="1" si="279"/>
        <v>-664035.21551801544</v>
      </c>
      <c r="CR125" s="250">
        <f t="shared" ca="1" si="279"/>
        <v>-664727.29663146473</v>
      </c>
      <c r="CS125" s="250">
        <f t="shared" ca="1" si="279"/>
        <v>-665334.36839353293</v>
      </c>
      <c r="CT125" s="250">
        <f t="shared" ca="1" si="279"/>
        <v>-665855.71912692953</v>
      </c>
      <c r="CU125" s="250">
        <f t="shared" ca="1" si="279"/>
        <v>-666290.61303572077</v>
      </c>
      <c r="CV125" s="250">
        <f t="shared" ca="1" si="279"/>
        <v>-666615.08470738493</v>
      </c>
      <c r="CW125" s="250">
        <f t="shared" ca="1" si="279"/>
        <v>-666920.51498143375</v>
      </c>
      <c r="CX125" s="250">
        <f t="shared" ca="1" si="279"/>
        <v>-667210.98512925487</v>
      </c>
      <c r="CY125" s="250">
        <f t="shared" ca="1" si="279"/>
        <v>-667486.40663563926</v>
      </c>
      <c r="CZ125" s="250">
        <f t="shared" ca="1" si="279"/>
        <v>-667746.68710820191</v>
      </c>
      <c r="DA125" s="250">
        <f t="shared" ca="1" si="279"/>
        <v>-667991.73022090737</v>
      </c>
      <c r="DB125" s="250">
        <f t="shared" ref="DB125:DY125" ca="1" si="280">IF(_VATtaxbasis="cash basis",-(_TotalRevenueCash-(_TotalRevenueCash/(1+_VATonsales))),-(_TotalRevenueAcc-(_TotalRevenueAcc/(1+_VATonsales))))</f>
        <v>-668221.06667515915</v>
      </c>
      <c r="DC125" s="250">
        <f t="shared" ca="1" si="280"/>
        <v>-668436.87277120259</v>
      </c>
      <c r="DD125" s="250">
        <f t="shared" ca="1" si="280"/>
        <v>-668639.67494531628</v>
      </c>
      <c r="DE125" s="250">
        <f t="shared" ca="1" si="280"/>
        <v>-668829.38631949946</v>
      </c>
      <c r="DF125" s="250">
        <f t="shared" ca="1" si="280"/>
        <v>-669005.91654618736</v>
      </c>
      <c r="DG125" s="250">
        <f t="shared" ca="1" si="280"/>
        <v>-669169.17175618</v>
      </c>
      <c r="DH125" s="250">
        <f t="shared" ca="1" si="280"/>
        <v>-669319.05450535566</v>
      </c>
      <c r="DI125" s="250">
        <f t="shared" ca="1" si="280"/>
        <v>-669455.46372014843</v>
      </c>
      <c r="DJ125" s="250">
        <f t="shared" ca="1" si="280"/>
        <v>-669578.2946417639</v>
      </c>
      <c r="DK125" s="250">
        <f t="shared" ca="1" si="280"/>
        <v>-669687.4387691142</v>
      </c>
      <c r="DL125" s="250">
        <f t="shared" ca="1" si="280"/>
        <v>-669782.78380043991</v>
      </c>
      <c r="DM125" s="250">
        <f t="shared" ca="1" si="280"/>
        <v>-669864.21357360668</v>
      </c>
      <c r="DN125" s="250">
        <f t="shared" ca="1" si="280"/>
        <v>-669929.35434609</v>
      </c>
      <c r="DO125" s="250">
        <f t="shared" ca="1" si="280"/>
        <v>-669988.96722104866</v>
      </c>
      <c r="DP125" s="250">
        <f t="shared" ca="1" si="280"/>
        <v>-670043.00995316729</v>
      </c>
      <c r="DQ125" s="250">
        <f t="shared" ca="1" si="280"/>
        <v>-670091.43876359239</v>
      </c>
      <c r="DR125" s="250">
        <f t="shared" ca="1" si="280"/>
        <v>-670134.20832165424</v>
      </c>
      <c r="DS125" s="250">
        <f t="shared" ca="1" si="280"/>
        <v>-670171.27172058914</v>
      </c>
      <c r="DT125" s="250">
        <f t="shared" ca="1" si="280"/>
        <v>-670202.58045272063</v>
      </c>
      <c r="DU125" s="250">
        <f t="shared" ca="1" si="280"/>
        <v>-670228.08438405767</v>
      </c>
      <c r="DV125" s="250">
        <f t="shared" ca="1" si="280"/>
        <v>-670247.7317283405</v>
      </c>
      <c r="DW125" s="250">
        <f t="shared" ca="1" si="280"/>
        <v>-670261.46902048308</v>
      </c>
      <c r="DX125" s="250">
        <f t="shared" ca="1" si="280"/>
        <v>-670269.24108943529</v>
      </c>
      <c r="DY125" s="250">
        <f t="shared" ca="1" si="280"/>
        <v>-670270.99103042111</v>
      </c>
    </row>
    <row r="126" spans="1:129" s="19" customFormat="1" outlineLevel="1">
      <c r="A126" s="20"/>
      <c r="B126" s="60"/>
      <c r="C126" s="5"/>
      <c r="D126" s="30"/>
      <c r="E126" s="30"/>
      <c r="F126" s="30"/>
      <c r="G126" s="14"/>
      <c r="H126" s="14"/>
      <c r="I126" s="14"/>
      <c r="J126" s="106"/>
      <c r="K126" s="58"/>
      <c r="L126" s="106"/>
      <c r="M126" s="58"/>
      <c r="N126" s="106"/>
      <c r="O126" s="58"/>
      <c r="P126" s="106"/>
      <c r="Q126" s="106"/>
      <c r="R126" s="58"/>
      <c r="S126" s="58"/>
      <c r="T126" s="58"/>
      <c r="U126" s="58"/>
      <c r="V126" s="58"/>
      <c r="W126" s="58"/>
      <c r="X126" s="101"/>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row>
    <row r="127" spans="1:129" s="19" customFormat="1" outlineLevel="1">
      <c r="A127" s="20"/>
      <c r="B127" s="60"/>
      <c r="C127" s="68" t="s">
        <v>674</v>
      </c>
      <c r="D127" s="65"/>
      <c r="E127" s="65"/>
      <c r="F127" s="600" t="s">
        <v>676</v>
      </c>
      <c r="G127" s="66"/>
      <c r="H127" s="66"/>
      <c r="I127" s="66"/>
      <c r="J127" s="598">
        <f ca="1">J106+J125</f>
        <v>1375996.9439480475</v>
      </c>
      <c r="K127" s="598">
        <f t="shared" ref="K127:BV127" ca="1" si="281">K106+K125</f>
        <v>1419214.039542729</v>
      </c>
      <c r="L127" s="598">
        <f t="shared" ca="1" si="281"/>
        <v>1464219.0096360093</v>
      </c>
      <c r="M127" s="598">
        <f t="shared" ca="1" si="281"/>
        <v>1511038.3763919934</v>
      </c>
      <c r="N127" s="598">
        <f t="shared" ca="1" si="281"/>
        <v>1559699.2847713267</v>
      </c>
      <c r="O127" s="598">
        <f t="shared" ca="1" si="281"/>
        <v>1610229.5140635937</v>
      </c>
      <c r="P127" s="598">
        <f t="shared" ca="1" si="281"/>
        <v>1662657.4896596002</v>
      </c>
      <c r="Q127" s="598">
        <f t="shared" ca="1" si="281"/>
        <v>1717012.2950682414</v>
      </c>
      <c r="R127" s="598">
        <f t="shared" ca="1" si="281"/>
        <v>1773323.6841827631</v>
      </c>
      <c r="S127" s="598">
        <f t="shared" ca="1" si="281"/>
        <v>1831622.0938013061</v>
      </c>
      <c r="T127" s="598">
        <f t="shared" ca="1" si="281"/>
        <v>1891938.656406733</v>
      </c>
      <c r="U127" s="598">
        <f t="shared" ca="1" si="281"/>
        <v>1954305.213210837</v>
      </c>
      <c r="V127" s="598">
        <f t="shared" ca="1" si="281"/>
        <v>2021273.5822439899</v>
      </c>
      <c r="W127" s="598">
        <f t="shared" ca="1" si="281"/>
        <v>2075187.6144076234</v>
      </c>
      <c r="X127" s="598">
        <f t="shared" ca="1" si="281"/>
        <v>2130377.9477953198</v>
      </c>
      <c r="Y127" s="598">
        <f t="shared" ca="1" si="281"/>
        <v>2186868.1282257526</v>
      </c>
      <c r="Z127" s="598">
        <f t="shared" ca="1" si="281"/>
        <v>2244682.1922360258</v>
      </c>
      <c r="AA127" s="598">
        <f t="shared" ca="1" si="281"/>
        <v>2303844.6766980249</v>
      </c>
      <c r="AB127" s="598">
        <f t="shared" ca="1" si="281"/>
        <v>2364380.6286290698</v>
      </c>
      <c r="AC127" s="598">
        <f t="shared" ca="1" si="281"/>
        <v>2426315.6152007417</v>
      </c>
      <c r="AD127" s="598">
        <f t="shared" ca="1" si="281"/>
        <v>2489675.7339498349</v>
      </c>
      <c r="AE127" s="598">
        <f t="shared" ca="1" si="281"/>
        <v>2554487.6231954359</v>
      </c>
      <c r="AF127" s="598">
        <f t="shared" ca="1" si="281"/>
        <v>2620778.4726662608</v>
      </c>
      <c r="AG127" s="598">
        <f t="shared" ca="1" si="281"/>
        <v>2688576.0343424114</v>
      </c>
      <c r="AH127" s="598">
        <f t="shared" ca="1" si="281"/>
        <v>2760802.9803671176</v>
      </c>
      <c r="AI127" s="598">
        <f t="shared" ca="1" si="281"/>
        <v>2820448.8484398797</v>
      </c>
      <c r="AJ127" s="598">
        <f t="shared" ca="1" si="281"/>
        <v>2881380.2520172764</v>
      </c>
      <c r="AK127" s="598">
        <f t="shared" ca="1" si="281"/>
        <v>2943621.975627969</v>
      </c>
      <c r="AL127" s="598">
        <f t="shared" ca="1" si="281"/>
        <v>3007199.3087530043</v>
      </c>
      <c r="AM127" s="598">
        <f t="shared" ca="1" si="281"/>
        <v>3072138.0558322496</v>
      </c>
      <c r="AN127" s="598">
        <f t="shared" ca="1" si="281"/>
        <v>3140410.3924850863</v>
      </c>
      <c r="AO127" s="598">
        <f t="shared" ca="1" si="281"/>
        <v>3202317.7607562379</v>
      </c>
      <c r="AP127" s="598">
        <f t="shared" ca="1" si="281"/>
        <v>3265498.6237272616</v>
      </c>
      <c r="AQ127" s="598">
        <f t="shared" ca="1" si="281"/>
        <v>3329978.097818811</v>
      </c>
      <c r="AR127" s="598">
        <f t="shared" ca="1" si="281"/>
        <v>3395781.8053146857</v>
      </c>
      <c r="AS127" s="598">
        <f t="shared" ca="1" si="281"/>
        <v>3462935.8844437473</v>
      </c>
      <c r="AT127" s="598">
        <f t="shared" ca="1" si="281"/>
        <v>3531486.7928979117</v>
      </c>
      <c r="AU127" s="598">
        <f t="shared" ca="1" si="281"/>
        <v>3601322.7497278722</v>
      </c>
      <c r="AV127" s="598">
        <f t="shared" ca="1" si="281"/>
        <v>3672583.8287095604</v>
      </c>
      <c r="AW127" s="598">
        <f t="shared" ca="1" si="281"/>
        <v>3745298.2482558615</v>
      </c>
      <c r="AX127" s="598">
        <f t="shared" ca="1" si="281"/>
        <v>3819494.7939882162</v>
      </c>
      <c r="AY127" s="598">
        <f t="shared" ca="1" si="281"/>
        <v>3895202.8300523949</v>
      </c>
      <c r="AZ127" s="598">
        <f t="shared" ca="1" si="281"/>
        <v>3972452.3106608619</v>
      </c>
      <c r="BA127" s="598">
        <f t="shared" ca="1" si="281"/>
        <v>4051273.7918662759</v>
      </c>
      <c r="BB127" s="598">
        <f t="shared" ca="1" si="281"/>
        <v>4131698.4435707233</v>
      </c>
      <c r="BC127" s="598">
        <f t="shared" ca="1" si="281"/>
        <v>4213758.0617754394</v>
      </c>
      <c r="BD127" s="598">
        <f t="shared" ca="1" si="281"/>
        <v>4297485.0810757661</v>
      </c>
      <c r="BE127" s="598">
        <f t="shared" ca="1" si="281"/>
        <v>4382912.5874063009</v>
      </c>
      <c r="BF127" s="598">
        <f t="shared" ca="1" si="281"/>
        <v>4470285.9435655698</v>
      </c>
      <c r="BG127" s="598">
        <f t="shared" ca="1" si="281"/>
        <v>4558411.703690351</v>
      </c>
      <c r="BH127" s="598">
        <f t="shared" ca="1" si="281"/>
        <v>4648322.5310613094</v>
      </c>
      <c r="BI127" s="598">
        <f t="shared" ca="1" si="281"/>
        <v>4740053.9015029296</v>
      </c>
      <c r="BJ127" s="598">
        <f t="shared" ca="1" si="281"/>
        <v>4833642.002611394</v>
      </c>
      <c r="BK127" s="598">
        <f t="shared" ca="1" si="281"/>
        <v>4929123.7479674611</v>
      </c>
      <c r="BL127" s="598">
        <f t="shared" ca="1" si="281"/>
        <v>5026536.7916338267</v>
      </c>
      <c r="BM127" s="598">
        <f t="shared" ca="1" si="281"/>
        <v>5125919.5429426646</v>
      </c>
      <c r="BN127" s="598">
        <f t="shared" ca="1" si="281"/>
        <v>5227311.1815791344</v>
      </c>
      <c r="BO127" s="598">
        <f t="shared" ca="1" si="281"/>
        <v>5330751.6729667718</v>
      </c>
      <c r="BP127" s="598">
        <f t="shared" ca="1" si="281"/>
        <v>5436281.7839608202</v>
      </c>
      <c r="BQ127" s="598">
        <f t="shared" ca="1" si="281"/>
        <v>5543943.0988556147</v>
      </c>
      <c r="BR127" s="598">
        <f t="shared" ca="1" si="281"/>
        <v>5638710.0736887679</v>
      </c>
      <c r="BS127" s="598">
        <f t="shared" ca="1" si="281"/>
        <v>5728128.4542097384</v>
      </c>
      <c r="BT127" s="598">
        <f t="shared" ca="1" si="281"/>
        <v>5812733.3152654516</v>
      </c>
      <c r="BU127" s="598">
        <f t="shared" ca="1" si="281"/>
        <v>5892494.4053373598</v>
      </c>
      <c r="BV127" s="598">
        <f t="shared" ca="1" si="281"/>
        <v>5967380.207687838</v>
      </c>
      <c r="BW127" s="598">
        <f t="shared" ref="BW127:DY127" ca="1" si="282">BW106+BW125</f>
        <v>6037357.9216576824</v>
      </c>
      <c r="BX127" s="598">
        <f t="shared" ca="1" si="282"/>
        <v>6102393.4435235597</v>
      </c>
      <c r="BY127" s="598">
        <f t="shared" ca="1" si="282"/>
        <v>6162451.3469072245</v>
      </c>
      <c r="BZ127" s="598">
        <f t="shared" ca="1" si="282"/>
        <v>6217494.8627282232</v>
      </c>
      <c r="CA127" s="598">
        <f t="shared" ca="1" si="282"/>
        <v>6267485.8586916123</v>
      </c>
      <c r="CB127" s="598">
        <f t="shared" ca="1" si="282"/>
        <v>6312384.8183019767</v>
      </c>
      <c r="CC127" s="598">
        <f t="shared" ca="1" si="282"/>
        <v>6352150.8193949778</v>
      </c>
      <c r="CD127" s="598">
        <f t="shared" ca="1" si="282"/>
        <v>6386123.4854587121</v>
      </c>
      <c r="CE127" s="598">
        <f t="shared" ca="1" si="282"/>
        <v>6418021.3502053479</v>
      </c>
      <c r="CF127" s="598">
        <f t="shared" ca="1" si="282"/>
        <v>6447908.9186892267</v>
      </c>
      <c r="CG127" s="598">
        <f t="shared" ca="1" si="282"/>
        <v>6475772.4675206682</v>
      </c>
      <c r="CH127" s="598">
        <f t="shared" ca="1" si="282"/>
        <v>6501597.734016845</v>
      </c>
      <c r="CI127" s="598">
        <f t="shared" ca="1" si="282"/>
        <v>6525369.9080641726</v>
      </c>
      <c r="CJ127" s="598">
        <f t="shared" ca="1" si="282"/>
        <v>6547073.6237914599</v>
      </c>
      <c r="CK127" s="598">
        <f t="shared" ca="1" si="282"/>
        <v>6566692.9510503178</v>
      </c>
      <c r="CL127" s="598">
        <f t="shared" ca="1" si="282"/>
        <v>6584211.3866992071</v>
      </c>
      <c r="CM127" s="598">
        <f t="shared" ca="1" si="282"/>
        <v>6599611.8456874788</v>
      </c>
      <c r="CN127" s="598">
        <f t="shared" ca="1" si="282"/>
        <v>6612876.6519356584</v>
      </c>
      <c r="CO127" s="598">
        <f t="shared" ca="1" si="282"/>
        <v>6623987.5290081389</v>
      </c>
      <c r="CP127" s="598">
        <f t="shared" ca="1" si="282"/>
        <v>6632588.1298685595</v>
      </c>
      <c r="CQ127" s="598">
        <f t="shared" ca="1" si="282"/>
        <v>6640352.1551801469</v>
      </c>
      <c r="CR127" s="598">
        <f t="shared" ca="1" si="282"/>
        <v>6647272.9663146371</v>
      </c>
      <c r="CS127" s="598">
        <f t="shared" ca="1" si="282"/>
        <v>6653343.6839353209</v>
      </c>
      <c r="CT127" s="598">
        <f t="shared" ca="1" si="282"/>
        <v>6658557.1912692897</v>
      </c>
      <c r="CU127" s="598">
        <f t="shared" ca="1" si="282"/>
        <v>6662906.1303571984</v>
      </c>
      <c r="CV127" s="598">
        <f t="shared" ca="1" si="282"/>
        <v>6666150.84707384</v>
      </c>
      <c r="CW127" s="598">
        <f t="shared" ca="1" si="282"/>
        <v>6669205.1498143356</v>
      </c>
      <c r="CX127" s="598">
        <f t="shared" ca="1" si="282"/>
        <v>6672109.8512925422</v>
      </c>
      <c r="CY127" s="598">
        <f t="shared" ca="1" si="282"/>
        <v>6674864.0663563842</v>
      </c>
      <c r="CZ127" s="598">
        <f t="shared" ca="1" si="282"/>
        <v>6677466.8710820153</v>
      </c>
      <c r="DA127" s="598">
        <f t="shared" ca="1" si="282"/>
        <v>6679917.3022090634</v>
      </c>
      <c r="DB127" s="598">
        <f t="shared" ca="1" si="282"/>
        <v>6682210.6667515831</v>
      </c>
      <c r="DC127" s="598">
        <f t="shared" ca="1" si="282"/>
        <v>6684368.727712024</v>
      </c>
      <c r="DD127" s="598">
        <f t="shared" ca="1" si="282"/>
        <v>6686396.749453159</v>
      </c>
      <c r="DE127" s="598">
        <f t="shared" ca="1" si="282"/>
        <v>6688293.863194989</v>
      </c>
      <c r="DF127" s="598">
        <f t="shared" ca="1" si="282"/>
        <v>6690059.165461868</v>
      </c>
      <c r="DG127" s="598">
        <f t="shared" ca="1" si="282"/>
        <v>6691691.7175617926</v>
      </c>
      <c r="DH127" s="598">
        <f t="shared" ca="1" si="282"/>
        <v>6693190.545053551</v>
      </c>
      <c r="DI127" s="598">
        <f t="shared" ca="1" si="282"/>
        <v>6694554.6372014796</v>
      </c>
      <c r="DJ127" s="598">
        <f t="shared" ca="1" si="282"/>
        <v>6695782.9464176362</v>
      </c>
      <c r="DK127" s="598">
        <f t="shared" ca="1" si="282"/>
        <v>6696874.3876911364</v>
      </c>
      <c r="DL127" s="598">
        <f t="shared" ca="1" si="282"/>
        <v>6697827.8380043944</v>
      </c>
      <c r="DM127" s="598">
        <f t="shared" ca="1" si="282"/>
        <v>6698642.135736065</v>
      </c>
      <c r="DN127" s="598">
        <f t="shared" ca="1" si="282"/>
        <v>6699293.5434608944</v>
      </c>
      <c r="DO127" s="598">
        <f t="shared" ca="1" si="282"/>
        <v>6699889.6722104801</v>
      </c>
      <c r="DP127" s="598">
        <f t="shared" ca="1" si="282"/>
        <v>6700430.0995316664</v>
      </c>
      <c r="DQ127" s="598">
        <f t="shared" ca="1" si="282"/>
        <v>6700914.3876359211</v>
      </c>
      <c r="DR127" s="598">
        <f t="shared" ca="1" si="282"/>
        <v>6701342.0832165331</v>
      </c>
      <c r="DS127" s="598">
        <f t="shared" ca="1" si="282"/>
        <v>6701712.7172058905</v>
      </c>
      <c r="DT127" s="598">
        <f t="shared" ca="1" si="282"/>
        <v>6702025.804527198</v>
      </c>
      <c r="DU127" s="598">
        <f t="shared" ca="1" si="282"/>
        <v>6702280.8438405711</v>
      </c>
      <c r="DV127" s="598">
        <f t="shared" ca="1" si="282"/>
        <v>6702477.3172833966</v>
      </c>
      <c r="DW127" s="598">
        <f t="shared" ca="1" si="282"/>
        <v>6702614.690204828</v>
      </c>
      <c r="DX127" s="598">
        <f t="shared" ca="1" si="282"/>
        <v>6702692.4108943427</v>
      </c>
      <c r="DY127" s="598">
        <f t="shared" ca="1" si="282"/>
        <v>6702709.9103042074</v>
      </c>
    </row>
    <row r="128" spans="1:129" s="19" customFormat="1" outlineLevel="1">
      <c r="A128" s="20"/>
      <c r="B128" s="60"/>
      <c r="C128" s="85" t="s">
        <v>675</v>
      </c>
      <c r="D128" s="596"/>
      <c r="E128" s="596"/>
      <c r="F128" s="601" t="s">
        <v>677</v>
      </c>
      <c r="G128" s="597"/>
      <c r="H128" s="597"/>
      <c r="I128" s="597"/>
      <c r="J128" s="599">
        <f ca="1">J123+J125</f>
        <v>2366980.8346654531</v>
      </c>
      <c r="K128" s="599">
        <f t="shared" ref="K128:BV128" ca="1" si="283">K123+K125</f>
        <v>2406463.005237638</v>
      </c>
      <c r="L128" s="599">
        <f t="shared" ca="1" si="283"/>
        <v>2446507.6735586459</v>
      </c>
      <c r="M128" s="599">
        <f t="shared" ca="1" si="283"/>
        <v>2487128.3610400814</v>
      </c>
      <c r="N128" s="599">
        <f t="shared" ca="1" si="283"/>
        <v>2528338.8368072119</v>
      </c>
      <c r="O128" s="599">
        <f t="shared" ca="1" si="283"/>
        <v>2570153.122880389</v>
      </c>
      <c r="P128" s="599">
        <f t="shared" ca="1" si="283"/>
        <v>2612585.4994578287</v>
      </c>
      <c r="Q128" s="599">
        <f t="shared" ca="1" si="283"/>
        <v>2655650.5103017874</v>
      </c>
      <c r="R128" s="599">
        <f t="shared" ca="1" si="283"/>
        <v>2699362.9682302456</v>
      </c>
      <c r="S128" s="599">
        <f t="shared" ca="1" si="283"/>
        <v>2743737.9607162182</v>
      </c>
      <c r="T128" s="599">
        <f t="shared" ca="1" si="283"/>
        <v>2788790.8555968646</v>
      </c>
      <c r="U128" s="599">
        <f t="shared" ca="1" si="283"/>
        <v>2834537.3068946297</v>
      </c>
      <c r="V128" s="599">
        <f t="shared" ca="1" si="283"/>
        <v>2946735.0380262807</v>
      </c>
      <c r="W128" s="599">
        <f t="shared" ca="1" si="283"/>
        <v>2999999.8478970937</v>
      </c>
      <c r="X128" s="599">
        <f t="shared" ca="1" si="283"/>
        <v>3054273.0699139531</v>
      </c>
      <c r="Y128" s="599">
        <f t="shared" ca="1" si="283"/>
        <v>3109575.4411602942</v>
      </c>
      <c r="Z128" s="599">
        <f t="shared" ca="1" si="283"/>
        <v>3165928.1077728146</v>
      </c>
      <c r="AA128" s="599">
        <f t="shared" ca="1" si="283"/>
        <v>3223352.6331794257</v>
      </c>
      <c r="AB128" s="599">
        <f t="shared" ca="1" si="283"/>
        <v>3281871.0065013906</v>
      </c>
      <c r="AC128" s="599">
        <f t="shared" ca="1" si="283"/>
        <v>3341505.6511229454</v>
      </c>
      <c r="AD128" s="599">
        <f t="shared" ca="1" si="283"/>
        <v>3402279.4334317478</v>
      </c>
      <c r="AE128" s="599">
        <f t="shared" ca="1" si="283"/>
        <v>3464215.6717335959</v>
      </c>
      <c r="AF128" s="599">
        <f t="shared" ca="1" si="283"/>
        <v>3527338.1453448832</v>
      </c>
      <c r="AG128" s="599">
        <f t="shared" ca="1" si="283"/>
        <v>3591671.1038663629</v>
      </c>
      <c r="AH128" s="599">
        <f t="shared" ca="1" si="283"/>
        <v>3755790.6763635166</v>
      </c>
      <c r="AI128" s="599">
        <f t="shared" ca="1" si="283"/>
        <v>3828854.3969474584</v>
      </c>
      <c r="AJ128" s="599">
        <f t="shared" ca="1" si="283"/>
        <v>3903352.2808088777</v>
      </c>
      <c r="AK128" s="599">
        <f t="shared" ca="1" si="283"/>
        <v>3979313.2823246699</v>
      </c>
      <c r="AL128" s="599">
        <f t="shared" ca="1" si="283"/>
        <v>4056766.9322481477</v>
      </c>
      <c r="AM128" s="599">
        <f t="shared" ca="1" si="283"/>
        <v>4135743.3492636927</v>
      </c>
      <c r="AN128" s="599">
        <f t="shared" ca="1" si="283"/>
        <v>4241569.2499440163</v>
      </c>
      <c r="AO128" s="599">
        <f t="shared" ca="1" si="283"/>
        <v>4326516.6370507115</v>
      </c>
      <c r="AP128" s="599">
        <f t="shared" ca="1" si="283"/>
        <v>4413153.6963751297</v>
      </c>
      <c r="AQ128" s="599">
        <f t="shared" ca="1" si="283"/>
        <v>4501514.314116871</v>
      </c>
      <c r="AR128" s="599">
        <f t="shared" ca="1" si="283"/>
        <v>4591633.0532719698</v>
      </c>
      <c r="AS128" s="599">
        <f t="shared" ca="1" si="283"/>
        <v>4683545.1671781112</v>
      </c>
      <c r="AT128" s="599">
        <f t="shared" ca="1" si="283"/>
        <v>4852759.9222253747</v>
      </c>
      <c r="AU128" s="599">
        <f t="shared" ca="1" si="283"/>
        <v>4949891.9928199127</v>
      </c>
      <c r="AV128" s="599">
        <f t="shared" ca="1" si="283"/>
        <v>5048959.739082301</v>
      </c>
      <c r="AW128" s="599">
        <f t="shared" ca="1" si="283"/>
        <v>5150001.9441833384</v>
      </c>
      <c r="AX128" s="599">
        <f t="shared" ca="1" si="283"/>
        <v>5253058.1662606616</v>
      </c>
      <c r="AY128" s="599">
        <f t="shared" ca="1" si="283"/>
        <v>5358168.7539250553</v>
      </c>
      <c r="AZ128" s="599">
        <f t="shared" ca="1" si="283"/>
        <v>5465374.862076804</v>
      </c>
      <c r="BA128" s="599">
        <f t="shared" ca="1" si="283"/>
        <v>5574718.4680383168</v>
      </c>
      <c r="BB128" s="599">
        <f t="shared" ca="1" si="283"/>
        <v>5686242.3880093191</v>
      </c>
      <c r="BC128" s="599">
        <f t="shared" ca="1" si="283"/>
        <v>5799990.2938511018</v>
      </c>
      <c r="BD128" s="599">
        <f t="shared" ca="1" si="283"/>
        <v>5916006.7302063629</v>
      </c>
      <c r="BE128" s="599">
        <f t="shared" ca="1" si="283"/>
        <v>6034337.1319614071</v>
      </c>
      <c r="BF128" s="599">
        <f t="shared" ca="1" si="283"/>
        <v>6158025.0203572782</v>
      </c>
      <c r="BG128" s="599">
        <f t="shared" ca="1" si="283"/>
        <v>6281428.7065078272</v>
      </c>
      <c r="BH128" s="599">
        <f t="shared" ca="1" si="283"/>
        <v>6407294.9283748381</v>
      </c>
      <c r="BI128" s="599">
        <f t="shared" ca="1" si="283"/>
        <v>6535672.992052705</v>
      </c>
      <c r="BJ128" s="599">
        <f t="shared" ca="1" si="283"/>
        <v>6666613.1892039115</v>
      </c>
      <c r="BK128" s="599">
        <f t="shared" ca="1" si="283"/>
        <v>6800166.8167759255</v>
      </c>
      <c r="BL128" s="599">
        <f t="shared" ca="1" si="283"/>
        <v>6936386.1971123852</v>
      </c>
      <c r="BM128" s="599">
        <f t="shared" ca="1" si="283"/>
        <v>7075324.6984664509</v>
      </c>
      <c r="BN128" s="599">
        <f t="shared" ca="1" si="283"/>
        <v>7217036.7559243646</v>
      </c>
      <c r="BO128" s="599">
        <f t="shared" ca="1" si="283"/>
        <v>7361577.8927474348</v>
      </c>
      <c r="BP128" s="599">
        <f t="shared" ca="1" si="283"/>
        <v>7509004.7421408053</v>
      </c>
      <c r="BQ128" s="599">
        <f t="shared" ca="1" si="283"/>
        <v>7659375.0694575449</v>
      </c>
      <c r="BR128" s="599">
        <f t="shared" ca="1" si="283"/>
        <v>7649793.4089985378</v>
      </c>
      <c r="BS128" s="599">
        <f t="shared" ca="1" si="283"/>
        <v>7639715.8417404043</v>
      </c>
      <c r="BT128" s="599">
        <f t="shared" ca="1" si="283"/>
        <v>7630835.2812656341</v>
      </c>
      <c r="BU128" s="599">
        <f t="shared" ca="1" si="283"/>
        <v>7623161.682128612</v>
      </c>
      <c r="BV128" s="599">
        <f t="shared" ca="1" si="283"/>
        <v>7616705.3378306171</v>
      </c>
      <c r="BW128" s="599">
        <f t="shared" ref="BW128:DY128" ca="1" si="284">BW123+BW125</f>
        <v>7611476.8862002138</v>
      </c>
      <c r="BX128" s="599">
        <f t="shared" ca="1" si="284"/>
        <v>7607487.3148952201</v>
      </c>
      <c r="BY128" s="599">
        <f t="shared" ca="1" si="284"/>
        <v>7604747.9670285638</v>
      </c>
      <c r="BZ128" s="599">
        <f t="shared" ca="1" si="284"/>
        <v>7603270.5469203666</v>
      </c>
      <c r="CA128" s="599">
        <f t="shared" ca="1" si="284"/>
        <v>7603067.1259786384</v>
      </c>
      <c r="CB128" s="599">
        <f t="shared" ca="1" si="284"/>
        <v>7604150.148711022</v>
      </c>
      <c r="CC128" s="599">
        <f t="shared" ca="1" si="284"/>
        <v>7606532.4388700724</v>
      </c>
      <c r="CD128" s="599">
        <f t="shared" ca="1" si="284"/>
        <v>7604243.091491201</v>
      </c>
      <c r="CE128" s="599">
        <f t="shared" ca="1" si="284"/>
        <v>7602370.0924607739</v>
      </c>
      <c r="CF128" s="599">
        <f t="shared" ca="1" si="284"/>
        <v>7601130.2047058884</v>
      </c>
      <c r="CG128" s="599">
        <f t="shared" ca="1" si="284"/>
        <v>7600529.3847394884</v>
      </c>
      <c r="CH128" s="599">
        <f t="shared" ca="1" si="284"/>
        <v>7600573.7752619097</v>
      </c>
      <c r="CI128" s="599">
        <f t="shared" ca="1" si="284"/>
        <v>7601269.7082140502</v>
      </c>
      <c r="CJ128" s="599">
        <f t="shared" ca="1" si="284"/>
        <v>7602623.7078983095</v>
      </c>
      <c r="CK128" s="599">
        <f t="shared" ca="1" si="284"/>
        <v>7604642.4941685973</v>
      </c>
      <c r="CL128" s="599">
        <f t="shared" ca="1" si="284"/>
        <v>7607332.9856907148</v>
      </c>
      <c r="CM128" s="599">
        <f t="shared" ca="1" si="284"/>
        <v>7610702.3032744266</v>
      </c>
      <c r="CN128" s="599">
        <f t="shared" ca="1" si="284"/>
        <v>7614757.7732786657</v>
      </c>
      <c r="CO128" s="599">
        <f t="shared" ca="1" si="284"/>
        <v>7619506.9310911428</v>
      </c>
      <c r="CP128" s="599">
        <f t="shared" ca="1" si="284"/>
        <v>7620413.0493650706</v>
      </c>
      <c r="CQ128" s="599">
        <f t="shared" ca="1" si="284"/>
        <v>7621612.1015388388</v>
      </c>
      <c r="CR128" s="599">
        <f t="shared" ca="1" si="284"/>
        <v>7623107.2082956303</v>
      </c>
      <c r="CS128" s="599">
        <f t="shared" ca="1" si="284"/>
        <v>7624901.5699917087</v>
      </c>
      <c r="CT128" s="599">
        <f t="shared" ca="1" si="284"/>
        <v>7626998.4781978196</v>
      </c>
      <c r="CU128" s="599">
        <f t="shared" ca="1" si="284"/>
        <v>7629401.3172514038</v>
      </c>
      <c r="CV128" s="599">
        <f t="shared" ca="1" si="284"/>
        <v>7629096.9009678047</v>
      </c>
      <c r="CW128" s="599">
        <f t="shared" ca="1" si="284"/>
        <v>7628713.5480932416</v>
      </c>
      <c r="CX128" s="599">
        <f t="shared" ca="1" si="284"/>
        <v>7628376.0465502637</v>
      </c>
      <c r="CY128" s="599">
        <f t="shared" ca="1" si="284"/>
        <v>7628084.7781816171</v>
      </c>
      <c r="CZ128" s="599">
        <f t="shared" ca="1" si="284"/>
        <v>7627840.1378187379</v>
      </c>
      <c r="DA128" s="599">
        <f t="shared" ca="1" si="284"/>
        <v>7627642.5334880026</v>
      </c>
      <c r="DB128" s="599">
        <f t="shared" ca="1" si="284"/>
        <v>7627461.9263810758</v>
      </c>
      <c r="DC128" s="599">
        <f t="shared" ca="1" si="284"/>
        <v>7627307.1889743702</v>
      </c>
      <c r="DD128" s="599">
        <f t="shared" ca="1" si="284"/>
        <v>7627195.2752172165</v>
      </c>
      <c r="DE128" s="599">
        <f t="shared" ca="1" si="284"/>
        <v>7627126.5823986251</v>
      </c>
      <c r="DF128" s="599">
        <f t="shared" ca="1" si="284"/>
        <v>7627101.5203452334</v>
      </c>
      <c r="DG128" s="599">
        <f t="shared" ca="1" si="284"/>
        <v>7627120.5116261272</v>
      </c>
      <c r="DH128" s="599">
        <f t="shared" ca="1" si="284"/>
        <v>7627183.9917622423</v>
      </c>
      <c r="DI128" s="599">
        <f t="shared" ca="1" si="284"/>
        <v>7627292.4094403815</v>
      </c>
      <c r="DJ128" s="599">
        <f t="shared" ca="1" si="284"/>
        <v>7627446.2267319961</v>
      </c>
      <c r="DK128" s="599">
        <f t="shared" ca="1" si="284"/>
        <v>7627645.9193167565</v>
      </c>
      <c r="DL128" s="599">
        <f t="shared" ca="1" si="284"/>
        <v>7627891.9767110497</v>
      </c>
      <c r="DM128" s="599">
        <f t="shared" ca="1" si="284"/>
        <v>7628184.9025014918</v>
      </c>
      <c r="DN128" s="599">
        <f t="shared" ca="1" si="284"/>
        <v>7628207.1393045019</v>
      </c>
      <c r="DO128" s="599">
        <f t="shared" ca="1" si="284"/>
        <v>7628248.9574262183</v>
      </c>
      <c r="DP128" s="599">
        <f t="shared" ca="1" si="284"/>
        <v>7628310.5572067043</v>
      </c>
      <c r="DQ128" s="599">
        <f t="shared" ca="1" si="284"/>
        <v>7628392.1448261701</v>
      </c>
      <c r="DR128" s="599">
        <f t="shared" ca="1" si="284"/>
        <v>7628493.9324829616</v>
      </c>
      <c r="DS128" s="599">
        <f t="shared" ca="1" si="284"/>
        <v>7628616.1384949796</v>
      </c>
      <c r="DT128" s="599">
        <f t="shared" ca="1" si="284"/>
        <v>7628758.9874033015</v>
      </c>
      <c r="DU128" s="599">
        <f t="shared" ca="1" si="284"/>
        <v>7628922.7100780988</v>
      </c>
      <c r="DV128" s="599">
        <f t="shared" ca="1" si="284"/>
        <v>7629107.5438268129</v>
      </c>
      <c r="DW128" s="599">
        <f t="shared" ca="1" si="284"/>
        <v>7629313.7325047208</v>
      </c>
      <c r="DX128" s="599">
        <f t="shared" ca="1" si="284"/>
        <v>7629541.5266278638</v>
      </c>
      <c r="DY128" s="599">
        <f t="shared" ca="1" si="284"/>
        <v>7629791.1834884314</v>
      </c>
    </row>
    <row r="129" spans="1:129" s="19" customFormat="1" outlineLevel="1">
      <c r="A129" s="20"/>
      <c r="B129" s="60"/>
      <c r="C129" s="5"/>
      <c r="D129" s="30"/>
      <c r="E129" s="30"/>
      <c r="F129" s="30"/>
      <c r="G129" s="14"/>
      <c r="H129" s="14"/>
      <c r="I129" s="14"/>
      <c r="J129" s="106"/>
      <c r="K129" s="58"/>
      <c r="L129" s="106"/>
      <c r="M129" s="58"/>
      <c r="N129" s="106"/>
      <c r="O129" s="58"/>
      <c r="P129" s="106"/>
      <c r="Q129" s="106"/>
      <c r="R129" s="58"/>
      <c r="S129" s="58"/>
      <c r="T129" s="58"/>
      <c r="U129" s="58"/>
      <c r="V129" s="58"/>
      <c r="W129" s="58"/>
      <c r="X129" s="101"/>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row>
    <row r="130" spans="1:129" s="19" customFormat="1" outlineLevel="1">
      <c r="A130" s="20"/>
      <c r="B130" s="60"/>
      <c r="C130" s="5"/>
      <c r="D130" s="30"/>
      <c r="E130" s="30"/>
      <c r="F130" s="30"/>
      <c r="G130" s="14"/>
      <c r="H130" s="14"/>
      <c r="I130" s="14"/>
      <c r="J130" s="106"/>
      <c r="K130" s="58"/>
      <c r="L130" s="106"/>
      <c r="M130" s="58"/>
      <c r="N130" s="106"/>
      <c r="O130" s="58"/>
      <c r="P130" s="106"/>
      <c r="Q130" s="106"/>
      <c r="R130" s="58"/>
      <c r="S130" s="58"/>
      <c r="T130" s="58"/>
      <c r="U130" s="58"/>
      <c r="V130" s="58"/>
      <c r="W130" s="58"/>
      <c r="X130" s="101"/>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row>
    <row r="131" spans="1:129" s="19" customFormat="1" outlineLevel="1">
      <c r="A131" s="20"/>
      <c r="C131" s="76" t="s">
        <v>110</v>
      </c>
      <c r="D131" s="65"/>
      <c r="E131" s="65"/>
      <c r="F131" s="56" t="s">
        <v>144</v>
      </c>
      <c r="G131" s="248"/>
      <c r="H131" s="147"/>
      <c r="I131" s="581">
        <f>+Financing!I7</f>
        <v>2000000</v>
      </c>
      <c r="J131" s="436">
        <f>+Financing!J7</f>
        <v>5000000</v>
      </c>
      <c r="K131" s="436">
        <f>+Financing!K7</f>
        <v>0</v>
      </c>
      <c r="L131" s="436">
        <f>+Financing!L7</f>
        <v>0</v>
      </c>
      <c r="M131" s="436">
        <f>+Financing!M7</f>
        <v>0</v>
      </c>
      <c r="N131" s="436">
        <f>+Financing!N7</f>
        <v>0</v>
      </c>
      <c r="O131" s="436">
        <f>+Financing!O7</f>
        <v>0</v>
      </c>
      <c r="P131" s="436">
        <f>+Financing!P7</f>
        <v>0</v>
      </c>
      <c r="Q131" s="436">
        <f>+Financing!Q7</f>
        <v>0</v>
      </c>
      <c r="R131" s="436">
        <f>+Financing!R7</f>
        <v>0</v>
      </c>
      <c r="S131" s="436">
        <f>+Financing!S7</f>
        <v>0</v>
      </c>
      <c r="T131" s="436">
        <f>+Financing!T7</f>
        <v>0</v>
      </c>
      <c r="U131" s="436">
        <f>+Financing!U7</f>
        <v>0</v>
      </c>
      <c r="V131" s="436">
        <f>+Financing!V7</f>
        <v>0</v>
      </c>
      <c r="W131" s="436">
        <f>+Financing!W7</f>
        <v>0</v>
      </c>
      <c r="X131" s="436">
        <f>+Financing!X7</f>
        <v>0</v>
      </c>
      <c r="Y131" s="436">
        <f>+Financing!Y7</f>
        <v>0</v>
      </c>
      <c r="Z131" s="436">
        <f>+Financing!Z7</f>
        <v>0</v>
      </c>
      <c r="AA131" s="436">
        <f>+Financing!AA7</f>
        <v>0</v>
      </c>
      <c r="AB131" s="436">
        <f>+Financing!AB7</f>
        <v>3000000</v>
      </c>
      <c r="AC131" s="436">
        <f>+Financing!AC7</f>
        <v>0</v>
      </c>
      <c r="AD131" s="436">
        <f>+Financing!AD7</f>
        <v>0</v>
      </c>
      <c r="AE131" s="436">
        <f>+Financing!AE7</f>
        <v>0</v>
      </c>
      <c r="AF131" s="436">
        <f>+Financing!AF7</f>
        <v>0</v>
      </c>
      <c r="AG131" s="436">
        <f>+Financing!AG7</f>
        <v>0</v>
      </c>
      <c r="AH131" s="436">
        <f>+Financing!AH7</f>
        <v>0</v>
      </c>
      <c r="AI131" s="436">
        <f>+Financing!AI7</f>
        <v>0</v>
      </c>
      <c r="AJ131" s="436">
        <f>+Financing!AJ7</f>
        <v>0</v>
      </c>
      <c r="AK131" s="436">
        <f>+Financing!AK7</f>
        <v>0</v>
      </c>
      <c r="AL131" s="436">
        <f>+Financing!AL7</f>
        <v>0</v>
      </c>
      <c r="AM131" s="436">
        <f>+Financing!AM7</f>
        <v>0</v>
      </c>
      <c r="AN131" s="436">
        <f>+Financing!AN7</f>
        <v>0</v>
      </c>
      <c r="AO131" s="436">
        <f>+Financing!AO7</f>
        <v>0</v>
      </c>
      <c r="AP131" s="436">
        <f>+Financing!AP7</f>
        <v>0</v>
      </c>
      <c r="AQ131" s="436">
        <f>+Financing!AQ7</f>
        <v>0</v>
      </c>
      <c r="AR131" s="436">
        <f>+Financing!AR7</f>
        <v>0</v>
      </c>
      <c r="AS131" s="436">
        <f>+Financing!AS7</f>
        <v>0</v>
      </c>
      <c r="AT131" s="436">
        <f>+Financing!AT7</f>
        <v>0</v>
      </c>
      <c r="AU131" s="436">
        <f>+Financing!AU7</f>
        <v>0</v>
      </c>
      <c r="AV131" s="436">
        <f>+Financing!AV7</f>
        <v>0</v>
      </c>
      <c r="AW131" s="436">
        <f>+Financing!AW7</f>
        <v>0</v>
      </c>
      <c r="AX131" s="436">
        <f>+Financing!AX7</f>
        <v>0</v>
      </c>
      <c r="AY131" s="436">
        <f>+Financing!AY7</f>
        <v>0</v>
      </c>
      <c r="AZ131" s="436">
        <f>+Financing!AZ7</f>
        <v>0</v>
      </c>
      <c r="BA131" s="436">
        <f>+Financing!BA7</f>
        <v>0</v>
      </c>
      <c r="BB131" s="436">
        <f>+Financing!BB7</f>
        <v>0</v>
      </c>
      <c r="BC131" s="436">
        <f>+Financing!BC7</f>
        <v>0</v>
      </c>
      <c r="BD131" s="436">
        <f>+Financing!BD7</f>
        <v>0</v>
      </c>
      <c r="BE131" s="436">
        <f>+Financing!BE7</f>
        <v>0</v>
      </c>
      <c r="BF131" s="436">
        <f>+Financing!BF7</f>
        <v>0</v>
      </c>
      <c r="BG131" s="436">
        <f>+Financing!BG7</f>
        <v>0</v>
      </c>
      <c r="BH131" s="436">
        <f>+Financing!BH7</f>
        <v>0</v>
      </c>
      <c r="BI131" s="436">
        <f>+Financing!BI7</f>
        <v>0</v>
      </c>
      <c r="BJ131" s="436">
        <f>+Financing!BJ7</f>
        <v>0</v>
      </c>
      <c r="BK131" s="436">
        <f>+Financing!BK7</f>
        <v>0</v>
      </c>
      <c r="BL131" s="436">
        <f>+Financing!BL7</f>
        <v>0</v>
      </c>
      <c r="BM131" s="436">
        <f>+Financing!BM7</f>
        <v>0</v>
      </c>
      <c r="BN131" s="436">
        <f>+Financing!BN7</f>
        <v>0</v>
      </c>
      <c r="BO131" s="436">
        <f>+Financing!BO7</f>
        <v>0</v>
      </c>
      <c r="BP131" s="436">
        <f>+Financing!BP7</f>
        <v>0</v>
      </c>
      <c r="BQ131" s="436">
        <f>+Financing!BQ7</f>
        <v>0</v>
      </c>
      <c r="BR131" s="436">
        <f>+Financing!BR7</f>
        <v>0</v>
      </c>
      <c r="BS131" s="436">
        <f>+Financing!BS7</f>
        <v>0</v>
      </c>
      <c r="BT131" s="436">
        <f>+Financing!BT7</f>
        <v>0</v>
      </c>
      <c r="BU131" s="436">
        <f>+Financing!BU7</f>
        <v>0</v>
      </c>
      <c r="BV131" s="436">
        <f>+Financing!BV7</f>
        <v>0</v>
      </c>
      <c r="BW131" s="436">
        <f>+Financing!BW7</f>
        <v>0</v>
      </c>
      <c r="BX131" s="436">
        <f>+Financing!BX7</f>
        <v>0</v>
      </c>
      <c r="BY131" s="436">
        <f>+Financing!BY7</f>
        <v>0</v>
      </c>
      <c r="BZ131" s="436">
        <f>+Financing!BZ7</f>
        <v>0</v>
      </c>
      <c r="CA131" s="436">
        <f>+Financing!CA7</f>
        <v>0</v>
      </c>
      <c r="CB131" s="436">
        <f>+Financing!CB7</f>
        <v>0</v>
      </c>
      <c r="CC131" s="436">
        <f>+Financing!CC7</f>
        <v>0</v>
      </c>
      <c r="CD131" s="436">
        <f>+Financing!CD7</f>
        <v>0</v>
      </c>
      <c r="CE131" s="436">
        <f>+Financing!CE7</f>
        <v>0</v>
      </c>
      <c r="CF131" s="436">
        <f>+Financing!CF7</f>
        <v>0</v>
      </c>
      <c r="CG131" s="436">
        <f>+Financing!CG7</f>
        <v>0</v>
      </c>
      <c r="CH131" s="436">
        <f>+Financing!CH7</f>
        <v>0</v>
      </c>
      <c r="CI131" s="436">
        <f>+Financing!CI7</f>
        <v>0</v>
      </c>
      <c r="CJ131" s="436">
        <f>+Financing!CJ7</f>
        <v>0</v>
      </c>
      <c r="CK131" s="436">
        <f>+Financing!CK7</f>
        <v>0</v>
      </c>
      <c r="CL131" s="436">
        <f>+Financing!CL7</f>
        <v>0</v>
      </c>
      <c r="CM131" s="436">
        <f>+Financing!CM7</f>
        <v>0</v>
      </c>
      <c r="CN131" s="436">
        <f>+Financing!CN7</f>
        <v>0</v>
      </c>
      <c r="CO131" s="436">
        <f>+Financing!CO7</f>
        <v>0</v>
      </c>
      <c r="CP131" s="436">
        <f>+Financing!CP7</f>
        <v>0</v>
      </c>
      <c r="CQ131" s="436">
        <f>+Financing!CQ7</f>
        <v>0</v>
      </c>
      <c r="CR131" s="436">
        <f>+Financing!CR7</f>
        <v>0</v>
      </c>
      <c r="CS131" s="436">
        <f>+Financing!CS7</f>
        <v>0</v>
      </c>
      <c r="CT131" s="436">
        <f>+Financing!CT7</f>
        <v>0</v>
      </c>
      <c r="CU131" s="436">
        <f>+Financing!CU7</f>
        <v>0</v>
      </c>
      <c r="CV131" s="436">
        <f>+Financing!CV7</f>
        <v>0</v>
      </c>
      <c r="CW131" s="436">
        <f>+Financing!CW7</f>
        <v>0</v>
      </c>
      <c r="CX131" s="436">
        <f>+Financing!CX7</f>
        <v>0</v>
      </c>
      <c r="CY131" s="436">
        <f>+Financing!CY7</f>
        <v>0</v>
      </c>
      <c r="CZ131" s="436">
        <f>+Financing!CZ7</f>
        <v>0</v>
      </c>
      <c r="DA131" s="436">
        <f>+Financing!DA7</f>
        <v>0</v>
      </c>
      <c r="DB131" s="436">
        <f>+Financing!DB7</f>
        <v>0</v>
      </c>
      <c r="DC131" s="436">
        <f>+Financing!DC7</f>
        <v>0</v>
      </c>
      <c r="DD131" s="436">
        <f>+Financing!DD7</f>
        <v>0</v>
      </c>
      <c r="DE131" s="436">
        <f>+Financing!DE7</f>
        <v>0</v>
      </c>
      <c r="DF131" s="436">
        <f>+Financing!DF7</f>
        <v>0</v>
      </c>
      <c r="DG131" s="436">
        <f>+Financing!DG7</f>
        <v>0</v>
      </c>
      <c r="DH131" s="436">
        <f>+Financing!DH7</f>
        <v>0</v>
      </c>
      <c r="DI131" s="436">
        <f>+Financing!DI7</f>
        <v>0</v>
      </c>
      <c r="DJ131" s="436">
        <f>+Financing!DJ7</f>
        <v>0</v>
      </c>
      <c r="DK131" s="436">
        <f>+Financing!DK7</f>
        <v>0</v>
      </c>
      <c r="DL131" s="436">
        <f>+Financing!DL7</f>
        <v>0</v>
      </c>
      <c r="DM131" s="436">
        <f>+Financing!DM7</f>
        <v>0</v>
      </c>
      <c r="DN131" s="436">
        <f>+Financing!DN7</f>
        <v>0</v>
      </c>
      <c r="DO131" s="436">
        <f>+Financing!DO7</f>
        <v>0</v>
      </c>
      <c r="DP131" s="436">
        <f>+Financing!DP7</f>
        <v>0</v>
      </c>
      <c r="DQ131" s="436">
        <f>+Financing!DQ7</f>
        <v>0</v>
      </c>
      <c r="DR131" s="436">
        <f>+Financing!DR7</f>
        <v>0</v>
      </c>
      <c r="DS131" s="436">
        <f>+Financing!DS7</f>
        <v>0</v>
      </c>
      <c r="DT131" s="436">
        <f>+Financing!DT7</f>
        <v>0</v>
      </c>
      <c r="DU131" s="436">
        <f>+Financing!DU7</f>
        <v>0</v>
      </c>
      <c r="DV131" s="436">
        <f>+Financing!DV7</f>
        <v>0</v>
      </c>
      <c r="DW131" s="436">
        <f>+Financing!DW7</f>
        <v>0</v>
      </c>
      <c r="DX131" s="436">
        <f>+Financing!DX7</f>
        <v>0</v>
      </c>
      <c r="DY131" s="436">
        <f>+Financing!DY7</f>
        <v>0</v>
      </c>
    </row>
    <row r="132" spans="1:129" s="19" customFormat="1" outlineLevel="1">
      <c r="A132" s="20"/>
      <c r="B132" s="60"/>
      <c r="C132" s="5"/>
      <c r="D132" s="30"/>
      <c r="E132" s="30"/>
      <c r="F132" s="30"/>
      <c r="G132" s="14"/>
      <c r="H132" s="14"/>
      <c r="I132" s="14"/>
      <c r="J132" s="106"/>
      <c r="K132" s="58"/>
      <c r="L132" s="106"/>
      <c r="M132" s="58"/>
      <c r="N132" s="106"/>
      <c r="O132" s="58"/>
      <c r="P132" s="106"/>
      <c r="Q132" s="106"/>
      <c r="R132" s="58"/>
      <c r="S132" s="58"/>
      <c r="T132" s="58"/>
      <c r="U132" s="58"/>
      <c r="V132" s="58"/>
      <c r="W132" s="58"/>
      <c r="X132" s="101"/>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row>
    <row r="133" spans="1:129" s="19" customFormat="1" outlineLevel="2">
      <c r="A133" s="20"/>
      <c r="B133" s="60"/>
      <c r="C133" s="9" t="str">
        <f>'Model Assumptions'!$G$24&amp;" - COGS related to active installations"</f>
        <v>Product 1 - COGS related to active installations</v>
      </c>
      <c r="D133" s="9"/>
      <c r="E133" s="30"/>
      <c r="F133" s="5"/>
      <c r="G133" s="287" t="s">
        <v>624</v>
      </c>
      <c r="H133" s="14"/>
      <c r="I133" s="14"/>
      <c r="J133" s="249">
        <f t="shared" ref="J133:AO133" si="285">IF(_arpuP1=0,-_NewSalesP1*_r.systdepP1,-_activeinstallationsEoPP1*_r.systdepP1)</f>
        <v>-9409.5</v>
      </c>
      <c r="K133" s="249">
        <f t="shared" si="285"/>
        <v>-9597.69</v>
      </c>
      <c r="L133" s="249">
        <f t="shared" si="285"/>
        <v>-9789.6437999999998</v>
      </c>
      <c r="M133" s="249">
        <f t="shared" si="285"/>
        <v>-9985.4366760000012</v>
      </c>
      <c r="N133" s="249">
        <f t="shared" si="285"/>
        <v>-10185.145409520001</v>
      </c>
      <c r="O133" s="249">
        <f t="shared" si="285"/>
        <v>-10388.848317710401</v>
      </c>
      <c r="P133" s="249">
        <f t="shared" si="285"/>
        <v>-10596.625284064608</v>
      </c>
      <c r="Q133" s="249">
        <f t="shared" si="285"/>
        <v>-10808.557789745901</v>
      </c>
      <c r="R133" s="249">
        <f t="shared" si="285"/>
        <v>-11024.728945540819</v>
      </c>
      <c r="S133" s="249">
        <f t="shared" si="285"/>
        <v>-11245.223524451636</v>
      </c>
      <c r="T133" s="249">
        <f t="shared" si="285"/>
        <v>-11470.127994940669</v>
      </c>
      <c r="U133" s="249">
        <f t="shared" si="285"/>
        <v>-11699.530554839481</v>
      </c>
      <c r="V133" s="249">
        <f t="shared" si="285"/>
        <v>-11933.52116593627</v>
      </c>
      <c r="W133" s="249">
        <f t="shared" si="285"/>
        <v>-12172.191589254997</v>
      </c>
      <c r="X133" s="249">
        <f t="shared" si="285"/>
        <v>-12415.635421040097</v>
      </c>
      <c r="Y133" s="249">
        <f t="shared" si="285"/>
        <v>-12663.9481294609</v>
      </c>
      <c r="Z133" s="249">
        <f t="shared" si="285"/>
        <v>-12917.227092050118</v>
      </c>
      <c r="AA133" s="249">
        <f t="shared" si="285"/>
        <v>-13175.571633891121</v>
      </c>
      <c r="AB133" s="249">
        <f t="shared" si="285"/>
        <v>-13439.083066568943</v>
      </c>
      <c r="AC133" s="249">
        <f t="shared" si="285"/>
        <v>-13707.864727900322</v>
      </c>
      <c r="AD133" s="249">
        <f t="shared" si="285"/>
        <v>-13982.022022458328</v>
      </c>
      <c r="AE133" s="249">
        <f t="shared" si="285"/>
        <v>-14261.662462907494</v>
      </c>
      <c r="AF133" s="249">
        <f t="shared" si="285"/>
        <v>-14546.895712165646</v>
      </c>
      <c r="AG133" s="249">
        <f t="shared" si="285"/>
        <v>-14837.833626408959</v>
      </c>
      <c r="AH133" s="249">
        <f t="shared" si="285"/>
        <v>-15134.590298937137</v>
      </c>
      <c r="AI133" s="249">
        <f t="shared" si="285"/>
        <v>-15437.282104915881</v>
      </c>
      <c r="AJ133" s="249">
        <f t="shared" si="285"/>
        <v>-15746.027747014199</v>
      </c>
      <c r="AK133" s="249">
        <f t="shared" si="285"/>
        <v>-16060.948301954484</v>
      </c>
      <c r="AL133" s="249">
        <f t="shared" si="285"/>
        <v>-16382.167267993575</v>
      </c>
      <c r="AM133" s="249">
        <f t="shared" si="285"/>
        <v>-16709.810613353446</v>
      </c>
      <c r="AN133" s="249">
        <f t="shared" si="285"/>
        <v>-17044.006825620516</v>
      </c>
      <c r="AO133" s="249">
        <f t="shared" si="285"/>
        <v>-17384.886962132925</v>
      </c>
      <c r="AP133" s="249">
        <f t="shared" ref="AP133:BU133" si="286">IF(_arpuP1=0,-_NewSalesP1*_r.systdepP1,-_activeinstallationsEoPP1*_r.systdepP1)</f>
        <v>-17732.584701375585</v>
      </c>
      <c r="AQ133" s="249">
        <f t="shared" si="286"/>
        <v>-18087.236395403095</v>
      </c>
      <c r="AR133" s="249">
        <f t="shared" si="286"/>
        <v>-18448.981123311158</v>
      </c>
      <c r="AS133" s="249">
        <f t="shared" si="286"/>
        <v>-18817.960745777382</v>
      </c>
      <c r="AT133" s="249">
        <f t="shared" si="286"/>
        <v>-19194.31996069293</v>
      </c>
      <c r="AU133" s="249">
        <f t="shared" si="286"/>
        <v>-19578.206359906788</v>
      </c>
      <c r="AV133" s="249">
        <f t="shared" si="286"/>
        <v>-19969.770487104925</v>
      </c>
      <c r="AW133" s="249">
        <f t="shared" si="286"/>
        <v>-20369.165896847022</v>
      </c>
      <c r="AX133" s="249">
        <f t="shared" si="286"/>
        <v>-20776.549214783965</v>
      </c>
      <c r="AY133" s="249">
        <f t="shared" si="286"/>
        <v>-21192.080199079643</v>
      </c>
      <c r="AZ133" s="249">
        <f t="shared" si="286"/>
        <v>-21615.921803061236</v>
      </c>
      <c r="BA133" s="249">
        <f t="shared" si="286"/>
        <v>-22048.24023912246</v>
      </c>
      <c r="BB133" s="249">
        <f t="shared" si="286"/>
        <v>-22489.205043904909</v>
      </c>
      <c r="BC133" s="249">
        <f t="shared" si="286"/>
        <v>-22938.989144783005</v>
      </c>
      <c r="BD133" s="249">
        <f t="shared" si="286"/>
        <v>-23397.768927678666</v>
      </c>
      <c r="BE133" s="249">
        <f t="shared" si="286"/>
        <v>-23865.724306232241</v>
      </c>
      <c r="BF133" s="249">
        <f t="shared" si="286"/>
        <v>-24343.038792356885</v>
      </c>
      <c r="BG133" s="249">
        <f t="shared" si="286"/>
        <v>-24829.899568204026</v>
      </c>
      <c r="BH133" s="249">
        <f t="shared" si="286"/>
        <v>-25326.497559568106</v>
      </c>
      <c r="BI133" s="249">
        <f t="shared" si="286"/>
        <v>-25833.027510759468</v>
      </c>
      <c r="BJ133" s="249">
        <f t="shared" si="286"/>
        <v>-26349.688060974659</v>
      </c>
      <c r="BK133" s="249">
        <f t="shared" si="286"/>
        <v>-26876.68182219415</v>
      </c>
      <c r="BL133" s="249">
        <f t="shared" si="286"/>
        <v>-27414.215458638035</v>
      </c>
      <c r="BM133" s="249">
        <f t="shared" si="286"/>
        <v>-27962.499767810797</v>
      </c>
      <c r="BN133" s="249">
        <f t="shared" si="286"/>
        <v>-28521.749763167012</v>
      </c>
      <c r="BO133" s="249">
        <f t="shared" si="286"/>
        <v>-29092.184758430354</v>
      </c>
      <c r="BP133" s="249">
        <f t="shared" si="286"/>
        <v>-29674.028453598959</v>
      </c>
      <c r="BQ133" s="249">
        <f t="shared" si="286"/>
        <v>-30267.509022670944</v>
      </c>
      <c r="BR133" s="249">
        <f t="shared" si="286"/>
        <v>-30267.509022670944</v>
      </c>
      <c r="BS133" s="249">
        <f t="shared" si="286"/>
        <v>-30267.509022670944</v>
      </c>
      <c r="BT133" s="249">
        <f t="shared" si="286"/>
        <v>-30267.509022670944</v>
      </c>
      <c r="BU133" s="249">
        <f t="shared" si="286"/>
        <v>-30267.509022670944</v>
      </c>
      <c r="BV133" s="249">
        <f t="shared" ref="BV133:DA133" si="287">IF(_arpuP1=0,-_NewSalesP1*_r.systdepP1,-_activeinstallationsEoPP1*_r.systdepP1)</f>
        <v>-30267.509022670944</v>
      </c>
      <c r="BW133" s="249">
        <f t="shared" si="287"/>
        <v>-30267.509022670944</v>
      </c>
      <c r="BX133" s="249">
        <f t="shared" si="287"/>
        <v>-30267.509022670944</v>
      </c>
      <c r="BY133" s="249">
        <f t="shared" si="287"/>
        <v>-30267.509022670944</v>
      </c>
      <c r="BZ133" s="249">
        <f t="shared" si="287"/>
        <v>-30267.509022670944</v>
      </c>
      <c r="CA133" s="249">
        <f t="shared" si="287"/>
        <v>-30267.509022670944</v>
      </c>
      <c r="CB133" s="249">
        <f t="shared" si="287"/>
        <v>-30267.509022670944</v>
      </c>
      <c r="CC133" s="249">
        <f t="shared" si="287"/>
        <v>-30267.509022670944</v>
      </c>
      <c r="CD133" s="249">
        <f t="shared" si="287"/>
        <v>-30267.509022670944</v>
      </c>
      <c r="CE133" s="249">
        <f t="shared" si="287"/>
        <v>-30267.509022670944</v>
      </c>
      <c r="CF133" s="249">
        <f t="shared" si="287"/>
        <v>-30267.509022670944</v>
      </c>
      <c r="CG133" s="249">
        <f t="shared" si="287"/>
        <v>-30267.509022670944</v>
      </c>
      <c r="CH133" s="249">
        <f t="shared" si="287"/>
        <v>-30267.509022670944</v>
      </c>
      <c r="CI133" s="249">
        <f t="shared" si="287"/>
        <v>-30267.509022670944</v>
      </c>
      <c r="CJ133" s="249">
        <f t="shared" si="287"/>
        <v>-30267.509022670944</v>
      </c>
      <c r="CK133" s="249">
        <f t="shared" si="287"/>
        <v>-30267.509022670944</v>
      </c>
      <c r="CL133" s="249">
        <f t="shared" si="287"/>
        <v>-30267.509022670944</v>
      </c>
      <c r="CM133" s="249">
        <f t="shared" si="287"/>
        <v>-30267.509022670944</v>
      </c>
      <c r="CN133" s="249">
        <f t="shared" si="287"/>
        <v>-30267.509022670944</v>
      </c>
      <c r="CO133" s="249">
        <f t="shared" si="287"/>
        <v>-30267.509022670944</v>
      </c>
      <c r="CP133" s="249">
        <f t="shared" si="287"/>
        <v>-30267.509022670944</v>
      </c>
      <c r="CQ133" s="249">
        <f t="shared" si="287"/>
        <v>-30267.509022670944</v>
      </c>
      <c r="CR133" s="249">
        <f t="shared" si="287"/>
        <v>-30267.509022670944</v>
      </c>
      <c r="CS133" s="249">
        <f t="shared" si="287"/>
        <v>-30267.509022670944</v>
      </c>
      <c r="CT133" s="249">
        <f t="shared" si="287"/>
        <v>-30267.509022670944</v>
      </c>
      <c r="CU133" s="249">
        <f t="shared" si="287"/>
        <v>-30267.509022670944</v>
      </c>
      <c r="CV133" s="249">
        <f t="shared" si="287"/>
        <v>-30267.509022670944</v>
      </c>
      <c r="CW133" s="249">
        <f t="shared" si="287"/>
        <v>-30267.509022670944</v>
      </c>
      <c r="CX133" s="249">
        <f t="shared" si="287"/>
        <v>-30267.509022670944</v>
      </c>
      <c r="CY133" s="249">
        <f t="shared" si="287"/>
        <v>-30267.509022670944</v>
      </c>
      <c r="CZ133" s="249">
        <f t="shared" si="287"/>
        <v>-30267.509022670944</v>
      </c>
      <c r="DA133" s="249">
        <f t="shared" si="287"/>
        <v>-30267.509022670944</v>
      </c>
      <c r="DB133" s="249">
        <f t="shared" ref="DB133:DY133" si="288">IF(_arpuP1=0,-_NewSalesP1*_r.systdepP1,-_activeinstallationsEoPP1*_r.systdepP1)</f>
        <v>-30267.509022670944</v>
      </c>
      <c r="DC133" s="249">
        <f t="shared" si="288"/>
        <v>-30267.509022670944</v>
      </c>
      <c r="DD133" s="249">
        <f t="shared" si="288"/>
        <v>-30267.509022670944</v>
      </c>
      <c r="DE133" s="249">
        <f t="shared" si="288"/>
        <v>-30267.509022670944</v>
      </c>
      <c r="DF133" s="249">
        <f t="shared" si="288"/>
        <v>-30267.509022670944</v>
      </c>
      <c r="DG133" s="249">
        <f t="shared" si="288"/>
        <v>-30267.509022670944</v>
      </c>
      <c r="DH133" s="249">
        <f t="shared" si="288"/>
        <v>-30267.509022670944</v>
      </c>
      <c r="DI133" s="249">
        <f t="shared" si="288"/>
        <v>-30267.509022670944</v>
      </c>
      <c r="DJ133" s="249">
        <f t="shared" si="288"/>
        <v>-30267.509022670944</v>
      </c>
      <c r="DK133" s="249">
        <f t="shared" si="288"/>
        <v>-30267.509022670944</v>
      </c>
      <c r="DL133" s="249">
        <f t="shared" si="288"/>
        <v>-30267.509022670944</v>
      </c>
      <c r="DM133" s="249">
        <f t="shared" si="288"/>
        <v>-30267.509022670944</v>
      </c>
      <c r="DN133" s="249">
        <f t="shared" si="288"/>
        <v>-30267.509022670944</v>
      </c>
      <c r="DO133" s="249">
        <f t="shared" si="288"/>
        <v>-30267.509022670944</v>
      </c>
      <c r="DP133" s="249">
        <f t="shared" si="288"/>
        <v>-30267.509022670944</v>
      </c>
      <c r="DQ133" s="249">
        <f t="shared" si="288"/>
        <v>-30267.509022670944</v>
      </c>
      <c r="DR133" s="249">
        <f t="shared" si="288"/>
        <v>-30267.509022670944</v>
      </c>
      <c r="DS133" s="249">
        <f t="shared" si="288"/>
        <v>-30267.509022670944</v>
      </c>
      <c r="DT133" s="249">
        <f t="shared" si="288"/>
        <v>-30267.509022670944</v>
      </c>
      <c r="DU133" s="249">
        <f t="shared" si="288"/>
        <v>-30267.509022670944</v>
      </c>
      <c r="DV133" s="249">
        <f t="shared" si="288"/>
        <v>-30267.509022670944</v>
      </c>
      <c r="DW133" s="249">
        <f t="shared" si="288"/>
        <v>-30267.509022670944</v>
      </c>
      <c r="DX133" s="249">
        <f t="shared" si="288"/>
        <v>-30267.509022670944</v>
      </c>
      <c r="DY133" s="249">
        <f t="shared" si="288"/>
        <v>-30267.509022670944</v>
      </c>
    </row>
    <row r="134" spans="1:129" s="19" customFormat="1" outlineLevel="2">
      <c r="A134" s="20"/>
      <c r="B134" s="60"/>
      <c r="C134" s="9" t="str">
        <f>'Model Assumptions'!$H$24&amp;" - COGS related to active installations"</f>
        <v>Product 2 - COGS related to active installations</v>
      </c>
      <c r="D134" s="9"/>
      <c r="E134" s="30"/>
      <c r="F134" s="5"/>
      <c r="G134" s="287" t="s">
        <v>624</v>
      </c>
      <c r="H134" s="14"/>
      <c r="I134" s="14"/>
      <c r="J134" s="249">
        <f t="shared" ref="J134:AO134" ca="1" si="289">IF(_arpuP2=0,-_NewSalesP2*_r.systdepP2,-_activeinstallationsEoPP2*_r.systdepP2)</f>
        <v>-335559.0612575413</v>
      </c>
      <c r="K134" s="249">
        <f t="shared" ca="1" si="289"/>
        <v>-344493.7869025073</v>
      </c>
      <c r="L134" s="249">
        <f t="shared" ca="1" si="289"/>
        <v>-354020.02039102354</v>
      </c>
      <c r="M134" s="249">
        <f t="shared" ca="1" si="289"/>
        <v>-364145.46374665468</v>
      </c>
      <c r="N134" s="249">
        <f t="shared" ca="1" si="289"/>
        <v>-374878.01431476953</v>
      </c>
      <c r="O134" s="249">
        <f t="shared" ca="1" si="289"/>
        <v>-386225.76825616404</v>
      </c>
      <c r="P134" s="249">
        <f t="shared" ca="1" si="289"/>
        <v>-398197.02411468461</v>
      </c>
      <c r="Q134" s="249">
        <f t="shared" ca="1" si="289"/>
        <v>-410800.28646029072</v>
      </c>
      <c r="R134" s="249">
        <f t="shared" ca="1" si="289"/>
        <v>-424044.26960902504</v>
      </c>
      <c r="S134" s="249">
        <f t="shared" ca="1" si="289"/>
        <v>-437937.90142138791</v>
      </c>
      <c r="T134" s="249">
        <f t="shared" ca="1" si="289"/>
        <v>-452490.32718064543</v>
      </c>
      <c r="U134" s="249">
        <f t="shared" ca="1" si="289"/>
        <v>-467710.91355262895</v>
      </c>
      <c r="V134" s="249">
        <f t="shared" ca="1" si="289"/>
        <v>-476808.60308788222</v>
      </c>
      <c r="W134" s="249">
        <f t="shared" ca="1" si="289"/>
        <v>-486129.37376644707</v>
      </c>
      <c r="X134" s="249">
        <f t="shared" ca="1" si="289"/>
        <v>-495677.27593766362</v>
      </c>
      <c r="Y134" s="249">
        <f t="shared" ca="1" si="289"/>
        <v>-505456.44507059403</v>
      </c>
      <c r="Z134" s="249">
        <f t="shared" ca="1" si="289"/>
        <v>-515471.10341528989</v>
      </c>
      <c r="AA134" s="249">
        <f t="shared" ca="1" si="289"/>
        <v>-525725.56169769529</v>
      </c>
      <c r="AB134" s="249">
        <f t="shared" ca="1" si="289"/>
        <v>-536224.22084885626</v>
      </c>
      <c r="AC134" s="249">
        <f t="shared" ca="1" si="289"/>
        <v>-546971.57376911689</v>
      </c>
      <c r="AD134" s="249">
        <f t="shared" ca="1" si="289"/>
        <v>-557972.20712799835</v>
      </c>
      <c r="AE134" s="249">
        <f t="shared" ca="1" si="289"/>
        <v>-569230.80320047098</v>
      </c>
      <c r="AF134" s="249">
        <f t="shared" ca="1" si="289"/>
        <v>-580752.14174034237</v>
      </c>
      <c r="AG134" s="249">
        <f t="shared" ca="1" si="289"/>
        <v>-592541.10189150111</v>
      </c>
      <c r="AH134" s="249">
        <f t="shared" ca="1" si="289"/>
        <v>-603999.86485069292</v>
      </c>
      <c r="AI134" s="249">
        <f t="shared" ca="1" si="289"/>
        <v>-615695.14174298081</v>
      </c>
      <c r="AJ134" s="249">
        <f t="shared" ca="1" si="289"/>
        <v>-627631.58946028748</v>
      </c>
      <c r="AK134" s="249">
        <f t="shared" ca="1" si="289"/>
        <v>-639813.95876624167</v>
      </c>
      <c r="AL134" s="249">
        <f t="shared" ca="1" si="289"/>
        <v>-652247.09616627335</v>
      </c>
      <c r="AM134" s="249">
        <f t="shared" ca="1" si="289"/>
        <v>-664935.94581518427</v>
      </c>
      <c r="AN134" s="249">
        <f t="shared" ca="1" si="289"/>
        <v>-677885.55146294355</v>
      </c>
      <c r="AO134" s="249">
        <f t="shared" ca="1" si="289"/>
        <v>-691101.05843946931</v>
      </c>
      <c r="AP134" s="249">
        <f t="shared" ref="AP134:BU134" ca="1" si="290">IF(_arpuP2=0,-_NewSalesP2*_r.systdepP2,-_activeinstallationsEoPP2*_r.systdepP2)</f>
        <v>-704587.7156791786</v>
      </c>
      <c r="AQ134" s="249">
        <f t="shared" ca="1" si="290"/>
        <v>-718350.87778609886</v>
      </c>
      <c r="AR134" s="249">
        <f t="shared" ca="1" si="290"/>
        <v>-732396.00714035006</v>
      </c>
      <c r="AS134" s="249">
        <f t="shared" ca="1" si="290"/>
        <v>-746728.67604682676</v>
      </c>
      <c r="AT134" s="249">
        <f t="shared" ca="1" si="290"/>
        <v>-761301.13771004765</v>
      </c>
      <c r="AU134" s="249">
        <f t="shared" ca="1" si="290"/>
        <v>-776168.97269882751</v>
      </c>
      <c r="AV134" s="249">
        <f t="shared" ca="1" si="290"/>
        <v>-791338.04923875432</v>
      </c>
      <c r="AW134" s="249">
        <f t="shared" ca="1" si="290"/>
        <v>-806814.35331233742</v>
      </c>
      <c r="AX134" s="249">
        <f t="shared" ca="1" si="290"/>
        <v>-822603.99101022142</v>
      </c>
      <c r="AY134" s="249">
        <f t="shared" ca="1" si="290"/>
        <v>-838713.19092946406</v>
      </c>
      <c r="AZ134" s="249">
        <f t="shared" ca="1" si="290"/>
        <v>-855148.30661981856</v>
      </c>
      <c r="BA134" s="249">
        <f t="shared" ca="1" si="290"/>
        <v>-871915.81907897978</v>
      </c>
      <c r="BB134" s="249">
        <f t="shared" ca="1" si="290"/>
        <v>-889022.33929777378</v>
      </c>
      <c r="BC134" s="249">
        <f t="shared" ca="1" si="290"/>
        <v>-906474.61085628904</v>
      </c>
      <c r="BD134" s="249">
        <f t="shared" ca="1" si="290"/>
        <v>-924279.51257196616</v>
      </c>
      <c r="BE134" s="249">
        <f t="shared" ca="1" si="290"/>
        <v>-942444.06120068859</v>
      </c>
      <c r="BF134" s="249">
        <f t="shared" ca="1" si="290"/>
        <v>-960970.6781296985</v>
      </c>
      <c r="BG134" s="249">
        <f t="shared" ca="1" si="290"/>
        <v>-979871.07689537061</v>
      </c>
      <c r="BH134" s="249">
        <f t="shared" ca="1" si="290"/>
        <v>-999152.70063945721</v>
      </c>
      <c r="BI134" s="249">
        <f t="shared" ca="1" si="290"/>
        <v>-1018823.1416914955</v>
      </c>
      <c r="BJ134" s="249">
        <f t="shared" ca="1" si="290"/>
        <v>-1038890.1445493143</v>
      </c>
      <c r="BK134" s="249">
        <f t="shared" ca="1" si="290"/>
        <v>-1059361.6089191814</v>
      </c>
      <c r="BL134" s="249">
        <f t="shared" ca="1" si="290"/>
        <v>-1080245.5928167894</v>
      </c>
      <c r="BM134" s="249">
        <f t="shared" ca="1" si="290"/>
        <v>-1101550.3157302891</v>
      </c>
      <c r="BN134" s="249">
        <f t="shared" ca="1" si="290"/>
        <v>-1123284.1618466191</v>
      </c>
      <c r="BO134" s="249">
        <f t="shared" ca="1" si="290"/>
        <v>-1145455.6833423902</v>
      </c>
      <c r="BP134" s="249">
        <f t="shared" ca="1" si="290"/>
        <v>-1168073.6037406204</v>
      </c>
      <c r="BQ134" s="249">
        <f t="shared" ca="1" si="290"/>
        <v>-1191146.8213346333</v>
      </c>
      <c r="BR134" s="249">
        <f t="shared" ca="1" si="290"/>
        <v>-1212536.8316513225</v>
      </c>
      <c r="BS134" s="249">
        <f t="shared" ca="1" si="290"/>
        <v>-1232231.812584091</v>
      </c>
      <c r="BT134" s="249">
        <f t="shared" ca="1" si="290"/>
        <v>-1250219.0918411626</v>
      </c>
      <c r="BU134" s="249">
        <f t="shared" ca="1" si="290"/>
        <v>-1266485.5314019676</v>
      </c>
      <c r="BV134" s="249">
        <f t="shared" ref="BV134:DA134" ca="1" si="291">IF(_arpuP2=0,-_NewSalesP2*_r.systdepP2,-_activeinstallationsEoPP2*_r.systdepP2)</f>
        <v>-1281017.5203253939</v>
      </c>
      <c r="BW134" s="249">
        <f t="shared" ca="1" si="291"/>
        <v>-1293800.9673929804</v>
      </c>
      <c r="BX134" s="249">
        <f t="shared" ca="1" si="291"/>
        <v>-1304821.2935839535</v>
      </c>
      <c r="BY134" s="249">
        <f t="shared" ca="1" si="291"/>
        <v>-1314063.4243789602</v>
      </c>
      <c r="BZ134" s="249">
        <f t="shared" ca="1" si="291"/>
        <v>-1321511.7818892789</v>
      </c>
      <c r="CA134" s="249">
        <f t="shared" ca="1" si="291"/>
        <v>-1327150.2768082225</v>
      </c>
      <c r="CB134" s="249">
        <f t="shared" ca="1" si="291"/>
        <v>-1330962.3001813788</v>
      </c>
      <c r="CC134" s="249">
        <f t="shared" ca="1" si="291"/>
        <v>-1332930.7149922738</v>
      </c>
      <c r="CD134" s="249">
        <f t="shared" ca="1" si="291"/>
        <v>-1334750.7004594186</v>
      </c>
      <c r="CE134" s="249">
        <f t="shared" ca="1" si="291"/>
        <v>-1336421.2010131406</v>
      </c>
      <c r="CF134" s="249">
        <f t="shared" ca="1" si="291"/>
        <v>-1337941.0858013986</v>
      </c>
      <c r="CG134" s="249">
        <f t="shared" ca="1" si="291"/>
        <v>-1339309.1827666489</v>
      </c>
      <c r="CH134" s="249">
        <f t="shared" ca="1" si="291"/>
        <v>-1340524.2780076191</v>
      </c>
      <c r="CI134" s="249">
        <f t="shared" ca="1" si="291"/>
        <v>-1341585.1151264592</v>
      </c>
      <c r="CJ134" s="249">
        <f t="shared" ca="1" si="291"/>
        <v>-1342490.3945609962</v>
      </c>
      <c r="CK134" s="249">
        <f t="shared" ca="1" si="291"/>
        <v>-1343238.7729018109</v>
      </c>
      <c r="CL134" s="249">
        <f t="shared" ca="1" si="291"/>
        <v>-1343828.8621938536</v>
      </c>
      <c r="CM134" s="249">
        <f t="shared" ca="1" si="291"/>
        <v>-1344259.2292223037</v>
      </c>
      <c r="CN134" s="249">
        <f t="shared" ca="1" si="291"/>
        <v>-1344528.3947823844</v>
      </c>
      <c r="CO134" s="249">
        <f t="shared" ca="1" si="291"/>
        <v>-1344634.8329328171</v>
      </c>
      <c r="CP134" s="249">
        <f t="shared" ca="1" si="291"/>
        <v>-1344728.7949223735</v>
      </c>
      <c r="CQ134" s="249">
        <f t="shared" ca="1" si="291"/>
        <v>-1344810.1803830382</v>
      </c>
      <c r="CR134" s="249">
        <f t="shared" ca="1" si="291"/>
        <v>-1344878.8823419206</v>
      </c>
      <c r="CS134" s="249">
        <f t="shared" ca="1" si="291"/>
        <v>-1344934.7902410943</v>
      </c>
      <c r="CT134" s="249">
        <f t="shared" ca="1" si="291"/>
        <v>-1344977.7898803549</v>
      </c>
      <c r="CU134" s="249">
        <f t="shared" ca="1" si="291"/>
        <v>-1345007.7633586822</v>
      </c>
      <c r="CV134" s="249">
        <f t="shared" ca="1" si="291"/>
        <v>-1345024.5890143956</v>
      </c>
      <c r="CW134" s="249">
        <f t="shared" ca="1" si="291"/>
        <v>-1345028.141363964</v>
      </c>
      <c r="CX134" s="249">
        <f t="shared" ca="1" si="291"/>
        <v>-1345018.2910394571</v>
      </c>
      <c r="CY134" s="249">
        <f t="shared" ca="1" si="291"/>
        <v>-1344994.9047246045</v>
      </c>
      <c r="CZ134" s="249">
        <f t="shared" ca="1" si="291"/>
        <v>-1344957.8450894374</v>
      </c>
      <c r="DA134" s="249">
        <f t="shared" ca="1" si="291"/>
        <v>-1344906.97072349</v>
      </c>
      <c r="DB134" s="249">
        <f t="shared" ref="DB134:DY134" ca="1" si="292">IF(_arpuP2=0,-_NewSalesP2*_r.systdepP2,-_activeinstallationsEoPP2*_r.systdepP2)</f>
        <v>-1344855.5935783426</v>
      </c>
      <c r="DC134" s="249">
        <f t="shared" ca="1" si="292"/>
        <v>-1344803.6987266378</v>
      </c>
      <c r="DD134" s="249">
        <f t="shared" ca="1" si="292"/>
        <v>-1344751.2707158814</v>
      </c>
      <c r="DE134" s="249">
        <f t="shared" ca="1" si="292"/>
        <v>-1344698.2938355124</v>
      </c>
      <c r="DF134" s="249">
        <f t="shared" ca="1" si="292"/>
        <v>-1344644.7521112317</v>
      </c>
      <c r="DG134" s="249">
        <f t="shared" ca="1" si="292"/>
        <v>-1344590.6292992251</v>
      </c>
      <c r="DH134" s="249">
        <f t="shared" ca="1" si="292"/>
        <v>-1344535.9088802703</v>
      </c>
      <c r="DI134" s="249">
        <f t="shared" ca="1" si="292"/>
        <v>-1344480.5740537352</v>
      </c>
      <c r="DJ134" s="249">
        <f t="shared" ca="1" si="292"/>
        <v>-1344424.6077314604</v>
      </c>
      <c r="DK134" s="249">
        <f t="shared" ca="1" si="292"/>
        <v>-1344367.9925315226</v>
      </c>
      <c r="DL134" s="249">
        <f t="shared" ca="1" si="292"/>
        <v>-1344310.7107718815</v>
      </c>
      <c r="DM134" s="249">
        <f t="shared" ca="1" si="292"/>
        <v>-1344252.7444639001</v>
      </c>
      <c r="DN134" s="249">
        <f t="shared" ca="1" si="292"/>
        <v>-1344195.268159142</v>
      </c>
      <c r="DO134" s="249">
        <f t="shared" ca="1" si="292"/>
        <v>-1344138.2751887816</v>
      </c>
      <c r="DP134" s="249">
        <f t="shared" ca="1" si="292"/>
        <v>-1344081.7588909017</v>
      </c>
      <c r="DQ134" s="249">
        <f t="shared" ca="1" si="292"/>
        <v>-1344025.7126336328</v>
      </c>
      <c r="DR134" s="249">
        <f t="shared" ca="1" si="292"/>
        <v>-1343970.1298141214</v>
      </c>
      <c r="DS134" s="249">
        <f t="shared" ca="1" si="292"/>
        <v>-1343915.0038574936</v>
      </c>
      <c r="DT134" s="249">
        <f t="shared" ca="1" si="292"/>
        <v>-1343860.3282158149</v>
      </c>
      <c r="DU134" s="249">
        <f t="shared" ca="1" si="292"/>
        <v>-1343806.0963670432</v>
      </c>
      <c r="DV134" s="249">
        <f t="shared" ca="1" si="292"/>
        <v>-1343752.3018139787</v>
      </c>
      <c r="DW134" s="249">
        <f t="shared" ca="1" si="292"/>
        <v>-1343698.9380832091</v>
      </c>
      <c r="DX134" s="249">
        <f t="shared" ca="1" si="292"/>
        <v>-1343645.9987240471</v>
      </c>
      <c r="DY134" s="249">
        <f t="shared" ca="1" si="292"/>
        <v>-1343593.4773074619</v>
      </c>
    </row>
    <row r="135" spans="1:129" s="19" customFormat="1" outlineLevel="2">
      <c r="A135" s="20"/>
      <c r="B135" s="60"/>
      <c r="C135" s="9" t="str">
        <f>'Model Assumptions'!$I$24&amp;" - COGS related to active installations"</f>
        <v>Product 3 - COGS related to active installations</v>
      </c>
      <c r="D135" s="9"/>
      <c r="E135" s="30"/>
      <c r="F135" s="5"/>
      <c r="G135" s="287" t="s">
        <v>624</v>
      </c>
      <c r="H135" s="14"/>
      <c r="I135" s="14"/>
      <c r="J135" s="249">
        <f t="shared" ref="J135:AO135" ca="1" si="293">IF(_arpuP3=0,-_NewSalesP3*_r.systdepP3,-_activeinstallationsEoPP3*_r.systdepP3)</f>
        <v>-104758.25384243527</v>
      </c>
      <c r="K135" s="249">
        <f t="shared" ca="1" si="293"/>
        <v>-108060.60564644619</v>
      </c>
      <c r="L135" s="249">
        <f t="shared" ca="1" si="293"/>
        <v>-111462.00404241699</v>
      </c>
      <c r="M135" s="249">
        <f t="shared" ca="1" si="293"/>
        <v>-114964.09996662808</v>
      </c>
      <c r="N135" s="249">
        <f t="shared" ca="1" si="293"/>
        <v>-118568.58067404108</v>
      </c>
      <c r="O135" s="249">
        <f t="shared" ca="1" si="293"/>
        <v>-122277.17043167283</v>
      </c>
      <c r="P135" s="249">
        <f t="shared" ca="1" si="293"/>
        <v>-126091.631226167</v>
      </c>
      <c r="Q135" s="249">
        <f t="shared" ca="1" si="293"/>
        <v>-130013.76348584369</v>
      </c>
      <c r="R135" s="249">
        <f t="shared" ca="1" si="293"/>
        <v>-134045.40681751375</v>
      </c>
      <c r="S135" s="249">
        <f t="shared" ca="1" si="293"/>
        <v>-138188.44075834891</v>
      </c>
      <c r="T135" s="249">
        <f t="shared" ca="1" si="293"/>
        <v>-142444.78554310722</v>
      </c>
      <c r="U135" s="249">
        <f t="shared" ca="1" si="293"/>
        <v>-146816.4028870161</v>
      </c>
      <c r="V135" s="249">
        <f t="shared" ca="1" si="293"/>
        <v>-151305.29678462396</v>
      </c>
      <c r="W135" s="249">
        <f t="shared" ca="1" si="293"/>
        <v>-155913.51432493661</v>
      </c>
      <c r="X135" s="249">
        <f t="shared" ca="1" si="293"/>
        <v>-160643.1465231606</v>
      </c>
      <c r="Y135" s="249">
        <f t="shared" ca="1" si="293"/>
        <v>-165496.32916938313</v>
      </c>
      <c r="Z135" s="249">
        <f t="shared" ca="1" si="293"/>
        <v>-170475.24369452382</v>
      </c>
      <c r="AA135" s="249">
        <f t="shared" ca="1" si="293"/>
        <v>-175582.11805390107</v>
      </c>
      <c r="AB135" s="249">
        <f t="shared" ca="1" si="293"/>
        <v>-180819.22762876234</v>
      </c>
      <c r="AC135" s="249">
        <f t="shared" ca="1" si="293"/>
        <v>-186188.89614613424</v>
      </c>
      <c r="AD135" s="249">
        <f t="shared" ca="1" si="293"/>
        <v>-191693.49661735696</v>
      </c>
      <c r="AE135" s="249">
        <f t="shared" ca="1" si="293"/>
        <v>-197335.45229567241</v>
      </c>
      <c r="AF135" s="249">
        <f t="shared" ca="1" si="293"/>
        <v>-203117.23765324577</v>
      </c>
      <c r="AG135" s="249">
        <f t="shared" ca="1" si="293"/>
        <v>-209041.37937800531</v>
      </c>
      <c r="AH135" s="249">
        <f t="shared" ca="1" si="293"/>
        <v>-215110.45739069436</v>
      </c>
      <c r="AI135" s="249">
        <f t="shared" ca="1" si="293"/>
        <v>-221327.1058825372</v>
      </c>
      <c r="AJ135" s="249">
        <f t="shared" ca="1" si="293"/>
        <v>-227694.01437392793</v>
      </c>
      <c r="AK135" s="249">
        <f t="shared" ca="1" si="293"/>
        <v>-234213.92879456034</v>
      </c>
      <c r="AL135" s="249">
        <f t="shared" ca="1" si="293"/>
        <v>-240889.65258542518</v>
      </c>
      <c r="AM135" s="249">
        <f t="shared" ca="1" si="293"/>
        <v>-247724.04782310885</v>
      </c>
      <c r="AN135" s="249">
        <f t="shared" ca="1" si="293"/>
        <v>-252496.95594288918</v>
      </c>
      <c r="AO135" s="249">
        <f t="shared" ca="1" si="293"/>
        <v>-257370.47188828539</v>
      </c>
      <c r="AP135" s="249">
        <f t="shared" ref="AP135:BU135" ca="1" si="294">IF(_arpuP3=0,-_NewSalesP3*_r.systdepP3,-_activeinstallationsEoPP3*_r.systdepP3)</f>
        <v>-262346.55631917744</v>
      </c>
      <c r="AQ135" s="249">
        <f t="shared" ca="1" si="294"/>
        <v>-267427.20962360955</v>
      </c>
      <c r="AR135" s="249">
        <f t="shared" ca="1" si="294"/>
        <v>-272614.47270720312</v>
      </c>
      <c r="AS135" s="249">
        <f t="shared" ca="1" si="294"/>
        <v>-277910.42779841094</v>
      </c>
      <c r="AT135" s="249">
        <f t="shared" ca="1" si="294"/>
        <v>-283317.19926992559</v>
      </c>
      <c r="AU135" s="249">
        <f t="shared" ca="1" si="294"/>
        <v>-288836.9544765685</v>
      </c>
      <c r="AV135" s="249">
        <f t="shared" ca="1" si="294"/>
        <v>-294471.90460998524</v>
      </c>
      <c r="AW135" s="249">
        <f t="shared" ca="1" si="294"/>
        <v>-300224.30557048495</v>
      </c>
      <c r="AX135" s="249">
        <f t="shared" ca="1" si="294"/>
        <v>-306096.458856365</v>
      </c>
      <c r="AY135" s="249">
        <f t="shared" ca="1" si="294"/>
        <v>-312090.71247107134</v>
      </c>
      <c r="AZ135" s="249">
        <f t="shared" ca="1" si="294"/>
        <v>-318209.46184854949</v>
      </c>
      <c r="BA135" s="249">
        <f t="shared" ca="1" si="294"/>
        <v>-324455.15079715004</v>
      </c>
      <c r="BB135" s="249">
        <f t="shared" ca="1" si="294"/>
        <v>-330830.27246245975</v>
      </c>
      <c r="BC135" s="249">
        <f t="shared" ca="1" si="294"/>
        <v>-337337.37030943536</v>
      </c>
      <c r="BD135" s="249">
        <f t="shared" ca="1" si="294"/>
        <v>-343979.03912422655</v>
      </c>
      <c r="BE135" s="249">
        <f t="shared" ca="1" si="294"/>
        <v>-350757.92603608099</v>
      </c>
      <c r="BF135" s="249">
        <f t="shared" ca="1" si="294"/>
        <v>-357676.73155973223</v>
      </c>
      <c r="BG135" s="249">
        <f t="shared" ca="1" si="294"/>
        <v>-364738.21065868071</v>
      </c>
      <c r="BH135" s="249">
        <f t="shared" ca="1" si="294"/>
        <v>-371945.17382978398</v>
      </c>
      <c r="BI135" s="249">
        <f t="shared" ca="1" si="294"/>
        <v>-379300.48820958339</v>
      </c>
      <c r="BJ135" s="249">
        <f t="shared" ca="1" si="294"/>
        <v>-386807.07870280021</v>
      </c>
      <c r="BK135" s="249">
        <f t="shared" ca="1" si="294"/>
        <v>-394467.9291334445</v>
      </c>
      <c r="BL135" s="249">
        <f t="shared" ca="1" si="294"/>
        <v>-402286.08341898926</v>
      </c>
      <c r="BM135" s="249">
        <f t="shared" ca="1" si="294"/>
        <v>-410264.64676806959</v>
      </c>
      <c r="BN135" s="249">
        <f t="shared" ca="1" si="294"/>
        <v>-418406.7869021779</v>
      </c>
      <c r="BO135" s="249">
        <f t="shared" ca="1" si="294"/>
        <v>-426715.73530183441</v>
      </c>
      <c r="BP135" s="249">
        <f t="shared" ca="1" si="294"/>
        <v>-435194.78847772127</v>
      </c>
      <c r="BQ135" s="249">
        <f t="shared" ca="1" si="294"/>
        <v>-443847.3092672808</v>
      </c>
      <c r="BR135" s="249">
        <f t="shared" ca="1" si="294"/>
        <v>-452095.7872986584</v>
      </c>
      <c r="BS135" s="249">
        <f t="shared" ca="1" si="294"/>
        <v>-460099.26666682912</v>
      </c>
      <c r="BT135" s="249">
        <f t="shared" ca="1" si="294"/>
        <v>-467856.94708076707</v>
      </c>
      <c r="BU135" s="249">
        <f t="shared" ca="1" si="294"/>
        <v>-475367.97124680365</v>
      </c>
      <c r="BV135" s="249">
        <f t="shared" ref="BV135:DA135" ca="1" si="295">IF(_arpuP3=0,-_NewSalesP3*_r.systdepP3,-_activeinstallationsEoPP3*_r.systdepP3)</f>
        <v>-482631.42413854256</v>
      </c>
      <c r="BW135" s="249">
        <f t="shared" ca="1" si="295"/>
        <v>-489646.33224807406</v>
      </c>
      <c r="BX135" s="249">
        <f t="shared" ca="1" si="295"/>
        <v>-496411.66281815438</v>
      </c>
      <c r="BY135" s="249">
        <f t="shared" ca="1" si="295"/>
        <v>-502926.32305501099</v>
      </c>
      <c r="BZ135" s="249">
        <f t="shared" ca="1" si="295"/>
        <v>-509189.15932142566</v>
      </c>
      <c r="CA135" s="249">
        <f t="shared" ca="1" si="295"/>
        <v>-515198.95630974142</v>
      </c>
      <c r="CB135" s="249">
        <f t="shared" ca="1" si="295"/>
        <v>-520954.43619443028</v>
      </c>
      <c r="CC135" s="249">
        <f t="shared" ca="1" si="295"/>
        <v>-526454.25776385376</v>
      </c>
      <c r="CD135" s="249">
        <f t="shared" ca="1" si="295"/>
        <v>-531697.0155308363</v>
      </c>
      <c r="CE135" s="249">
        <f t="shared" ca="1" si="295"/>
        <v>-536681.23882166727</v>
      </c>
      <c r="CF135" s="249">
        <f t="shared" ca="1" si="295"/>
        <v>-541405.39084313856</v>
      </c>
      <c r="CG135" s="249">
        <f t="shared" ca="1" si="295"/>
        <v>-545867.86772721482</v>
      </c>
      <c r="CH135" s="249">
        <f t="shared" ca="1" si="295"/>
        <v>-550066.99755292595</v>
      </c>
      <c r="CI135" s="249">
        <f t="shared" ca="1" si="295"/>
        <v>-554001.0393450656</v>
      </c>
      <c r="CJ135" s="249">
        <f t="shared" ca="1" si="295"/>
        <v>-557668.18204926315</v>
      </c>
      <c r="CK135" s="249">
        <f t="shared" ca="1" si="295"/>
        <v>-561066.54348299769</v>
      </c>
      <c r="CL135" s="249">
        <f t="shared" ca="1" si="295"/>
        <v>-564194.16926210513</v>
      </c>
      <c r="CM135" s="249">
        <f t="shared" ca="1" si="295"/>
        <v>-567049.03170232603</v>
      </c>
      <c r="CN135" s="249">
        <f t="shared" ca="1" si="295"/>
        <v>-569629.02869542746</v>
      </c>
      <c r="CO135" s="249">
        <f t="shared" ca="1" si="295"/>
        <v>-571931.98255942611</v>
      </c>
      <c r="CP135" s="249">
        <f t="shared" ca="1" si="295"/>
        <v>-573955.63886242989</v>
      </c>
      <c r="CQ135" s="249">
        <f t="shared" ca="1" si="295"/>
        <v>-575697.66521960124</v>
      </c>
      <c r="CR135" s="249">
        <f t="shared" ca="1" si="295"/>
        <v>-577155.65006274264</v>
      </c>
      <c r="CS135" s="249">
        <f t="shared" ca="1" si="295"/>
        <v>-578327.10138198524</v>
      </c>
      <c r="CT135" s="249">
        <f t="shared" ca="1" si="295"/>
        <v>-579209.44543905859</v>
      </c>
      <c r="CU135" s="249">
        <f t="shared" ca="1" si="295"/>
        <v>-579800.02545160521</v>
      </c>
      <c r="CV135" s="249">
        <f t="shared" ca="1" si="295"/>
        <v>-580361.21287897578</v>
      </c>
      <c r="CW135" s="249">
        <f t="shared" ca="1" si="295"/>
        <v>-580904.76727408706</v>
      </c>
      <c r="CX135" s="249">
        <f t="shared" ca="1" si="295"/>
        <v>-581430.62454410165</v>
      </c>
      <c r="CY135" s="249">
        <f t="shared" ca="1" si="295"/>
        <v>-581938.71642864787</v>
      </c>
      <c r="CZ135" s="249">
        <f t="shared" ca="1" si="295"/>
        <v>-582428.9704453249</v>
      </c>
      <c r="DA135" s="249">
        <f t="shared" ca="1" si="295"/>
        <v>-582901.30983383104</v>
      </c>
      <c r="DB135" s="249">
        <f t="shared" ref="DB135:DY135" ca="1" si="296">IF(_arpuP3=0,-_NewSalesP3*_r.systdepP3,-_activeinstallationsEoPP3*_r.systdepP3)</f>
        <v>-583355.6534986879</v>
      </c>
      <c r="DC135" s="249">
        <f t="shared" ca="1" si="296"/>
        <v>-583791.91595053673</v>
      </c>
      <c r="DD135" s="249">
        <f t="shared" ca="1" si="296"/>
        <v>-584210.00724598032</v>
      </c>
      <c r="DE135" s="249">
        <f t="shared" ca="1" si="296"/>
        <v>-584609.83292594505</v>
      </c>
      <c r="DF135" s="249">
        <f t="shared" ca="1" si="296"/>
        <v>-584991.29395253526</v>
      </c>
      <c r="DG135" s="249">
        <f t="shared" ca="1" si="296"/>
        <v>-585354.28664435307</v>
      </c>
      <c r="DH135" s="249">
        <f t="shared" ca="1" si="296"/>
        <v>-585698.70261025615</v>
      </c>
      <c r="DI135" s="249">
        <f t="shared" ca="1" si="296"/>
        <v>-586024.42868152389</v>
      </c>
      <c r="DJ135" s="249">
        <f t="shared" ca="1" si="296"/>
        <v>-586331.34684240283</v>
      </c>
      <c r="DK135" s="249">
        <f t="shared" ca="1" si="296"/>
        <v>-586619.33415900345</v>
      </c>
      <c r="DL135" s="249">
        <f t="shared" ca="1" si="296"/>
        <v>-586888.26270651515</v>
      </c>
      <c r="DM135" s="249">
        <f t="shared" ca="1" si="296"/>
        <v>-587137.99949471024</v>
      </c>
      <c r="DN135" s="249">
        <f t="shared" ca="1" si="296"/>
        <v>-587368.40639170527</v>
      </c>
      <c r="DO135" s="249">
        <f t="shared" ca="1" si="296"/>
        <v>-587579.34004594572</v>
      </c>
      <c r="DP135" s="249">
        <f t="shared" ca="1" si="296"/>
        <v>-587770.65180638351</v>
      </c>
      <c r="DQ135" s="249">
        <f t="shared" ca="1" si="296"/>
        <v>-587942.18764081155</v>
      </c>
      <c r="DR135" s="249">
        <f t="shared" ca="1" si="296"/>
        <v>-588093.78805232164</v>
      </c>
      <c r="DS135" s="249">
        <f t="shared" ca="1" si="296"/>
        <v>-588225.28799385147</v>
      </c>
      <c r="DT135" s="249">
        <f t="shared" ca="1" si="296"/>
        <v>-588336.51678078366</v>
      </c>
      <c r="DU135" s="249">
        <f t="shared" ca="1" si="296"/>
        <v>-588427.29800156062</v>
      </c>
      <c r="DV135" s="249">
        <f t="shared" ca="1" si="296"/>
        <v>-588497.44942627812</v>
      </c>
      <c r="DW135" s="249">
        <f t="shared" ca="1" si="296"/>
        <v>-588546.78291321953</v>
      </c>
      <c r="DX135" s="249">
        <f t="shared" ca="1" si="296"/>
        <v>-588575.10431329231</v>
      </c>
      <c r="DY135" s="249">
        <f t="shared" ca="1" si="296"/>
        <v>-588582.21337232518</v>
      </c>
    </row>
    <row r="136" spans="1:129" s="19" customFormat="1" outlineLevel="2">
      <c r="A136" s="20"/>
      <c r="B136" s="60"/>
      <c r="C136" s="9" t="str">
        <f>'Model Assumptions'!$J$24&amp;" - COGS related to active installations"</f>
        <v>Product 4 - COGS related to active installations</v>
      </c>
      <c r="D136" s="9"/>
      <c r="E136" s="30"/>
      <c r="F136" s="5"/>
      <c r="G136" s="287" t="s">
        <v>624</v>
      </c>
      <c r="H136" s="14"/>
      <c r="I136" s="14"/>
      <c r="J136" s="249">
        <f t="shared" ref="J136:AO136" ca="1" si="297">IF(_arpuP4=0,-_NewSalesP4*_r.systdepP4,-_activeinstallationsEoPP4*_r.systdepP4)</f>
        <v>-103978.66939197887</v>
      </c>
      <c r="K136" s="249">
        <f t="shared" ca="1" si="297"/>
        <v>-106972.22709003795</v>
      </c>
      <c r="L136" s="249">
        <f t="shared" ca="1" si="297"/>
        <v>-110076.08646111644</v>
      </c>
      <c r="M136" s="249">
        <f t="shared" ca="1" si="297"/>
        <v>-113291.94923348416</v>
      </c>
      <c r="N136" s="249">
        <f t="shared" ca="1" si="297"/>
        <v>-116621.55621302819</v>
      </c>
      <c r="O136" s="249">
        <f t="shared" ca="1" si="297"/>
        <v>-120066.68801437478</v>
      </c>
      <c r="P136" s="249">
        <f t="shared" ca="1" si="297"/>
        <v>-123629.16580713786</v>
      </c>
      <c r="Q136" s="249">
        <f t="shared" ca="1" si="297"/>
        <v>-127310.85207759189</v>
      </c>
      <c r="R136" s="249">
        <f t="shared" ca="1" si="297"/>
        <v>-131113.65140607228</v>
      </c>
      <c r="S136" s="249">
        <f t="shared" ca="1" si="297"/>
        <v>-135039.51126041345</v>
      </c>
      <c r="T136" s="249">
        <f t="shared" ca="1" si="297"/>
        <v>-139090.42280573965</v>
      </c>
      <c r="U136" s="249">
        <f t="shared" ca="1" si="297"/>
        <v>-143268.42173093162</v>
      </c>
      <c r="V136" s="249">
        <f t="shared" ca="1" si="297"/>
        <v>-147575.58909209707</v>
      </c>
      <c r="W136" s="249">
        <f t="shared" ca="1" si="297"/>
        <v>-152014.05217338077</v>
      </c>
      <c r="X136" s="249">
        <f t="shared" ca="1" si="297"/>
        <v>-156585.98536545617</v>
      </c>
      <c r="Y136" s="249">
        <f t="shared" ca="1" si="297"/>
        <v>-161293.61106204745</v>
      </c>
      <c r="Z136" s="249">
        <f t="shared" ca="1" si="297"/>
        <v>-166139.20057483812</v>
      </c>
      <c r="AA136" s="249">
        <f t="shared" ca="1" si="297"/>
        <v>-171125.07506712957</v>
      </c>
      <c r="AB136" s="249">
        <f t="shared" ca="1" si="297"/>
        <v>-176253.60650661931</v>
      </c>
      <c r="AC136" s="249">
        <f t="shared" ca="1" si="297"/>
        <v>-181527.21863767778</v>
      </c>
      <c r="AD136" s="249">
        <f t="shared" ca="1" si="297"/>
        <v>-186948.38797350859</v>
      </c>
      <c r="AE136" s="249">
        <f t="shared" ca="1" si="297"/>
        <v>-192519.6448085857</v>
      </c>
      <c r="AF136" s="249">
        <f t="shared" ca="1" si="297"/>
        <v>-198243.57425176864</v>
      </c>
      <c r="AG136" s="249">
        <f t="shared" ca="1" si="297"/>
        <v>-204122.81728050561</v>
      </c>
      <c r="AH136" s="249">
        <f t="shared" ca="1" si="297"/>
        <v>-208043.63271532432</v>
      </c>
      <c r="AI136" s="249">
        <f t="shared" ca="1" si="297"/>
        <v>-212049.16118108621</v>
      </c>
      <c r="AJ136" s="249">
        <f t="shared" ca="1" si="297"/>
        <v>-216141.03397118775</v>
      </c>
      <c r="AK136" s="249">
        <f t="shared" ca="1" si="297"/>
        <v>-220320.91563456546</v>
      </c>
      <c r="AL136" s="249">
        <f t="shared" ca="1" si="297"/>
        <v>-224590.50463451009</v>
      </c>
      <c r="AM136" s="249">
        <f t="shared" ca="1" si="297"/>
        <v>-228951.53402072008</v>
      </c>
      <c r="AN136" s="249">
        <f t="shared" ca="1" si="297"/>
        <v>-233405.77211485797</v>
      </c>
      <c r="AO136" s="249">
        <f t="shared" ca="1" si="297"/>
        <v>-237955.02320988034</v>
      </c>
      <c r="AP136" s="249">
        <f t="shared" ref="AP136:BU136" ca="1" si="298">IF(_arpuP4=0,-_NewSalesP4*_r.systdepP4,-_activeinstallationsEoPP4*_r.systdepP4)</f>
        <v>-242601.12828341484</v>
      </c>
      <c r="AQ136" s="249">
        <f t="shared" ca="1" si="298"/>
        <v>-247345.96572546562</v>
      </c>
      <c r="AR136" s="249">
        <f t="shared" ca="1" si="298"/>
        <v>-252191.45208073253</v>
      </c>
      <c r="AS136" s="249">
        <f t="shared" ca="1" si="298"/>
        <v>-257139.54280583613</v>
      </c>
      <c r="AT136" s="249">
        <f t="shared" ca="1" si="298"/>
        <v>-262192.23304174584</v>
      </c>
      <c r="AU136" s="249">
        <f t="shared" ca="1" si="298"/>
        <v>-267351.55840171484</v>
      </c>
      <c r="AV136" s="249">
        <f t="shared" ca="1" si="298"/>
        <v>-272619.59577503073</v>
      </c>
      <c r="AW136" s="249">
        <f t="shared" ca="1" si="298"/>
        <v>-277998.46414689906</v>
      </c>
      <c r="AX136" s="249">
        <f t="shared" ca="1" si="298"/>
        <v>-283490.32543478004</v>
      </c>
      <c r="AY136" s="249">
        <f t="shared" ca="1" si="298"/>
        <v>-289097.38534150826</v>
      </c>
      <c r="AZ136" s="249">
        <f t="shared" ca="1" si="298"/>
        <v>-294821.89422552951</v>
      </c>
      <c r="BA136" s="249">
        <f t="shared" ca="1" si="298"/>
        <v>-300666.14798859827</v>
      </c>
      <c r="BB136" s="249">
        <f t="shared" ca="1" si="298"/>
        <v>-306632.4889812817</v>
      </c>
      <c r="BC136" s="249">
        <f t="shared" ca="1" si="298"/>
        <v>-312723.30692662863</v>
      </c>
      <c r="BD136" s="249">
        <f t="shared" ca="1" si="298"/>
        <v>-318941.0398623643</v>
      </c>
      <c r="BE136" s="249">
        <f t="shared" ca="1" si="298"/>
        <v>-325288.17510198156</v>
      </c>
      <c r="BF136" s="249">
        <f t="shared" ca="1" si="298"/>
        <v>-331600.96622128884</v>
      </c>
      <c r="BG136" s="249">
        <f t="shared" ca="1" si="298"/>
        <v>-338042.31060878222</v>
      </c>
      <c r="BH136" s="249">
        <f t="shared" ca="1" si="298"/>
        <v>-344614.75635536725</v>
      </c>
      <c r="BI136" s="249">
        <f t="shared" ca="1" si="298"/>
        <v>-351320.90274351236</v>
      </c>
      <c r="BJ136" s="249">
        <f t="shared" ca="1" si="298"/>
        <v>-358163.40126878268</v>
      </c>
      <c r="BK136" s="249">
        <f t="shared" ca="1" si="298"/>
        <v>-365144.95668182685</v>
      </c>
      <c r="BL136" s="249">
        <f t="shared" ca="1" si="298"/>
        <v>-372268.32805122779</v>
      </c>
      <c r="BM136" s="249">
        <f t="shared" ca="1" si="298"/>
        <v>-379536.32984763168</v>
      </c>
      <c r="BN136" s="249">
        <f t="shared" ca="1" si="298"/>
        <v>-386951.83304958232</v>
      </c>
      <c r="BO136" s="249">
        <f t="shared" ca="1" si="298"/>
        <v>-394517.76627149462</v>
      </c>
      <c r="BP136" s="249">
        <f t="shared" ca="1" si="298"/>
        <v>-402237.1169142084</v>
      </c>
      <c r="BQ136" s="249">
        <f t="shared" ca="1" si="298"/>
        <v>-410112.93233857618</v>
      </c>
      <c r="BR136" s="249">
        <f t="shared" ca="1" si="298"/>
        <v>-417706.06545419467</v>
      </c>
      <c r="BS136" s="249">
        <f t="shared" ca="1" si="298"/>
        <v>-425015.26460106118</v>
      </c>
      <c r="BT136" s="249">
        <f t="shared" ca="1" si="298"/>
        <v>-432039.20906611136</v>
      </c>
      <c r="BU136" s="249">
        <f t="shared" ca="1" si="298"/>
        <v>-438776.50814235635</v>
      </c>
      <c r="BV136" s="249">
        <f t="shared" ref="BV136:DA136" ca="1" si="299">IF(_arpuP4=0,-_NewSalesP4*_r.systdepP4,-_activeinstallationsEoPP4*_r.systdepP4)</f>
        <v>-445225.70016480109</v>
      </c>
      <c r="BW136" s="249">
        <f t="shared" ca="1" si="299"/>
        <v>-451385.25152272289</v>
      </c>
      <c r="BX136" s="249">
        <f t="shared" ca="1" si="299"/>
        <v>-457253.555647881</v>
      </c>
      <c r="BY136" s="249">
        <f t="shared" ca="1" si="299"/>
        <v>-462828.93197821931</v>
      </c>
      <c r="BZ136" s="249">
        <f t="shared" ca="1" si="299"/>
        <v>-468109.62489661475</v>
      </c>
      <c r="CA136" s="249">
        <f t="shared" ca="1" si="299"/>
        <v>-473093.80264421389</v>
      </c>
      <c r="CB136" s="249">
        <f t="shared" ca="1" si="299"/>
        <v>-477779.55620789237</v>
      </c>
      <c r="CC136" s="249">
        <f t="shared" ca="1" si="299"/>
        <v>-482164.89818136062</v>
      </c>
      <c r="CD136" s="249">
        <f t="shared" ca="1" si="299"/>
        <v>-486234.69702951849</v>
      </c>
      <c r="CE136" s="249">
        <f t="shared" ca="1" si="299"/>
        <v>-489999.40012855735</v>
      </c>
      <c r="CF136" s="249">
        <f t="shared" ca="1" si="299"/>
        <v>-493456.7704807556</v>
      </c>
      <c r="CG136" s="249">
        <f t="shared" ca="1" si="299"/>
        <v>-496604.48769926472</v>
      </c>
      <c r="CH136" s="249">
        <f t="shared" ca="1" si="299"/>
        <v>-499440.14672681817</v>
      </c>
      <c r="CI136" s="249">
        <f t="shared" ca="1" si="299"/>
        <v>-501961.25652495027</v>
      </c>
      <c r="CJ136" s="249">
        <f t="shared" ca="1" si="299"/>
        <v>-504165.23873317207</v>
      </c>
      <c r="CK136" s="249">
        <f t="shared" ca="1" si="299"/>
        <v>-506049.42629754427</v>
      </c>
      <c r="CL136" s="249">
        <f t="shared" ca="1" si="299"/>
        <v>-507611.06206807005</v>
      </c>
      <c r="CM136" s="249">
        <f t="shared" ca="1" si="299"/>
        <v>-508847.29736432369</v>
      </c>
      <c r="CN136" s="249">
        <f t="shared" ca="1" si="299"/>
        <v>-509755.19050871668</v>
      </c>
      <c r="CO136" s="249">
        <f t="shared" ca="1" si="299"/>
        <v>-510331.70532678958</v>
      </c>
      <c r="CP136" s="249">
        <f t="shared" ca="1" si="299"/>
        <v>-510886.433121624</v>
      </c>
      <c r="CQ136" s="249">
        <f t="shared" ca="1" si="299"/>
        <v>-511419.27132595109</v>
      </c>
      <c r="CR136" s="249">
        <f t="shared" ca="1" si="299"/>
        <v>-511930.1119894248</v>
      </c>
      <c r="CS136" s="249">
        <f t="shared" ca="1" si="299"/>
        <v>-512418.84170427738</v>
      </c>
      <c r="CT136" s="249">
        <f t="shared" ca="1" si="299"/>
        <v>-512885.3415291555</v>
      </c>
      <c r="CU136" s="249">
        <f t="shared" ca="1" si="299"/>
        <v>-513329.48691110226</v>
      </c>
      <c r="CV136" s="249">
        <f t="shared" ca="1" si="299"/>
        <v>-513751.14760565339</v>
      </c>
      <c r="CW136" s="249">
        <f t="shared" ca="1" si="299"/>
        <v>-514150.1875950112</v>
      </c>
      <c r="CX136" s="249">
        <f t="shared" ca="1" si="299"/>
        <v>-514526.46500426281</v>
      </c>
      <c r="CY136" s="249">
        <f t="shared" ca="1" si="299"/>
        <v>-514879.832015605</v>
      </c>
      <c r="CZ136" s="249">
        <f t="shared" ca="1" si="299"/>
        <v>-515210.13478054042</v>
      </c>
      <c r="DA136" s="249">
        <f t="shared" ca="1" si="299"/>
        <v>-515517.21333000739</v>
      </c>
      <c r="DB136" s="249">
        <f t="shared" ref="DB136:DY136" ca="1" si="300">IF(_arpuP4=0,-_NewSalesP4*_r.systdepP4,-_activeinstallationsEoPP4*_r.systdepP4)</f>
        <v>-515799.87502770434</v>
      </c>
      <c r="DC136" s="249">
        <f t="shared" ca="1" si="300"/>
        <v>-516058.9369543232</v>
      </c>
      <c r="DD136" s="249">
        <f t="shared" ca="1" si="300"/>
        <v>-516294.21964449278</v>
      </c>
      <c r="DE136" s="249">
        <f t="shared" ca="1" si="300"/>
        <v>-516505.5371182338</v>
      </c>
      <c r="DF136" s="249">
        <f t="shared" ca="1" si="300"/>
        <v>-516692.69677992002</v>
      </c>
      <c r="DG136" s="249">
        <f t="shared" ca="1" si="300"/>
        <v>-516855.49931492581</v>
      </c>
      <c r="DH136" s="249">
        <f t="shared" ca="1" si="300"/>
        <v>-516993.73858391657</v>
      </c>
      <c r="DI136" s="249">
        <f t="shared" ca="1" si="300"/>
        <v>-517107.20151473908</v>
      </c>
      <c r="DJ136" s="249">
        <f t="shared" ca="1" si="300"/>
        <v>-517195.6679918656</v>
      </c>
      <c r="DK136" s="249">
        <f t="shared" ca="1" si="300"/>
        <v>-517258.91074334527</v>
      </c>
      <c r="DL136" s="249">
        <f t="shared" ca="1" si="300"/>
        <v>-517296.69522521709</v>
      </c>
      <c r="DM136" s="249">
        <f t="shared" ca="1" si="300"/>
        <v>-517308.77950333519</v>
      </c>
      <c r="DN136" s="249">
        <f t="shared" ca="1" si="300"/>
        <v>-517319.48413497128</v>
      </c>
      <c r="DO136" s="249">
        <f t="shared" ca="1" si="300"/>
        <v>-517328.79774051631</v>
      </c>
      <c r="DP136" s="249">
        <f t="shared" ca="1" si="300"/>
        <v>-517336.70855063549</v>
      </c>
      <c r="DQ136" s="249">
        <f t="shared" ca="1" si="300"/>
        <v>-517343.20440009591</v>
      </c>
      <c r="DR136" s="249">
        <f t="shared" ca="1" si="300"/>
        <v>-517348.27272145293</v>
      </c>
      <c r="DS136" s="249">
        <f t="shared" ca="1" si="300"/>
        <v>-517351.90053859528</v>
      </c>
      <c r="DT136" s="249">
        <f t="shared" ca="1" si="300"/>
        <v>-517354.07446014514</v>
      </c>
      <c r="DU136" s="249">
        <f t="shared" ca="1" si="300"/>
        <v>-517354.78067271021</v>
      </c>
      <c r="DV136" s="249">
        <f t="shared" ca="1" si="300"/>
        <v>-517354.00493398466</v>
      </c>
      <c r="DW136" s="249">
        <f t="shared" ca="1" si="300"/>
        <v>-517351.73256569833</v>
      </c>
      <c r="DX136" s="249">
        <f t="shared" ca="1" si="300"/>
        <v>-517347.94844640774</v>
      </c>
      <c r="DY136" s="249">
        <f t="shared" ca="1" si="300"/>
        <v>-517342.63700412924</v>
      </c>
    </row>
    <row r="137" spans="1:129" s="19" customFormat="1" outlineLevel="2">
      <c r="A137" s="20"/>
      <c r="B137" s="60"/>
      <c r="C137" s="9" t="str">
        <f>'Model Assumptions'!$K$24&amp;" - COGS related to active installations"</f>
        <v>Product 5 - COGS related to active installations</v>
      </c>
      <c r="D137" s="9"/>
      <c r="E137" s="30"/>
      <c r="F137" s="5"/>
      <c r="G137" s="287" t="s">
        <v>624</v>
      </c>
      <c r="H137" s="14"/>
      <c r="I137" s="14"/>
      <c r="J137" s="249">
        <f t="shared" ref="J137:AO137" ca="1" si="301">IF(_arpuP5=0,-_NewSalesP5*_r.systdepP5,-_activeinstallationsEoPP5*_r.systdepP5)</f>
        <v>-6673.9973130659619</v>
      </c>
      <c r="K137" s="249">
        <f t="shared" ca="1" si="301"/>
        <v>-10013.904653001266</v>
      </c>
      <c r="L137" s="249">
        <f t="shared" ca="1" si="301"/>
        <v>-13390.531544537214</v>
      </c>
      <c r="M137" s="249">
        <f t="shared" ca="1" si="301"/>
        <v>-16804.913164657806</v>
      </c>
      <c r="N137" s="249">
        <f t="shared" ca="1" si="301"/>
        <v>-20258.102386027193</v>
      </c>
      <c r="O137" s="249">
        <f t="shared" ca="1" si="301"/>
        <v>-23751.170160981885</v>
      </c>
      <c r="P137" s="249">
        <f t="shared" ca="1" si="301"/>
        <v>-27285.205912902009</v>
      </c>
      <c r="Q137" s="249">
        <f t="shared" ca="1" si="301"/>
        <v>-30861.317935112213</v>
      </c>
      <c r="R137" s="249">
        <f t="shared" ca="1" si="301"/>
        <v>-34480.633797465773</v>
      </c>
      <c r="S137" s="249">
        <f t="shared" ca="1" si="301"/>
        <v>-38144.300760768572</v>
      </c>
      <c r="T137" s="249">
        <f t="shared" ca="1" si="301"/>
        <v>-41853.486199202576</v>
      </c>
      <c r="U137" s="249">
        <f t="shared" ca="1" si="301"/>
        <v>-45609.378030911757</v>
      </c>
      <c r="V137" s="249">
        <f t="shared" ca="1" si="301"/>
        <v>-49413.185156916545</v>
      </c>
      <c r="W137" s="249">
        <f t="shared" ca="1" si="301"/>
        <v>-53266.137908526252</v>
      </c>
      <c r="X137" s="249">
        <f t="shared" ca="1" si="301"/>
        <v>-57169.488503422122</v>
      </c>
      <c r="Y137" s="249">
        <f t="shared" ca="1" si="301"/>
        <v>-61124.511510587326</v>
      </c>
      <c r="Z137" s="249">
        <f t="shared" ca="1" si="301"/>
        <v>-65132.504324263551</v>
      </c>
      <c r="AA137" s="249">
        <f t="shared" ca="1" si="301"/>
        <v>-69194.787647117337</v>
      </c>
      <c r="AB137" s="249">
        <f t="shared" ca="1" si="301"/>
        <v>-73312.705982803207</v>
      </c>
      <c r="AC137" s="249">
        <f t="shared" ca="1" si="301"/>
        <v>-77487.628138114043</v>
      </c>
      <c r="AD137" s="249">
        <f t="shared" ca="1" si="301"/>
        <v>-81720.947734913236</v>
      </c>
      <c r="AE137" s="249">
        <f t="shared" ca="1" si="301"/>
        <v>-86014.083732046711</v>
      </c>
      <c r="AF137" s="249">
        <f t="shared" ca="1" si="301"/>
        <v>-90368.480957437161</v>
      </c>
      <c r="AG137" s="249">
        <f t="shared" ca="1" si="301"/>
        <v>-94785.610650566639</v>
      </c>
      <c r="AH137" s="249">
        <f t="shared" ca="1" si="301"/>
        <v>-96927.983654448122</v>
      </c>
      <c r="AI137" s="249">
        <f t="shared" ca="1" si="301"/>
        <v>-99110.893520936501</v>
      </c>
      <c r="AJ137" s="249">
        <f t="shared" ca="1" si="301"/>
        <v>-101335.17409325865</v>
      </c>
      <c r="AK137" s="249">
        <f t="shared" ca="1" si="301"/>
        <v>-103601.67566044616</v>
      </c>
      <c r="AL137" s="249">
        <f t="shared" ca="1" si="301"/>
        <v>-105911.26528856216</v>
      </c>
      <c r="AM137" s="249">
        <f t="shared" ca="1" si="301"/>
        <v>-108264.82715852937</v>
      </c>
      <c r="AN137" s="249">
        <f t="shared" ca="1" si="301"/>
        <v>-110663.2629106919</v>
      </c>
      <c r="AO137" s="249">
        <f t="shared" ca="1" si="301"/>
        <v>-113107.49199624575</v>
      </c>
      <c r="AP137" s="249">
        <f t="shared" ref="AP137:BU137" ca="1" si="302">IF(_arpuP5=0,-_NewSalesP5*_r.systdepP5,-_activeinstallationsEoPP5*_r.systdepP5)</f>
        <v>-115598.45203567523</v>
      </c>
      <c r="AQ137" s="249">
        <f t="shared" ca="1" si="302"/>
        <v>-118137.09918433623</v>
      </c>
      <c r="AR137" s="249">
        <f t="shared" ca="1" si="302"/>
        <v>-120724.40850532895</v>
      </c>
      <c r="AS137" s="249">
        <f t="shared" ca="1" si="302"/>
        <v>-123361.37434980641</v>
      </c>
      <c r="AT137" s="249">
        <f t="shared" ca="1" si="302"/>
        <v>-126049.01074486769</v>
      </c>
      <c r="AU137" s="249">
        <f t="shared" ca="1" si="302"/>
        <v>-128788.35178918749</v>
      </c>
      <c r="AV137" s="249">
        <f t="shared" ca="1" si="302"/>
        <v>-131580.45205653744</v>
      </c>
      <c r="AW137" s="249">
        <f t="shared" ca="1" si="302"/>
        <v>-134426.38700735668</v>
      </c>
      <c r="AX137" s="249">
        <f t="shared" ca="1" si="302"/>
        <v>-137327.25340853343</v>
      </c>
      <c r="AY137" s="249">
        <f t="shared" ca="1" si="302"/>
        <v>-140284.16976156132</v>
      </c>
      <c r="AZ137" s="249">
        <f t="shared" ca="1" si="302"/>
        <v>-143298.27673923923</v>
      </c>
      <c r="BA137" s="249">
        <f t="shared" ca="1" si="302"/>
        <v>-146370.73763108414</v>
      </c>
      <c r="BB137" s="249">
        <f t="shared" ca="1" si="302"/>
        <v>-149502.73879763333</v>
      </c>
      <c r="BC137" s="249">
        <f t="shared" ca="1" si="302"/>
        <v>-152695.49013381221</v>
      </c>
      <c r="BD137" s="249">
        <f t="shared" ca="1" si="302"/>
        <v>-155950.22554155038</v>
      </c>
      <c r="BE137" s="249">
        <f t="shared" ca="1" si="302"/>
        <v>-159268.20341183068</v>
      </c>
      <c r="BF137" s="249">
        <f t="shared" ca="1" si="302"/>
        <v>-162466.93799223518</v>
      </c>
      <c r="BG137" s="249">
        <f t="shared" ca="1" si="302"/>
        <v>-165729.52581652522</v>
      </c>
      <c r="BH137" s="249">
        <f t="shared" ca="1" si="302"/>
        <v>-169057.24516405564</v>
      </c>
      <c r="BI137" s="249">
        <f t="shared" ca="1" si="302"/>
        <v>-172451.39986762378</v>
      </c>
      <c r="BJ137" s="249">
        <f t="shared" ca="1" si="302"/>
        <v>-175913.31982465953</v>
      </c>
      <c r="BK137" s="249">
        <f t="shared" ca="1" si="302"/>
        <v>-179444.36151863821</v>
      </c>
      <c r="BL137" s="249">
        <f t="shared" ca="1" si="302"/>
        <v>-183045.90855092072</v>
      </c>
      <c r="BM137" s="249">
        <f t="shared" ca="1" si="302"/>
        <v>-186719.37218322887</v>
      </c>
      <c r="BN137" s="249">
        <f t="shared" ca="1" si="302"/>
        <v>-190466.19189096935</v>
      </c>
      <c r="BO137" s="249">
        <f t="shared" ca="1" si="302"/>
        <v>-194287.835927623</v>
      </c>
      <c r="BP137" s="249">
        <f t="shared" ca="1" si="302"/>
        <v>-198185.8019004204</v>
      </c>
      <c r="BQ137" s="249">
        <f t="shared" ca="1" si="302"/>
        <v>-202161.61735753043</v>
      </c>
      <c r="BR137" s="249">
        <f t="shared" ca="1" si="302"/>
        <v>-205995.71258281649</v>
      </c>
      <c r="BS137" s="249">
        <f t="shared" ca="1" si="302"/>
        <v>-209687.46553705182</v>
      </c>
      <c r="BT137" s="249">
        <f t="shared" ca="1" si="302"/>
        <v>-213236.21961657092</v>
      </c>
      <c r="BU137" s="249">
        <f t="shared" ca="1" si="302"/>
        <v>-216641.28318321754</v>
      </c>
      <c r="BV137" s="249">
        <f t="shared" ref="BV137:DA137" ca="1" si="303">IF(_arpuP5=0,-_NewSalesP5*_r.systdepP5,-_activeinstallationsEoPP5*_r.systdepP5)</f>
        <v>-219901.92908267875</v>
      </c>
      <c r="BW137" s="249">
        <f t="shared" ca="1" si="303"/>
        <v>-223017.39415099612</v>
      </c>
      <c r="BX137" s="249">
        <f t="shared" ca="1" si="303"/>
        <v>-225986.87870903808</v>
      </c>
      <c r="BY137" s="249">
        <f t="shared" ca="1" si="303"/>
        <v>-228809.54604471551</v>
      </c>
      <c r="BZ137" s="249">
        <f t="shared" ca="1" si="303"/>
        <v>-231484.52188271642</v>
      </c>
      <c r="CA137" s="249">
        <f t="shared" ca="1" si="303"/>
        <v>-234010.8938415311</v>
      </c>
      <c r="CB137" s="249">
        <f t="shared" ca="1" si="303"/>
        <v>-236387.71087753543</v>
      </c>
      <c r="CC137" s="249">
        <f t="shared" ca="1" si="303"/>
        <v>-238613.98271589295</v>
      </c>
      <c r="CD137" s="249">
        <f t="shared" ca="1" si="303"/>
        <v>-240674.24092965637</v>
      </c>
      <c r="CE137" s="249">
        <f t="shared" ca="1" si="303"/>
        <v>-242581.69768096344</v>
      </c>
      <c r="CF137" s="249">
        <f t="shared" ca="1" si="303"/>
        <v>-244335.23700683244</v>
      </c>
      <c r="CG137" s="249">
        <f t="shared" ca="1" si="303"/>
        <v>-245933.70122435913</v>
      </c>
      <c r="CH137" s="249">
        <f t="shared" ca="1" si="303"/>
        <v>-247375.89029032527</v>
      </c>
      <c r="CI137" s="249">
        <f t="shared" ca="1" si="303"/>
        <v>-248660.56114605878</v>
      </c>
      <c r="CJ137" s="249">
        <f t="shared" ca="1" si="303"/>
        <v>-249786.42704727055</v>
      </c>
      <c r="CK137" s="249">
        <f t="shared" ca="1" si="303"/>
        <v>-250752.15687858645</v>
      </c>
      <c r="CL137" s="249">
        <f t="shared" ca="1" si="303"/>
        <v>-251556.37445248786</v>
      </c>
      <c r="CM137" s="249">
        <f t="shared" ca="1" si="303"/>
        <v>-252197.65779236687</v>
      </c>
      <c r="CN137" s="249">
        <f t="shared" ca="1" si="303"/>
        <v>-252674.53839939792</v>
      </c>
      <c r="CO137" s="249">
        <f t="shared" ca="1" si="303"/>
        <v>-252985.50050292062</v>
      </c>
      <c r="CP137" s="249">
        <f t="shared" ca="1" si="303"/>
        <v>-253285.34204787927</v>
      </c>
      <c r="CQ137" s="249">
        <f t="shared" ca="1" si="303"/>
        <v>-253574.01402110886</v>
      </c>
      <c r="CR137" s="249">
        <f t="shared" ca="1" si="303"/>
        <v>-253851.46469520108</v>
      </c>
      <c r="CS137" s="249">
        <f t="shared" ca="1" si="303"/>
        <v>-254117.63959155921</v>
      </c>
      <c r="CT137" s="249">
        <f t="shared" ca="1" si="303"/>
        <v>-254372.48144254077</v>
      </c>
      <c r="CU137" s="249">
        <f t="shared" ca="1" si="303"/>
        <v>-254615.93015267121</v>
      </c>
      <c r="CV137" s="249">
        <f t="shared" ca="1" si="303"/>
        <v>-254847.92275891226</v>
      </c>
      <c r="CW137" s="249">
        <f t="shared" ca="1" si="303"/>
        <v>-255068.39338996698</v>
      </c>
      <c r="CX137" s="249">
        <f t="shared" ca="1" si="303"/>
        <v>-255277.27322460484</v>
      </c>
      <c r="CY137" s="249">
        <f t="shared" ca="1" si="303"/>
        <v>-255474.49044898787</v>
      </c>
      <c r="CZ137" s="249">
        <f t="shared" ca="1" si="303"/>
        <v>-255659.97021298041</v>
      </c>
      <c r="DA137" s="249">
        <f t="shared" ca="1" si="303"/>
        <v>-255833.63458542345</v>
      </c>
      <c r="DB137" s="249">
        <f t="shared" ref="DB137:DY137" ca="1" si="304">IF(_arpuP5=0,-_NewSalesP5*_r.systdepP5,-_activeinstallationsEoPP5*_r.systdepP5)</f>
        <v>-255994.268119669</v>
      </c>
      <c r="DC137" s="249">
        <f t="shared" ca="1" si="304"/>
        <v>-256142.90874152153</v>
      </c>
      <c r="DD137" s="249">
        <f t="shared" ca="1" si="304"/>
        <v>-256279.46864856395</v>
      </c>
      <c r="DE137" s="249">
        <f t="shared" ca="1" si="304"/>
        <v>-256403.85676177259</v>
      </c>
      <c r="DF137" s="249">
        <f t="shared" ca="1" si="304"/>
        <v>-256515.97867519045</v>
      </c>
      <c r="DG137" s="249">
        <f t="shared" ca="1" si="304"/>
        <v>-256615.73660444227</v>
      </c>
      <c r="DH137" s="249">
        <f t="shared" ca="1" si="304"/>
        <v>-256703.02933406911</v>
      </c>
      <c r="DI137" s="249">
        <f t="shared" ca="1" si="304"/>
        <v>-256777.75216366054</v>
      </c>
      <c r="DJ137" s="249">
        <f t="shared" ca="1" si="304"/>
        <v>-256839.79685276217</v>
      </c>
      <c r="DK137" s="249">
        <f t="shared" ca="1" si="304"/>
        <v>-256889.05156453498</v>
      </c>
      <c r="DL137" s="249">
        <f t="shared" ca="1" si="304"/>
        <v>-256925.40080814349</v>
      </c>
      <c r="DM137" s="249">
        <f t="shared" ca="1" si="304"/>
        <v>-256948.72537984845</v>
      </c>
      <c r="DN137" s="249">
        <f t="shared" ca="1" si="304"/>
        <v>-256971.18730398596</v>
      </c>
      <c r="DO137" s="249">
        <f t="shared" ca="1" si="304"/>
        <v>-256992.78261899474</v>
      </c>
      <c r="DP137" s="249">
        <f t="shared" ca="1" si="304"/>
        <v>-257013.50715116825</v>
      </c>
      <c r="DQ137" s="249">
        <f t="shared" ca="1" si="304"/>
        <v>-257033.35651174121</v>
      </c>
      <c r="DR137" s="249">
        <f t="shared" ca="1" si="304"/>
        <v>-257052.32609390403</v>
      </c>
      <c r="DS137" s="249">
        <f t="shared" ca="1" si="304"/>
        <v>-257070.4110697447</v>
      </c>
      <c r="DT137" s="249">
        <f t="shared" ca="1" si="304"/>
        <v>-257087.60638711651</v>
      </c>
      <c r="DU137" s="249">
        <f t="shared" ca="1" si="304"/>
        <v>-257103.90676642983</v>
      </c>
      <c r="DV137" s="249">
        <f t="shared" ca="1" si="304"/>
        <v>-257119.30669736757</v>
      </c>
      <c r="DW137" s="249">
        <f t="shared" ca="1" si="304"/>
        <v>-257133.8004355219</v>
      </c>
      <c r="DX137" s="249">
        <f t="shared" ca="1" si="304"/>
        <v>-257147.38199895114</v>
      </c>
      <c r="DY137" s="249">
        <f t="shared" ca="1" si="304"/>
        <v>-257160.04516465566</v>
      </c>
    </row>
    <row r="138" spans="1:129" s="19" customFormat="1" outlineLevel="2">
      <c r="A138" s="20"/>
      <c r="B138" s="60"/>
      <c r="C138" s="9" t="str">
        <f>'Model Assumptions'!$G$24&amp;" - COGS related to lost systems"</f>
        <v>Product 1 - COGS related to lost systems</v>
      </c>
      <c r="D138" s="9"/>
      <c r="E138" s="30"/>
      <c r="F138" s="5"/>
      <c r="G138" s="287" t="s">
        <v>626</v>
      </c>
      <c r="H138" s="14"/>
      <c r="I138" s="14"/>
      <c r="J138" s="249">
        <f t="shared" ref="J138:AO138" si="305">IF(_arpuP1=0,0,-(_LostP1*_CapCostP1*_Receivablewriteoffrate))</f>
        <v>0</v>
      </c>
      <c r="K138" s="249">
        <f t="shared" si="305"/>
        <v>0</v>
      </c>
      <c r="L138" s="249">
        <f t="shared" si="305"/>
        <v>0</v>
      </c>
      <c r="M138" s="249">
        <f t="shared" si="305"/>
        <v>0</v>
      </c>
      <c r="N138" s="249">
        <f t="shared" si="305"/>
        <v>0</v>
      </c>
      <c r="O138" s="249">
        <f t="shared" si="305"/>
        <v>0</v>
      </c>
      <c r="P138" s="249">
        <f t="shared" si="305"/>
        <v>0</v>
      </c>
      <c r="Q138" s="249">
        <f t="shared" si="305"/>
        <v>0</v>
      </c>
      <c r="R138" s="249">
        <f t="shared" si="305"/>
        <v>0</v>
      </c>
      <c r="S138" s="249">
        <f t="shared" si="305"/>
        <v>0</v>
      </c>
      <c r="T138" s="249">
        <f t="shared" si="305"/>
        <v>0</v>
      </c>
      <c r="U138" s="249">
        <f t="shared" si="305"/>
        <v>0</v>
      </c>
      <c r="V138" s="249">
        <f t="shared" si="305"/>
        <v>0</v>
      </c>
      <c r="W138" s="249">
        <f t="shared" si="305"/>
        <v>0</v>
      </c>
      <c r="X138" s="249">
        <f t="shared" si="305"/>
        <v>0</v>
      </c>
      <c r="Y138" s="249">
        <f t="shared" si="305"/>
        <v>0</v>
      </c>
      <c r="Z138" s="249">
        <f t="shared" si="305"/>
        <v>0</v>
      </c>
      <c r="AA138" s="249">
        <f t="shared" si="305"/>
        <v>0</v>
      </c>
      <c r="AB138" s="249">
        <f t="shared" si="305"/>
        <v>0</v>
      </c>
      <c r="AC138" s="249">
        <f t="shared" si="305"/>
        <v>0</v>
      </c>
      <c r="AD138" s="249">
        <f t="shared" si="305"/>
        <v>0</v>
      </c>
      <c r="AE138" s="249">
        <f t="shared" si="305"/>
        <v>0</v>
      </c>
      <c r="AF138" s="249">
        <f t="shared" si="305"/>
        <v>0</v>
      </c>
      <c r="AG138" s="249">
        <f t="shared" si="305"/>
        <v>0</v>
      </c>
      <c r="AH138" s="249">
        <f t="shared" si="305"/>
        <v>0</v>
      </c>
      <c r="AI138" s="249">
        <f t="shared" si="305"/>
        <v>0</v>
      </c>
      <c r="AJ138" s="249">
        <f t="shared" si="305"/>
        <v>0</v>
      </c>
      <c r="AK138" s="249">
        <f t="shared" si="305"/>
        <v>0</v>
      </c>
      <c r="AL138" s="249">
        <f t="shared" si="305"/>
        <v>0</v>
      </c>
      <c r="AM138" s="249">
        <f t="shared" si="305"/>
        <v>0</v>
      </c>
      <c r="AN138" s="249">
        <f t="shared" si="305"/>
        <v>0</v>
      </c>
      <c r="AO138" s="249">
        <f t="shared" si="305"/>
        <v>0</v>
      </c>
      <c r="AP138" s="249">
        <f t="shared" ref="AP138:BU138" si="306">IF(_arpuP1=0,0,-(_LostP1*_CapCostP1*_Receivablewriteoffrate))</f>
        <v>0</v>
      </c>
      <c r="AQ138" s="249">
        <f t="shared" si="306"/>
        <v>0</v>
      </c>
      <c r="AR138" s="249">
        <f t="shared" si="306"/>
        <v>0</v>
      </c>
      <c r="AS138" s="249">
        <f t="shared" si="306"/>
        <v>0</v>
      </c>
      <c r="AT138" s="249">
        <f t="shared" si="306"/>
        <v>0</v>
      </c>
      <c r="AU138" s="249">
        <f t="shared" si="306"/>
        <v>0</v>
      </c>
      <c r="AV138" s="249">
        <f t="shared" si="306"/>
        <v>0</v>
      </c>
      <c r="AW138" s="249">
        <f t="shared" si="306"/>
        <v>0</v>
      </c>
      <c r="AX138" s="249">
        <f t="shared" si="306"/>
        <v>0</v>
      </c>
      <c r="AY138" s="249">
        <f t="shared" si="306"/>
        <v>0</v>
      </c>
      <c r="AZ138" s="249">
        <f t="shared" si="306"/>
        <v>0</v>
      </c>
      <c r="BA138" s="249">
        <f t="shared" si="306"/>
        <v>0</v>
      </c>
      <c r="BB138" s="249">
        <f t="shared" si="306"/>
        <v>0</v>
      </c>
      <c r="BC138" s="249">
        <f t="shared" si="306"/>
        <v>0</v>
      </c>
      <c r="BD138" s="249">
        <f t="shared" si="306"/>
        <v>0</v>
      </c>
      <c r="BE138" s="249">
        <f t="shared" si="306"/>
        <v>0</v>
      </c>
      <c r="BF138" s="249">
        <f t="shared" si="306"/>
        <v>0</v>
      </c>
      <c r="BG138" s="249">
        <f t="shared" si="306"/>
        <v>0</v>
      </c>
      <c r="BH138" s="249">
        <f t="shared" si="306"/>
        <v>0</v>
      </c>
      <c r="BI138" s="249">
        <f t="shared" si="306"/>
        <v>0</v>
      </c>
      <c r="BJ138" s="249">
        <f t="shared" si="306"/>
        <v>0</v>
      </c>
      <c r="BK138" s="249">
        <f t="shared" si="306"/>
        <v>0</v>
      </c>
      <c r="BL138" s="249">
        <f t="shared" si="306"/>
        <v>0</v>
      </c>
      <c r="BM138" s="249">
        <f t="shared" si="306"/>
        <v>0</v>
      </c>
      <c r="BN138" s="249">
        <f t="shared" si="306"/>
        <v>0</v>
      </c>
      <c r="BO138" s="249">
        <f t="shared" si="306"/>
        <v>0</v>
      </c>
      <c r="BP138" s="249">
        <f t="shared" si="306"/>
        <v>0</v>
      </c>
      <c r="BQ138" s="249">
        <f t="shared" si="306"/>
        <v>0</v>
      </c>
      <c r="BR138" s="249">
        <f t="shared" si="306"/>
        <v>0</v>
      </c>
      <c r="BS138" s="249">
        <f t="shared" si="306"/>
        <v>0</v>
      </c>
      <c r="BT138" s="249">
        <f t="shared" si="306"/>
        <v>0</v>
      </c>
      <c r="BU138" s="249">
        <f t="shared" si="306"/>
        <v>0</v>
      </c>
      <c r="BV138" s="249">
        <f t="shared" ref="BV138:DA138" si="307">IF(_arpuP1=0,0,-(_LostP1*_CapCostP1*_Receivablewriteoffrate))</f>
        <v>0</v>
      </c>
      <c r="BW138" s="249">
        <f t="shared" si="307"/>
        <v>0</v>
      </c>
      <c r="BX138" s="249">
        <f t="shared" si="307"/>
        <v>0</v>
      </c>
      <c r="BY138" s="249">
        <f t="shared" si="307"/>
        <v>0</v>
      </c>
      <c r="BZ138" s="249">
        <f t="shared" si="307"/>
        <v>0</v>
      </c>
      <c r="CA138" s="249">
        <f t="shared" si="307"/>
        <v>0</v>
      </c>
      <c r="CB138" s="249">
        <f t="shared" si="307"/>
        <v>0</v>
      </c>
      <c r="CC138" s="249">
        <f t="shared" si="307"/>
        <v>0</v>
      </c>
      <c r="CD138" s="249">
        <f t="shared" si="307"/>
        <v>0</v>
      </c>
      <c r="CE138" s="249">
        <f t="shared" si="307"/>
        <v>0</v>
      </c>
      <c r="CF138" s="249">
        <f t="shared" si="307"/>
        <v>0</v>
      </c>
      <c r="CG138" s="249">
        <f t="shared" si="307"/>
        <v>0</v>
      </c>
      <c r="CH138" s="249">
        <f t="shared" si="307"/>
        <v>0</v>
      </c>
      <c r="CI138" s="249">
        <f t="shared" si="307"/>
        <v>0</v>
      </c>
      <c r="CJ138" s="249">
        <f t="shared" si="307"/>
        <v>0</v>
      </c>
      <c r="CK138" s="249">
        <f t="shared" si="307"/>
        <v>0</v>
      </c>
      <c r="CL138" s="249">
        <f t="shared" si="307"/>
        <v>0</v>
      </c>
      <c r="CM138" s="249">
        <f t="shared" si="307"/>
        <v>0</v>
      </c>
      <c r="CN138" s="249">
        <f t="shared" si="307"/>
        <v>0</v>
      </c>
      <c r="CO138" s="249">
        <f t="shared" si="307"/>
        <v>0</v>
      </c>
      <c r="CP138" s="249">
        <f t="shared" si="307"/>
        <v>0</v>
      </c>
      <c r="CQ138" s="249">
        <f t="shared" si="307"/>
        <v>0</v>
      </c>
      <c r="CR138" s="249">
        <f t="shared" si="307"/>
        <v>0</v>
      </c>
      <c r="CS138" s="249">
        <f t="shared" si="307"/>
        <v>0</v>
      </c>
      <c r="CT138" s="249">
        <f t="shared" si="307"/>
        <v>0</v>
      </c>
      <c r="CU138" s="249">
        <f t="shared" si="307"/>
        <v>0</v>
      </c>
      <c r="CV138" s="249">
        <f t="shared" si="307"/>
        <v>0</v>
      </c>
      <c r="CW138" s="249">
        <f t="shared" si="307"/>
        <v>0</v>
      </c>
      <c r="CX138" s="249">
        <f t="shared" si="307"/>
        <v>0</v>
      </c>
      <c r="CY138" s="249">
        <f t="shared" si="307"/>
        <v>0</v>
      </c>
      <c r="CZ138" s="249">
        <f t="shared" si="307"/>
        <v>0</v>
      </c>
      <c r="DA138" s="249">
        <f t="shared" si="307"/>
        <v>0</v>
      </c>
      <c r="DB138" s="249">
        <f t="shared" ref="DB138:DY138" si="308">IF(_arpuP1=0,0,-(_LostP1*_CapCostP1*_Receivablewriteoffrate))</f>
        <v>0</v>
      </c>
      <c r="DC138" s="249">
        <f t="shared" si="308"/>
        <v>0</v>
      </c>
      <c r="DD138" s="249">
        <f t="shared" si="308"/>
        <v>0</v>
      </c>
      <c r="DE138" s="249">
        <f t="shared" si="308"/>
        <v>0</v>
      </c>
      <c r="DF138" s="249">
        <f t="shared" si="308"/>
        <v>0</v>
      </c>
      <c r="DG138" s="249">
        <f t="shared" si="308"/>
        <v>0</v>
      </c>
      <c r="DH138" s="249">
        <f t="shared" si="308"/>
        <v>0</v>
      </c>
      <c r="DI138" s="249">
        <f t="shared" si="308"/>
        <v>0</v>
      </c>
      <c r="DJ138" s="249">
        <f t="shared" si="308"/>
        <v>0</v>
      </c>
      <c r="DK138" s="249">
        <f t="shared" si="308"/>
        <v>0</v>
      </c>
      <c r="DL138" s="249">
        <f t="shared" si="308"/>
        <v>0</v>
      </c>
      <c r="DM138" s="249">
        <f t="shared" si="308"/>
        <v>0</v>
      </c>
      <c r="DN138" s="249">
        <f t="shared" si="308"/>
        <v>0</v>
      </c>
      <c r="DO138" s="249">
        <f t="shared" si="308"/>
        <v>0</v>
      </c>
      <c r="DP138" s="249">
        <f t="shared" si="308"/>
        <v>0</v>
      </c>
      <c r="DQ138" s="249">
        <f t="shared" si="308"/>
        <v>0</v>
      </c>
      <c r="DR138" s="249">
        <f t="shared" si="308"/>
        <v>0</v>
      </c>
      <c r="DS138" s="249">
        <f t="shared" si="308"/>
        <v>0</v>
      </c>
      <c r="DT138" s="249">
        <f t="shared" si="308"/>
        <v>0</v>
      </c>
      <c r="DU138" s="249">
        <f t="shared" si="308"/>
        <v>0</v>
      </c>
      <c r="DV138" s="249">
        <f t="shared" si="308"/>
        <v>0</v>
      </c>
      <c r="DW138" s="249">
        <f t="shared" si="308"/>
        <v>0</v>
      </c>
      <c r="DX138" s="249">
        <f t="shared" si="308"/>
        <v>0</v>
      </c>
      <c r="DY138" s="249">
        <f t="shared" si="308"/>
        <v>0</v>
      </c>
    </row>
    <row r="139" spans="1:129" s="19" customFormat="1" outlineLevel="2">
      <c r="A139" s="20"/>
      <c r="B139" s="60"/>
      <c r="C139" s="9" t="str">
        <f>'Model Assumptions'!$H$24&amp;" - COGS related to lost systems"</f>
        <v>Product 2 - COGS related to lost systems</v>
      </c>
      <c r="D139" s="9"/>
      <c r="E139" s="30"/>
      <c r="F139" s="5"/>
      <c r="G139" s="287" t="s">
        <v>626</v>
      </c>
      <c r="H139" s="14"/>
      <c r="I139" s="14"/>
      <c r="J139" s="249">
        <f t="shared" ref="J139:AO139" si="309">IF(_arpuP2=0,0,-(_LostP2*_CapCostP2*_Receivablewriteoffrate))</f>
        <v>-12564.800000000001</v>
      </c>
      <c r="K139" s="249">
        <f t="shared" ca="1" si="309"/>
        <v>-12885.467952289589</v>
      </c>
      <c r="L139" s="249">
        <f t="shared" ca="1" si="309"/>
        <v>-13228.56141705628</v>
      </c>
      <c r="M139" s="249">
        <f t="shared" ca="1" si="309"/>
        <v>-13594.368783015307</v>
      </c>
      <c r="N139" s="249">
        <f t="shared" ca="1" si="309"/>
        <v>-13983.185807871543</v>
      </c>
      <c r="O139" s="249">
        <f t="shared" ca="1" si="309"/>
        <v>-14395.315749687152</v>
      </c>
      <c r="P139" s="249">
        <f t="shared" ca="1" si="309"/>
        <v>-14831.069501036704</v>
      </c>
      <c r="Q139" s="249">
        <f t="shared" ca="1" si="309"/>
        <v>-15290.765726003892</v>
      </c>
      <c r="R139" s="249">
        <f t="shared" ca="1" si="309"/>
        <v>-15774.731000075168</v>
      </c>
      <c r="S139" s="249">
        <f t="shared" ca="1" si="309"/>
        <v>-16283.299952986563</v>
      </c>
      <c r="T139" s="249">
        <f t="shared" ca="1" si="309"/>
        <v>-16816.815414581299</v>
      </c>
      <c r="U139" s="249">
        <f t="shared" ca="1" si="309"/>
        <v>-17375.628563736787</v>
      </c>
      <c r="V139" s="249">
        <f t="shared" ca="1" si="309"/>
        <v>-15715.086695368333</v>
      </c>
      <c r="W139" s="249">
        <f t="shared" ca="1" si="309"/>
        <v>-16020.769063752841</v>
      </c>
      <c r="X139" s="249">
        <f t="shared" ca="1" si="309"/>
        <v>-16333.94695855262</v>
      </c>
      <c r="Y139" s="249">
        <f t="shared" ca="1" si="309"/>
        <v>-16654.756471505498</v>
      </c>
      <c r="Z139" s="249">
        <f t="shared" ca="1" si="309"/>
        <v>-16983.336554371959</v>
      </c>
      <c r="AA139" s="249">
        <f t="shared" ca="1" si="309"/>
        <v>-17319.829074753739</v>
      </c>
      <c r="AB139" s="249">
        <f t="shared" ca="1" si="309"/>
        <v>-17664.378873042562</v>
      </c>
      <c r="AC139" s="249">
        <f t="shared" ca="1" si="309"/>
        <v>-18017.133820521569</v>
      </c>
      <c r="AD139" s="249">
        <f t="shared" ca="1" si="309"/>
        <v>-18378.24487864233</v>
      </c>
      <c r="AE139" s="249">
        <f t="shared" ca="1" si="309"/>
        <v>-18747.866159500747</v>
      </c>
      <c r="AF139" s="249">
        <f t="shared" ca="1" si="309"/>
        <v>-19126.154987535825</v>
      </c>
      <c r="AG139" s="249">
        <f t="shared" ca="1" si="309"/>
        <v>-19513.271962475505</v>
      </c>
      <c r="AH139" s="249">
        <f t="shared" ca="1" si="309"/>
        <v>-17065.183734475231</v>
      </c>
      <c r="AI139" s="249">
        <f t="shared" ca="1" si="309"/>
        <v>-17395.196107699958</v>
      </c>
      <c r="AJ139" s="249">
        <f t="shared" ca="1" si="309"/>
        <v>-17732.020082197847</v>
      </c>
      <c r="AK139" s="249">
        <f t="shared" ca="1" si="309"/>
        <v>-18075.78977645628</v>
      </c>
      <c r="AL139" s="249">
        <f t="shared" ca="1" si="309"/>
        <v>-18426.642012467761</v>
      </c>
      <c r="AM139" s="249">
        <f t="shared" ca="1" si="309"/>
        <v>-18784.71636958867</v>
      </c>
      <c r="AN139" s="249">
        <f t="shared" ca="1" si="309"/>
        <v>-19150.15523947731</v>
      </c>
      <c r="AO139" s="249">
        <f t="shared" ca="1" si="309"/>
        <v>-19523.103882132775</v>
      </c>
      <c r="AP139" s="249">
        <f t="shared" ref="AP139:BU139" ca="1" si="310">IF(_arpuP2=0,0,-(_LostP2*_CapCostP2*_Receivablewriteoffrate))</f>
        <v>-19903.710483056719</v>
      </c>
      <c r="AQ139" s="249">
        <f t="shared" ca="1" si="310"/>
        <v>-20292.126211560349</v>
      </c>
      <c r="AR139" s="249">
        <f t="shared" ca="1" si="310"/>
        <v>-20688.505280239646</v>
      </c>
      <c r="AS139" s="249">
        <f t="shared" ca="1" si="310"/>
        <v>-21093.005005642081</v>
      </c>
      <c r="AT139" s="249">
        <f t="shared" ca="1" si="310"/>
        <v>-17921.488225123845</v>
      </c>
      <c r="AU139" s="249">
        <f t="shared" ca="1" si="310"/>
        <v>-18271.227305041146</v>
      </c>
      <c r="AV139" s="249">
        <f t="shared" ca="1" si="310"/>
        <v>-18628.055344771859</v>
      </c>
      <c r="AW139" s="249">
        <f t="shared" ca="1" si="310"/>
        <v>-18992.113181730103</v>
      </c>
      <c r="AX139" s="249">
        <f t="shared" ca="1" si="310"/>
        <v>-19363.5444794961</v>
      </c>
      <c r="AY139" s="249">
        <f t="shared" ca="1" si="310"/>
        <v>-19742.495784245311</v>
      </c>
      <c r="AZ139" s="249">
        <f t="shared" ca="1" si="310"/>
        <v>-20129.116582307139</v>
      </c>
      <c r="BA139" s="249">
        <f t="shared" ca="1" si="310"/>
        <v>-20523.559358875646</v>
      </c>
      <c r="BB139" s="249">
        <f t="shared" ca="1" si="310"/>
        <v>-20925.979657895517</v>
      </c>
      <c r="BC139" s="249">
        <f t="shared" ca="1" si="310"/>
        <v>-21336.536143146572</v>
      </c>
      <c r="BD139" s="249">
        <f t="shared" ca="1" si="310"/>
        <v>-21755.39066055094</v>
      </c>
      <c r="BE139" s="249">
        <f t="shared" ca="1" si="310"/>
        <v>-22182.708301727191</v>
      </c>
      <c r="BF139" s="249">
        <f t="shared" ca="1" si="310"/>
        <v>-22618.657468816527</v>
      </c>
      <c r="BG139" s="249">
        <f t="shared" ca="1" si="310"/>
        <v>-23063.296275112767</v>
      </c>
      <c r="BH139" s="249">
        <f t="shared" ca="1" si="310"/>
        <v>-23516.905845488895</v>
      </c>
      <c r="BI139" s="249">
        <f t="shared" ca="1" si="310"/>
        <v>-23979.664815346976</v>
      </c>
      <c r="BJ139" s="249">
        <f t="shared" ca="1" si="310"/>
        <v>-24451.755400595895</v>
      </c>
      <c r="BK139" s="249">
        <f t="shared" ca="1" si="310"/>
        <v>-24933.363469183547</v>
      </c>
      <c r="BL139" s="249">
        <f t="shared" ca="1" si="310"/>
        <v>-25424.678614060358</v>
      </c>
      <c r="BM139" s="249">
        <f t="shared" ca="1" si="310"/>
        <v>-25925.894227602945</v>
      </c>
      <c r="BN139" s="249">
        <f t="shared" ca="1" si="310"/>
        <v>-26437.20757752694</v>
      </c>
      <c r="BO139" s="249">
        <f t="shared" ca="1" si="310"/>
        <v>-26958.819884318858</v>
      </c>
      <c r="BP139" s="249">
        <f t="shared" ca="1" si="310"/>
        <v>-27490.936400217368</v>
      </c>
      <c r="BQ139" s="249">
        <f t="shared" ca="1" si="310"/>
        <v>-28033.766489774895</v>
      </c>
      <c r="BR139" s="249">
        <f t="shared" ca="1" si="310"/>
        <v>-28587.523712031205</v>
      </c>
      <c r="BS139" s="249">
        <f t="shared" ca="1" si="310"/>
        <v>-29100.883959631741</v>
      </c>
      <c r="BT139" s="249">
        <f t="shared" ca="1" si="310"/>
        <v>-29573.563502018183</v>
      </c>
      <c r="BU139" s="249">
        <f t="shared" ca="1" si="310"/>
        <v>-30005.258204187903</v>
      </c>
      <c r="BV139" s="249">
        <f t="shared" ref="BV139:DA139" ca="1" si="311">IF(_arpuP2=0,0,-(_LostP2*_CapCostP2*_Receivablewriteoffrate))</f>
        <v>-30395.652753647224</v>
      </c>
      <c r="BW139" s="249">
        <f t="shared" ca="1" si="311"/>
        <v>-30744.420487809457</v>
      </c>
      <c r="BX139" s="249">
        <f t="shared" ca="1" si="311"/>
        <v>-31051.223217431532</v>
      </c>
      <c r="BY139" s="249">
        <f t="shared" ca="1" si="311"/>
        <v>-31315.711046014887</v>
      </c>
      <c r="BZ139" s="249">
        <f t="shared" ca="1" si="311"/>
        <v>-31537.522185095044</v>
      </c>
      <c r="CA139" s="249">
        <f t="shared" ca="1" si="311"/>
        <v>-31716.282765342698</v>
      </c>
      <c r="CB139" s="249">
        <f t="shared" ca="1" si="311"/>
        <v>-31851.606643397343</v>
      </c>
      <c r="CC139" s="249">
        <f t="shared" ca="1" si="311"/>
        <v>-31943.095204353092</v>
      </c>
      <c r="CD139" s="249">
        <f t="shared" ca="1" si="311"/>
        <v>-31990.337159814571</v>
      </c>
      <c r="CE139" s="249">
        <f t="shared" ca="1" si="311"/>
        <v>-32034.016811026053</v>
      </c>
      <c r="CF139" s="249">
        <f t="shared" ca="1" si="311"/>
        <v>-32074.108824315375</v>
      </c>
      <c r="CG139" s="249">
        <f t="shared" ca="1" si="311"/>
        <v>-32110.586059233567</v>
      </c>
      <c r="CH139" s="249">
        <f t="shared" ca="1" si="311"/>
        <v>-32143.420386399579</v>
      </c>
      <c r="CI139" s="249">
        <f t="shared" ca="1" si="311"/>
        <v>-32172.58267218286</v>
      </c>
      <c r="CJ139" s="249">
        <f t="shared" ca="1" si="311"/>
        <v>-32198.04276303502</v>
      </c>
      <c r="CK139" s="249">
        <f t="shared" ca="1" si="311"/>
        <v>-32219.76946946391</v>
      </c>
      <c r="CL139" s="249">
        <f t="shared" ca="1" si="311"/>
        <v>-32237.730549643467</v>
      </c>
      <c r="CM139" s="249">
        <f t="shared" ca="1" si="311"/>
        <v>-32251.892692652487</v>
      </c>
      <c r="CN139" s="249">
        <f t="shared" ca="1" si="311"/>
        <v>-32262.221501335294</v>
      </c>
      <c r="CO139" s="249">
        <f t="shared" ca="1" si="311"/>
        <v>-32268.681474777226</v>
      </c>
      <c r="CP139" s="249">
        <f t="shared" ca="1" si="311"/>
        <v>-32271.235990387613</v>
      </c>
      <c r="CQ139" s="249">
        <f t="shared" ca="1" si="311"/>
        <v>-32273.491078136965</v>
      </c>
      <c r="CR139" s="249">
        <f t="shared" ca="1" si="311"/>
        <v>-32275.44432919292</v>
      </c>
      <c r="CS139" s="249">
        <f t="shared" ca="1" si="311"/>
        <v>-32277.093176206097</v>
      </c>
      <c r="CT139" s="249">
        <f t="shared" ca="1" si="311"/>
        <v>-32278.434965786266</v>
      </c>
      <c r="CU139" s="249">
        <f t="shared" ca="1" si="311"/>
        <v>-32279.466957128519</v>
      </c>
      <c r="CV139" s="249">
        <f t="shared" ca="1" si="311"/>
        <v>-32280.186320608373</v>
      </c>
      <c r="CW139" s="249">
        <f t="shared" ca="1" si="311"/>
        <v>-32280.590136345494</v>
      </c>
      <c r="CX139" s="249">
        <f t="shared" ca="1" si="311"/>
        <v>-32280.675392735138</v>
      </c>
      <c r="CY139" s="249">
        <f t="shared" ca="1" si="311"/>
        <v>-32280.43898494697</v>
      </c>
      <c r="CZ139" s="249">
        <f t="shared" ca="1" si="311"/>
        <v>-32279.877713390506</v>
      </c>
      <c r="DA139" s="249">
        <f t="shared" ca="1" si="311"/>
        <v>-32278.988282146503</v>
      </c>
      <c r="DB139" s="249">
        <f t="shared" ref="DB139:DY139" ca="1" si="312">IF(_arpuP2=0,0,-(_LostP2*_CapCostP2*_Receivablewriteoffrate))</f>
        <v>-32277.767297363764</v>
      </c>
      <c r="DC139" s="249">
        <f t="shared" ca="1" si="312"/>
        <v>-32276.534245880222</v>
      </c>
      <c r="DD139" s="249">
        <f t="shared" ca="1" si="312"/>
        <v>-32275.288769439314</v>
      </c>
      <c r="DE139" s="249">
        <f t="shared" ca="1" si="312"/>
        <v>-32274.030497181157</v>
      </c>
      <c r="DF139" s="249">
        <f t="shared" ca="1" si="312"/>
        <v>-32272.759052052294</v>
      </c>
      <c r="DG139" s="249">
        <f t="shared" ca="1" si="312"/>
        <v>-32271.474050669563</v>
      </c>
      <c r="DH139" s="249">
        <f t="shared" ca="1" si="312"/>
        <v>-32270.175103181406</v>
      </c>
      <c r="DI139" s="249">
        <f t="shared" ca="1" si="312"/>
        <v>-32268.861813126485</v>
      </c>
      <c r="DJ139" s="249">
        <f t="shared" ca="1" si="312"/>
        <v>-32267.533777289646</v>
      </c>
      <c r="DK139" s="249">
        <f t="shared" ca="1" si="312"/>
        <v>-32266.190585555047</v>
      </c>
      <c r="DL139" s="249">
        <f t="shared" ca="1" si="312"/>
        <v>-32264.831820756546</v>
      </c>
      <c r="DM139" s="249">
        <f t="shared" ca="1" si="312"/>
        <v>-32263.457058525164</v>
      </c>
      <c r="DN139" s="249">
        <f t="shared" ca="1" si="312"/>
        <v>-32262.065867133602</v>
      </c>
      <c r="DO139" s="249">
        <f t="shared" ca="1" si="312"/>
        <v>-32260.686435819411</v>
      </c>
      <c r="DP139" s="249">
        <f t="shared" ca="1" si="312"/>
        <v>-32259.318604530759</v>
      </c>
      <c r="DQ139" s="249">
        <f t="shared" ca="1" si="312"/>
        <v>-32257.962213381645</v>
      </c>
      <c r="DR139" s="249">
        <f t="shared" ca="1" si="312"/>
        <v>-32256.617103207191</v>
      </c>
      <c r="DS139" s="249">
        <f t="shared" ca="1" si="312"/>
        <v>-32255.283115538918</v>
      </c>
      <c r="DT139" s="249">
        <f t="shared" ca="1" si="312"/>
        <v>-32253.960092579851</v>
      </c>
      <c r="DU139" s="249">
        <f t="shared" ca="1" si="312"/>
        <v>-32252.647877179563</v>
      </c>
      <c r="DV139" s="249">
        <f t="shared" ca="1" si="312"/>
        <v>-32251.346312809037</v>
      </c>
      <c r="DW139" s="249">
        <f t="shared" ca="1" si="312"/>
        <v>-32250.055243535488</v>
      </c>
      <c r="DX139" s="249">
        <f t="shared" ca="1" si="312"/>
        <v>-32248.774513997021</v>
      </c>
      <c r="DY139" s="249">
        <f t="shared" ca="1" si="312"/>
        <v>-32247.503969377132</v>
      </c>
    </row>
    <row r="140" spans="1:129" s="19" customFormat="1" outlineLevel="2">
      <c r="A140" s="20"/>
      <c r="B140" s="60"/>
      <c r="C140" s="9" t="str">
        <f>'Model Assumptions'!$I$24&amp;" - COGS related to lost systems"</f>
        <v>Product 3 - COGS related to lost systems</v>
      </c>
      <c r="D140" s="9"/>
      <c r="E140" s="30"/>
      <c r="F140" s="5"/>
      <c r="G140" s="287" t="s">
        <v>626</v>
      </c>
      <c r="H140" s="14"/>
      <c r="I140" s="14"/>
      <c r="J140" s="249">
        <f t="shared" ref="J140:AO140" si="313">IF(_arpuP3=0,0,-(_LostP3*_CapCostP3*_Receivablewriteoffrate))</f>
        <v>-9749.1200000000008</v>
      </c>
      <c r="K140" s="249">
        <f t="shared" ca="1" si="313"/>
        <v>-10056.792368873786</v>
      </c>
      <c r="L140" s="249">
        <f t="shared" ca="1" si="313"/>
        <v>-10373.818142058835</v>
      </c>
      <c r="M140" s="249">
        <f t="shared" ca="1" si="313"/>
        <v>-10700.352388072031</v>
      </c>
      <c r="N140" s="249">
        <f t="shared" ca="1" si="313"/>
        <v>-11036.553596796299</v>
      </c>
      <c r="O140" s="249">
        <f t="shared" ca="1" si="313"/>
        <v>-11382.583744707945</v>
      </c>
      <c r="P140" s="249">
        <f t="shared" ca="1" si="313"/>
        <v>-11738.608361440592</v>
      </c>
      <c r="Q140" s="249">
        <f t="shared" ca="1" si="313"/>
        <v>-12104.796597712033</v>
      </c>
      <c r="R140" s="249">
        <f t="shared" ca="1" si="313"/>
        <v>-12481.321294640997</v>
      </c>
      <c r="S140" s="249">
        <f t="shared" ca="1" si="313"/>
        <v>-12868.35905448132</v>
      </c>
      <c r="T140" s="249">
        <f t="shared" ca="1" si="313"/>
        <v>-13266.090312801498</v>
      </c>
      <c r="U140" s="249">
        <f t="shared" ca="1" si="313"/>
        <v>-13674.699412138296</v>
      </c>
      <c r="V140" s="249">
        <f t="shared" ca="1" si="313"/>
        <v>-12332.577842509352</v>
      </c>
      <c r="W140" s="249">
        <f t="shared" ca="1" si="313"/>
        <v>-12709.644929908414</v>
      </c>
      <c r="X140" s="249">
        <f t="shared" ca="1" si="313"/>
        <v>-13096.735203294673</v>
      </c>
      <c r="Y140" s="249">
        <f t="shared" ca="1" si="313"/>
        <v>-13494.02430794549</v>
      </c>
      <c r="Z140" s="249">
        <f t="shared" ca="1" si="313"/>
        <v>-13901.691650228184</v>
      </c>
      <c r="AA140" s="249">
        <f t="shared" ca="1" si="313"/>
        <v>-14319.920470340001</v>
      </c>
      <c r="AB140" s="249">
        <f t="shared" ca="1" si="313"/>
        <v>-14748.897916527689</v>
      </c>
      <c r="AC140" s="249">
        <f t="shared" ca="1" si="313"/>
        <v>-15188.815120816036</v>
      </c>
      <c r="AD140" s="249">
        <f t="shared" ca="1" si="313"/>
        <v>-15639.867276275278</v>
      </c>
      <c r="AE140" s="249">
        <f t="shared" ca="1" si="313"/>
        <v>-16102.253715857983</v>
      </c>
      <c r="AF140" s="249">
        <f t="shared" ca="1" si="313"/>
        <v>-16576.177992836485</v>
      </c>
      <c r="AG140" s="249">
        <f t="shared" ca="1" si="313"/>
        <v>-17061.847962872645</v>
      </c>
      <c r="AH140" s="249">
        <f t="shared" ca="1" si="313"/>
        <v>-15050.97931521638</v>
      </c>
      <c r="AI140" s="249">
        <f t="shared" ca="1" si="313"/>
        <v>-15487.952932129994</v>
      </c>
      <c r="AJ140" s="249">
        <f t="shared" ca="1" si="313"/>
        <v>-15935.551623542678</v>
      </c>
      <c r="AK140" s="249">
        <f t="shared" ca="1" si="313"/>
        <v>-16393.969034922811</v>
      </c>
      <c r="AL140" s="249">
        <f t="shared" ca="1" si="313"/>
        <v>-16863.402873208342</v>
      </c>
      <c r="AM140" s="249">
        <f t="shared" ca="1" si="313"/>
        <v>-17344.054986150612</v>
      </c>
      <c r="AN140" s="249">
        <f t="shared" ca="1" si="313"/>
        <v>-17836.131443263839</v>
      </c>
      <c r="AO140" s="249">
        <f t="shared" ca="1" si="313"/>
        <v>-18179.780827888022</v>
      </c>
      <c r="AP140" s="249">
        <f t="shared" ref="AP140:BU140" ca="1" si="314">IF(_arpuP3=0,0,-(_LostP3*_CapCostP3*_Receivablewriteoffrate))</f>
        <v>-18530.67397595655</v>
      </c>
      <c r="AQ140" s="249">
        <f t="shared" ca="1" si="314"/>
        <v>-18888.952054980778</v>
      </c>
      <c r="AR140" s="249">
        <f t="shared" ca="1" si="314"/>
        <v>-19254.759092899887</v>
      </c>
      <c r="AS140" s="249">
        <f t="shared" ca="1" si="314"/>
        <v>-19628.242034918625</v>
      </c>
      <c r="AT140" s="249">
        <f t="shared" ca="1" si="314"/>
        <v>-16674.625667904656</v>
      </c>
      <c r="AU140" s="249">
        <f t="shared" ca="1" si="314"/>
        <v>-16999.031956195537</v>
      </c>
      <c r="AV140" s="249">
        <f t="shared" ca="1" si="314"/>
        <v>-17330.217268594111</v>
      </c>
      <c r="AW140" s="249">
        <f t="shared" ca="1" si="314"/>
        <v>-17668.314276599114</v>
      </c>
      <c r="AX140" s="249">
        <f t="shared" ca="1" si="314"/>
        <v>-18013.458334229097</v>
      </c>
      <c r="AY140" s="249">
        <f t="shared" ca="1" si="314"/>
        <v>-18365.787531381899</v>
      </c>
      <c r="AZ140" s="249">
        <f t="shared" ca="1" si="314"/>
        <v>-18725.442748264279</v>
      </c>
      <c r="BA140" s="249">
        <f t="shared" ca="1" si="314"/>
        <v>-19092.567710912972</v>
      </c>
      <c r="BB140" s="249">
        <f t="shared" ca="1" si="314"/>
        <v>-19467.309047829003</v>
      </c>
      <c r="BC140" s="249">
        <f t="shared" ca="1" si="314"/>
        <v>-19849.816347747583</v>
      </c>
      <c r="BD140" s="249">
        <f t="shared" ca="1" si="314"/>
        <v>-20240.242218566123</v>
      </c>
      <c r="BE140" s="249">
        <f t="shared" ca="1" si="314"/>
        <v>-20638.742347453594</v>
      </c>
      <c r="BF140" s="249">
        <f t="shared" ca="1" si="314"/>
        <v>-21045.475562164858</v>
      </c>
      <c r="BG140" s="249">
        <f t="shared" ca="1" si="314"/>
        <v>-21460.603893583935</v>
      </c>
      <c r="BH140" s="249">
        <f t="shared" ca="1" si="314"/>
        <v>-21884.292639520841</v>
      </c>
      <c r="BI140" s="249">
        <f t="shared" ca="1" si="314"/>
        <v>-22316.710429787039</v>
      </c>
      <c r="BJ140" s="249">
        <f t="shared" ca="1" si="314"/>
        <v>-22758.029292575007</v>
      </c>
      <c r="BK140" s="249">
        <f t="shared" ca="1" si="314"/>
        <v>-23208.424722168016</v>
      </c>
      <c r="BL140" s="249">
        <f t="shared" ca="1" si="314"/>
        <v>-23668.075748006675</v>
      </c>
      <c r="BM140" s="249">
        <f t="shared" ca="1" si="314"/>
        <v>-24137.165005139359</v>
      </c>
      <c r="BN140" s="249">
        <f t="shared" ca="1" si="314"/>
        <v>-24615.87880608418</v>
      </c>
      <c r="BO140" s="249">
        <f t="shared" ca="1" si="314"/>
        <v>-25104.407214130675</v>
      </c>
      <c r="BP140" s="249">
        <f t="shared" ca="1" si="314"/>
        <v>-25602.944118110066</v>
      </c>
      <c r="BQ140" s="249">
        <f t="shared" ca="1" si="314"/>
        <v>-26111.687308663277</v>
      </c>
      <c r="BR140" s="249">
        <f t="shared" ca="1" si="314"/>
        <v>-26630.838556036852</v>
      </c>
      <c r="BS140" s="249">
        <f t="shared" ca="1" si="314"/>
        <v>-27125.747237919506</v>
      </c>
      <c r="BT140" s="249">
        <f t="shared" ca="1" si="314"/>
        <v>-27605.956000009744</v>
      </c>
      <c r="BU140" s="249">
        <f t="shared" ca="1" si="314"/>
        <v>-28071.416824846026</v>
      </c>
      <c r="BV140" s="249">
        <f t="shared" ref="BV140:DA140" ca="1" si="315">IF(_arpuP3=0,0,-(_LostP3*_CapCostP3*_Receivablewriteoffrate))</f>
        <v>-28522.07827480822</v>
      </c>
      <c r="BW140" s="249">
        <f t="shared" ca="1" si="315"/>
        <v>-28957.885448312554</v>
      </c>
      <c r="BX140" s="249">
        <f t="shared" ca="1" si="315"/>
        <v>-29378.779934884442</v>
      </c>
      <c r="BY140" s="249">
        <f t="shared" ca="1" si="315"/>
        <v>-29784.699769089264</v>
      </c>
      <c r="BZ140" s="249">
        <f t="shared" ca="1" si="315"/>
        <v>-30175.579383300661</v>
      </c>
      <c r="CA140" s="249">
        <f t="shared" ca="1" si="315"/>
        <v>-30551.349559285547</v>
      </c>
      <c r="CB140" s="249">
        <f t="shared" ca="1" si="315"/>
        <v>-30911.937378584484</v>
      </c>
      <c r="CC140" s="249">
        <f t="shared" ca="1" si="315"/>
        <v>-31257.266171665815</v>
      </c>
      <c r="CD140" s="249">
        <f t="shared" ca="1" si="315"/>
        <v>-31587.255465831226</v>
      </c>
      <c r="CE140" s="249">
        <f t="shared" ca="1" si="315"/>
        <v>-31901.820931850187</v>
      </c>
      <c r="CF140" s="249">
        <f t="shared" ca="1" si="315"/>
        <v>-32200.87432930003</v>
      </c>
      <c r="CG140" s="249">
        <f t="shared" ca="1" si="315"/>
        <v>-32484.323450588312</v>
      </c>
      <c r="CH140" s="249">
        <f t="shared" ca="1" si="315"/>
        <v>-32752.072063632884</v>
      </c>
      <c r="CI140" s="249">
        <f t="shared" ca="1" si="315"/>
        <v>-33004.01985317556</v>
      </c>
      <c r="CJ140" s="249">
        <f t="shared" ca="1" si="315"/>
        <v>-33240.062360703938</v>
      </c>
      <c r="CK140" s="249">
        <f t="shared" ca="1" si="315"/>
        <v>-33460.090922955795</v>
      </c>
      <c r="CL140" s="249">
        <f t="shared" ca="1" si="315"/>
        <v>-33663.992608979861</v>
      </c>
      <c r="CM140" s="249">
        <f t="shared" ca="1" si="315"/>
        <v>-33851.650155726311</v>
      </c>
      <c r="CN140" s="249">
        <f t="shared" ca="1" si="315"/>
        <v>-34022.941902139566</v>
      </c>
      <c r="CO140" s="249">
        <f t="shared" ca="1" si="315"/>
        <v>-34177.741721725644</v>
      </c>
      <c r="CP140" s="249">
        <f t="shared" ca="1" si="315"/>
        <v>-34315.918953565575</v>
      </c>
      <c r="CQ140" s="249">
        <f t="shared" ca="1" si="315"/>
        <v>-34437.338331745792</v>
      </c>
      <c r="CR140" s="249">
        <f t="shared" ca="1" si="315"/>
        <v>-34541.859913176071</v>
      </c>
      <c r="CS140" s="249">
        <f t="shared" ca="1" si="315"/>
        <v>-34629.339003764559</v>
      </c>
      <c r="CT140" s="249">
        <f t="shared" ca="1" si="315"/>
        <v>-34699.626082919116</v>
      </c>
      <c r="CU140" s="249">
        <f t="shared" ca="1" si="315"/>
        <v>-34752.566726343517</v>
      </c>
      <c r="CV140" s="249">
        <f t="shared" ca="1" si="315"/>
        <v>-34788.001527096312</v>
      </c>
      <c r="CW140" s="249">
        <f t="shared" ca="1" si="315"/>
        <v>-34821.672772738544</v>
      </c>
      <c r="CX140" s="249">
        <f t="shared" ca="1" si="315"/>
        <v>-34854.286036445221</v>
      </c>
      <c r="CY140" s="249">
        <f t="shared" ca="1" si="315"/>
        <v>-34885.837472646097</v>
      </c>
      <c r="CZ140" s="249">
        <f t="shared" ca="1" si="315"/>
        <v>-34916.322985718871</v>
      </c>
      <c r="DA140" s="249">
        <f t="shared" ca="1" si="315"/>
        <v>-34945.738226719499</v>
      </c>
      <c r="DB140" s="249">
        <f t="shared" ref="DB140:DY140" ca="1" si="316">IF(_arpuP3=0,0,-(_LostP3*_CapCostP3*_Receivablewriteoffrate))</f>
        <v>-34974.078590029858</v>
      </c>
      <c r="DC140" s="249">
        <f t="shared" ca="1" si="316"/>
        <v>-35001.33920992128</v>
      </c>
      <c r="DD140" s="249">
        <f t="shared" ca="1" si="316"/>
        <v>-35027.514957032203</v>
      </c>
      <c r="DE140" s="249">
        <f t="shared" ca="1" si="316"/>
        <v>-35052.600434758817</v>
      </c>
      <c r="DF140" s="249">
        <f t="shared" ca="1" si="316"/>
        <v>-35076.589975556701</v>
      </c>
      <c r="DG140" s="249">
        <f t="shared" ca="1" si="316"/>
        <v>-35099.477637152115</v>
      </c>
      <c r="DH140" s="249">
        <f t="shared" ca="1" si="316"/>
        <v>-35121.257198661187</v>
      </c>
      <c r="DI140" s="249">
        <f t="shared" ca="1" si="316"/>
        <v>-35141.922156615372</v>
      </c>
      <c r="DJ140" s="249">
        <f t="shared" ca="1" si="316"/>
        <v>-35161.465720891436</v>
      </c>
      <c r="DK140" s="249">
        <f t="shared" ca="1" si="316"/>
        <v>-35179.880810544171</v>
      </c>
      <c r="DL140" s="249">
        <f t="shared" ca="1" si="316"/>
        <v>-35197.160049540209</v>
      </c>
      <c r="DM140" s="249">
        <f t="shared" ca="1" si="316"/>
        <v>-35213.29576239091</v>
      </c>
      <c r="DN140" s="249">
        <f t="shared" ca="1" si="316"/>
        <v>-35228.279969682619</v>
      </c>
      <c r="DO140" s="249">
        <f t="shared" ca="1" si="316"/>
        <v>-35242.104383502323</v>
      </c>
      <c r="DP140" s="249">
        <f t="shared" ca="1" si="316"/>
        <v>-35254.760402756743</v>
      </c>
      <c r="DQ140" s="249">
        <f t="shared" ca="1" si="316"/>
        <v>-35266.239108383015</v>
      </c>
      <c r="DR140" s="249">
        <f t="shared" ca="1" si="316"/>
        <v>-35276.531258448696</v>
      </c>
      <c r="DS140" s="249">
        <f t="shared" ca="1" si="316"/>
        <v>-35285.6272831393</v>
      </c>
      <c r="DT140" s="249">
        <f t="shared" ca="1" si="316"/>
        <v>-35293.517279631094</v>
      </c>
      <c r="DU140" s="249">
        <f t="shared" ca="1" si="316"/>
        <v>-35300.191006847024</v>
      </c>
      <c r="DV140" s="249">
        <f t="shared" ca="1" si="316"/>
        <v>-35305.637880093644</v>
      </c>
      <c r="DW140" s="249">
        <f t="shared" ca="1" si="316"/>
        <v>-35309.846965576689</v>
      </c>
      <c r="DX140" s="249">
        <f t="shared" ca="1" si="316"/>
        <v>-35312.806974793173</v>
      </c>
      <c r="DY140" s="249">
        <f t="shared" ca="1" si="316"/>
        <v>-35314.506258797548</v>
      </c>
    </row>
    <row r="141" spans="1:129" s="19" customFormat="1" outlineLevel="2">
      <c r="A141" s="20"/>
      <c r="B141" s="60"/>
      <c r="C141" s="9" t="str">
        <f>'Model Assumptions'!$J$24&amp;" - COGS related to lost systems"</f>
        <v>Product 4 - COGS related to lost systems</v>
      </c>
      <c r="D141" s="9"/>
      <c r="E141" s="30"/>
      <c r="F141" s="5"/>
      <c r="G141" s="287" t="s">
        <v>626</v>
      </c>
      <c r="H141" s="14"/>
      <c r="I141" s="14"/>
      <c r="J141" s="249">
        <f t="shared" ref="J141:AO141" si="317">IF(_arpuP4=0,0,-(_LostP4*_CapCostP4*_Receivablewriteoffrate))</f>
        <v>-7764</v>
      </c>
      <c r="K141" s="249">
        <f t="shared" ca="1" si="317"/>
        <v>-7985.5618093039784</v>
      </c>
      <c r="L141" s="249">
        <f t="shared" ca="1" si="317"/>
        <v>-8215.4670405149154</v>
      </c>
      <c r="M141" s="249">
        <f t="shared" ca="1" si="317"/>
        <v>-8453.8434402137445</v>
      </c>
      <c r="N141" s="249">
        <f t="shared" ca="1" si="317"/>
        <v>-8700.8217011315846</v>
      </c>
      <c r="O141" s="249">
        <f t="shared" ca="1" si="317"/>
        <v>-8956.5355171605661</v>
      </c>
      <c r="P141" s="249">
        <f t="shared" ca="1" si="317"/>
        <v>-9221.1216395039864</v>
      </c>
      <c r="Q141" s="249">
        <f t="shared" ca="1" si="317"/>
        <v>-9494.71993398819</v>
      </c>
      <c r="R141" s="249">
        <f t="shared" ca="1" si="317"/>
        <v>-9777.4734395590585</v>
      </c>
      <c r="S141" s="249">
        <f t="shared" ca="1" si="317"/>
        <v>-10069.528427986355</v>
      </c>
      <c r="T141" s="249">
        <f t="shared" ca="1" si="317"/>
        <v>-10371.034464799755</v>
      </c>
      <c r="U141" s="249">
        <f t="shared" ca="1" si="317"/>
        <v>-10682.144471480808</v>
      </c>
      <c r="V141" s="249">
        <f t="shared" ca="1" si="317"/>
        <v>-9627.6379403186038</v>
      </c>
      <c r="W141" s="249">
        <f t="shared" ca="1" si="317"/>
        <v>-9917.0795869889225</v>
      </c>
      <c r="X141" s="249">
        <f t="shared" ca="1" si="317"/>
        <v>-10215.344306051187</v>
      </c>
      <c r="Y141" s="249">
        <f t="shared" ca="1" si="317"/>
        <v>-10522.578216558655</v>
      </c>
      <c r="Z141" s="249">
        <f t="shared" ca="1" si="317"/>
        <v>-10838.930663369589</v>
      </c>
      <c r="AA141" s="249">
        <f t="shared" ca="1" si="317"/>
        <v>-11164.554278629124</v>
      </c>
      <c r="AB141" s="249">
        <f t="shared" ca="1" si="317"/>
        <v>-11499.605044511107</v>
      </c>
      <c r="AC141" s="249">
        <f t="shared" ca="1" si="317"/>
        <v>-11844.242357244817</v>
      </c>
      <c r="AD141" s="249">
        <f t="shared" ca="1" si="317"/>
        <v>-12198.629092451947</v>
      </c>
      <c r="AE141" s="249">
        <f t="shared" ca="1" si="317"/>
        <v>-12562.931671819781</v>
      </c>
      <c r="AF141" s="249">
        <f t="shared" ca="1" si="317"/>
        <v>-12937.320131136959</v>
      </c>
      <c r="AG141" s="249">
        <f t="shared" ca="1" si="317"/>
        <v>-13321.968189718855</v>
      </c>
      <c r="AH141" s="249">
        <f t="shared" ca="1" si="317"/>
        <v>-11757.474275357123</v>
      </c>
      <c r="AI141" s="249">
        <f t="shared" ca="1" si="317"/>
        <v>-11983.313244402681</v>
      </c>
      <c r="AJ141" s="249">
        <f t="shared" ca="1" si="317"/>
        <v>-12214.031684030566</v>
      </c>
      <c r="AK141" s="249">
        <f t="shared" ca="1" si="317"/>
        <v>-12449.723556740413</v>
      </c>
      <c r="AL141" s="249">
        <f t="shared" ca="1" si="317"/>
        <v>-12690.484740550972</v>
      </c>
      <c r="AM141" s="249">
        <f t="shared" ca="1" si="317"/>
        <v>-12936.41306694778</v>
      </c>
      <c r="AN141" s="249">
        <f t="shared" ca="1" si="317"/>
        <v>-13187.608359593476</v>
      </c>
      <c r="AO141" s="249">
        <f t="shared" ca="1" si="317"/>
        <v>-13444.172473815821</v>
      </c>
      <c r="AP141" s="249">
        <f t="shared" ref="AP141:BU141" ca="1" si="318">IF(_arpuP4=0,0,-(_LostP4*_CapCostP4*_Receivablewriteoffrate))</f>
        <v>-13706.209336889111</v>
      </c>
      <c r="AQ141" s="249">
        <f t="shared" ca="1" si="318"/>
        <v>-13973.824989124696</v>
      </c>
      <c r="AR141" s="249">
        <f t="shared" ca="1" si="318"/>
        <v>-14247.127625786821</v>
      </c>
      <c r="AS141" s="249">
        <f t="shared" ca="1" si="318"/>
        <v>-14526.227639850194</v>
      </c>
      <c r="AT141" s="249">
        <f t="shared" ca="1" si="318"/>
        <v>-12342.698054680135</v>
      </c>
      <c r="AU141" s="249">
        <f t="shared" ca="1" si="318"/>
        <v>-12585.227186003804</v>
      </c>
      <c r="AV141" s="249">
        <f t="shared" ca="1" si="318"/>
        <v>-12832.874803282313</v>
      </c>
      <c r="AW141" s="249">
        <f t="shared" ca="1" si="318"/>
        <v>-13085.740597201479</v>
      </c>
      <c r="AX141" s="249">
        <f t="shared" ca="1" si="318"/>
        <v>-13343.926279051157</v>
      </c>
      <c r="AY141" s="249">
        <f t="shared" ca="1" si="318"/>
        <v>-13607.535620869445</v>
      </c>
      <c r="AZ141" s="249">
        <f t="shared" ca="1" si="318"/>
        <v>-13876.674496392397</v>
      </c>
      <c r="BA141" s="249">
        <f t="shared" ca="1" si="318"/>
        <v>-14151.450922825419</v>
      </c>
      <c r="BB141" s="249">
        <f t="shared" ca="1" si="318"/>
        <v>-14431.975103452718</v>
      </c>
      <c r="BC141" s="249">
        <f t="shared" ca="1" si="318"/>
        <v>-14718.359471101523</v>
      </c>
      <c r="BD141" s="249">
        <f t="shared" ca="1" si="318"/>
        <v>-15010.718732478177</v>
      </c>
      <c r="BE141" s="249">
        <f t="shared" ca="1" si="318"/>
        <v>-15309.169913393489</v>
      </c>
      <c r="BF141" s="249">
        <f t="shared" ca="1" si="318"/>
        <v>-15613.832404895116</v>
      </c>
      <c r="BG141" s="249">
        <f t="shared" ca="1" si="318"/>
        <v>-15916.846378621865</v>
      </c>
      <c r="BH141" s="249">
        <f t="shared" ca="1" si="318"/>
        <v>-16226.030909221548</v>
      </c>
      <c r="BI141" s="249">
        <f t="shared" ca="1" si="318"/>
        <v>-16541.508305057629</v>
      </c>
      <c r="BJ141" s="249">
        <f t="shared" ca="1" si="318"/>
        <v>-16863.403331688594</v>
      </c>
      <c r="BK141" s="249">
        <f t="shared" ca="1" si="318"/>
        <v>-17191.843260901569</v>
      </c>
      <c r="BL141" s="249">
        <f t="shared" ca="1" si="318"/>
        <v>-17526.957920727691</v>
      </c>
      <c r="BM141" s="249">
        <f t="shared" ca="1" si="318"/>
        <v>-17868.879746458933</v>
      </c>
      <c r="BN141" s="249">
        <f t="shared" ca="1" si="318"/>
        <v>-18217.743832686323</v>
      </c>
      <c r="BO141" s="249">
        <f t="shared" ca="1" si="318"/>
        <v>-18573.687986379955</v>
      </c>
      <c r="BP141" s="249">
        <f t="shared" ca="1" si="318"/>
        <v>-18936.852781031743</v>
      </c>
      <c r="BQ141" s="249">
        <f t="shared" ca="1" si="318"/>
        <v>-19307.381611882003</v>
      </c>
      <c r="BR141" s="249">
        <f t="shared" ca="1" si="318"/>
        <v>-19685.420752251659</v>
      </c>
      <c r="BS141" s="249">
        <f t="shared" ca="1" si="318"/>
        <v>-20049.891141801349</v>
      </c>
      <c r="BT141" s="249">
        <f t="shared" ca="1" si="318"/>
        <v>-20400.732700850938</v>
      </c>
      <c r="BU141" s="249">
        <f t="shared" ca="1" si="318"/>
        <v>-20737.882035173348</v>
      </c>
      <c r="BV141" s="249">
        <f t="shared" ref="BV141:DA141" ca="1" si="319">IF(_arpuP4=0,0,-(_LostP4*_CapCostP4*_Receivablewriteoffrate))</f>
        <v>-21061.272390833106</v>
      </c>
      <c r="BW141" s="249">
        <f t="shared" ca="1" si="319"/>
        <v>-21370.833607910456</v>
      </c>
      <c r="BX141" s="249">
        <f t="shared" ca="1" si="319"/>
        <v>-21666.4920730907</v>
      </c>
      <c r="BY141" s="249">
        <f t="shared" ca="1" si="319"/>
        <v>-21948.170671098291</v>
      </c>
      <c r="BZ141" s="249">
        <f t="shared" ca="1" si="319"/>
        <v>-22215.788734954531</v>
      </c>
      <c r="CA141" s="249">
        <f t="shared" ca="1" si="319"/>
        <v>-22469.261995037508</v>
      </c>
      <c r="CB141" s="249">
        <f t="shared" ca="1" si="319"/>
        <v>-22708.502526922268</v>
      </c>
      <c r="CC141" s="249">
        <f t="shared" ca="1" si="319"/>
        <v>-22933.418697978836</v>
      </c>
      <c r="CD141" s="249">
        <f t="shared" ca="1" si="319"/>
        <v>-23143.915112705312</v>
      </c>
      <c r="CE141" s="249">
        <f t="shared" ca="1" si="319"/>
        <v>-23339.265457416888</v>
      </c>
      <c r="CF141" s="249">
        <f t="shared" ca="1" si="319"/>
        <v>-23519.971206170754</v>
      </c>
      <c r="CG141" s="249">
        <f t="shared" ca="1" si="319"/>
        <v>-23685.924983076271</v>
      </c>
      <c r="CH141" s="249">
        <f t="shared" ca="1" si="319"/>
        <v>-23837.015409564705</v>
      </c>
      <c r="CI141" s="249">
        <f t="shared" ca="1" si="319"/>
        <v>-23973.127042887274</v>
      </c>
      <c r="CJ141" s="249">
        <f t="shared" ca="1" si="319"/>
        <v>-24094.140313197615</v>
      </c>
      <c r="CK141" s="249">
        <f t="shared" ca="1" si="319"/>
        <v>-24199.931459192263</v>
      </c>
      <c r="CL141" s="249">
        <f t="shared" ca="1" si="319"/>
        <v>-24290.372462282128</v>
      </c>
      <c r="CM141" s="249">
        <f t="shared" ca="1" si="319"/>
        <v>-24365.330979267364</v>
      </c>
      <c r="CN141" s="249">
        <f t="shared" ca="1" si="319"/>
        <v>-24424.67027348754</v>
      </c>
      <c r="CO141" s="249">
        <f t="shared" ca="1" si="319"/>
        <v>-24468.249144418405</v>
      </c>
      <c r="CP141" s="249">
        <f t="shared" ca="1" si="319"/>
        <v>-24495.921855685901</v>
      </c>
      <c r="CQ141" s="249">
        <f t="shared" ca="1" si="319"/>
        <v>-24522.548789837954</v>
      </c>
      <c r="CR141" s="249">
        <f t="shared" ca="1" si="319"/>
        <v>-24548.125023645654</v>
      </c>
      <c r="CS141" s="249">
        <f t="shared" ca="1" si="319"/>
        <v>-24572.645375492393</v>
      </c>
      <c r="CT141" s="249">
        <f t="shared" ca="1" si="319"/>
        <v>-24596.104401805318</v>
      </c>
      <c r="CU141" s="249">
        <f t="shared" ca="1" si="319"/>
        <v>-24618.496393399466</v>
      </c>
      <c r="CV141" s="249">
        <f t="shared" ca="1" si="319"/>
        <v>-24639.815371732908</v>
      </c>
      <c r="CW141" s="249">
        <f t="shared" ca="1" si="319"/>
        <v>-24660.055085071363</v>
      </c>
      <c r="CX141" s="249">
        <f t="shared" ca="1" si="319"/>
        <v>-24679.20900456054</v>
      </c>
      <c r="CY141" s="249">
        <f t="shared" ca="1" si="319"/>
        <v>-24697.270320204618</v>
      </c>
      <c r="CZ141" s="249">
        <f t="shared" ca="1" si="319"/>
        <v>-24714.231936749042</v>
      </c>
      <c r="DA141" s="249">
        <f t="shared" ca="1" si="319"/>
        <v>-24730.086469465943</v>
      </c>
      <c r="DB141" s="249">
        <f t="shared" ref="DB141:DY141" ca="1" si="320">IF(_arpuP4=0,0,-(_LostP4*_CapCostP4*_Receivablewriteoffrate))</f>
        <v>-24744.826239840357</v>
      </c>
      <c r="DC141" s="249">
        <f t="shared" ca="1" si="320"/>
        <v>-24758.394001329812</v>
      </c>
      <c r="DD141" s="249">
        <f t="shared" ca="1" si="320"/>
        <v>-24770.828973807515</v>
      </c>
      <c r="DE141" s="249">
        <f t="shared" ca="1" si="320"/>
        <v>-24782.122542935656</v>
      </c>
      <c r="DF141" s="249">
        <f t="shared" ca="1" si="320"/>
        <v>-24792.265781675225</v>
      </c>
      <c r="DG141" s="249">
        <f t="shared" ca="1" si="320"/>
        <v>-24801.249445436162</v>
      </c>
      <c r="DH141" s="249">
        <f t="shared" ca="1" si="320"/>
        <v>-24809.063967116439</v>
      </c>
      <c r="DI141" s="249">
        <f t="shared" ca="1" si="320"/>
        <v>-24815.699452027995</v>
      </c>
      <c r="DJ141" s="249">
        <f t="shared" ca="1" si="320"/>
        <v>-24821.145672707476</v>
      </c>
      <c r="DK141" s="249">
        <f t="shared" ca="1" si="320"/>
        <v>-24825.39206360955</v>
      </c>
      <c r="DL141" s="249">
        <f t="shared" ca="1" si="320"/>
        <v>-24828.427715680577</v>
      </c>
      <c r="DM141" s="249">
        <f t="shared" ca="1" si="320"/>
        <v>-24830.241370810421</v>
      </c>
      <c r="DN141" s="249">
        <f t="shared" ca="1" si="320"/>
        <v>-24830.821416160092</v>
      </c>
      <c r="DO141" s="249">
        <f t="shared" ca="1" si="320"/>
        <v>-24831.335238478623</v>
      </c>
      <c r="DP141" s="249">
        <f t="shared" ca="1" si="320"/>
        <v>-24831.782291544783</v>
      </c>
      <c r="DQ141" s="249">
        <f t="shared" ca="1" si="320"/>
        <v>-24832.162010430508</v>
      </c>
      <c r="DR141" s="249">
        <f t="shared" ca="1" si="320"/>
        <v>-24832.473811204603</v>
      </c>
      <c r="DS141" s="249">
        <f t="shared" ca="1" si="320"/>
        <v>-24832.717090629743</v>
      </c>
      <c r="DT141" s="249">
        <f t="shared" ca="1" si="320"/>
        <v>-24832.891225852574</v>
      </c>
      <c r="DU141" s="249">
        <f t="shared" ca="1" si="320"/>
        <v>-24832.99557408697</v>
      </c>
      <c r="DV141" s="249">
        <f t="shared" ca="1" si="320"/>
        <v>-24833.029472290091</v>
      </c>
      <c r="DW141" s="249">
        <f t="shared" ca="1" si="320"/>
        <v>-24832.992236831265</v>
      </c>
      <c r="DX141" s="249">
        <f t="shared" ca="1" si="320"/>
        <v>-24832.883163153525</v>
      </c>
      <c r="DY141" s="249">
        <f t="shared" ca="1" si="320"/>
        <v>-24832.701525427576</v>
      </c>
    </row>
    <row r="142" spans="1:129" s="19" customFormat="1" outlineLevel="2">
      <c r="A142" s="20"/>
      <c r="B142" s="60"/>
      <c r="C142" s="9" t="str">
        <f>'Model Assumptions'!$K$24&amp;" - COGS related to lost systems"</f>
        <v>Product 5 - COGS related to lost systems</v>
      </c>
      <c r="D142" s="9"/>
      <c r="E142" s="30"/>
      <c r="F142" s="5"/>
      <c r="G142" s="287" t="s">
        <v>626</v>
      </c>
      <c r="H142" s="14"/>
      <c r="I142" s="14"/>
      <c r="J142" s="249">
        <f t="shared" ref="J142:AO142" si="321">IF(_arpuP5=0,0,-(_LostP5*_CapCostP5*_Receivablewriteoffrate))</f>
        <v>-258.8</v>
      </c>
      <c r="K142" s="249">
        <f t="shared" ca="1" si="321"/>
        <v>-512.56299364346603</v>
      </c>
      <c r="L142" s="249">
        <f t="shared" ca="1" si="321"/>
        <v>-769.06787735049738</v>
      </c>
      <c r="M142" s="249">
        <f t="shared" ca="1" si="321"/>
        <v>-1028.3928226204582</v>
      </c>
      <c r="N142" s="249">
        <f t="shared" ca="1" si="321"/>
        <v>-1290.6173310457195</v>
      </c>
      <c r="O142" s="249">
        <f t="shared" ca="1" si="321"/>
        <v>-1555.8222632468887</v>
      </c>
      <c r="P142" s="249">
        <f t="shared" ca="1" si="321"/>
        <v>-1824.0898683634089</v>
      </c>
      <c r="Q142" s="249">
        <f t="shared" ca="1" si="321"/>
        <v>-2095.5038141108748</v>
      </c>
      <c r="R142" s="249">
        <f t="shared" ca="1" si="321"/>
        <v>-2370.1492174166183</v>
      </c>
      <c r="S142" s="249">
        <f t="shared" ca="1" si="321"/>
        <v>-2648.1126756453723</v>
      </c>
      <c r="T142" s="249">
        <f t="shared" ca="1" si="321"/>
        <v>-2929.4822984270268</v>
      </c>
      <c r="U142" s="249">
        <f t="shared" ca="1" si="321"/>
        <v>-3214.3477400987585</v>
      </c>
      <c r="V142" s="249">
        <f t="shared" ca="1" si="321"/>
        <v>-3064.9502036772706</v>
      </c>
      <c r="W142" s="249">
        <f t="shared" ca="1" si="321"/>
        <v>-3320.5660425447918</v>
      </c>
      <c r="X142" s="249">
        <f t="shared" ca="1" si="321"/>
        <v>-3579.4844674529641</v>
      </c>
      <c r="Y142" s="249">
        <f t="shared" ca="1" si="321"/>
        <v>-3841.7896274299665</v>
      </c>
      <c r="Z142" s="249">
        <f t="shared" ca="1" si="321"/>
        <v>-4107.5671735114684</v>
      </c>
      <c r="AA142" s="249">
        <f t="shared" ca="1" si="321"/>
        <v>-4376.9042905905098</v>
      </c>
      <c r="AB142" s="249">
        <f t="shared" ca="1" si="321"/>
        <v>-4649.8897298862857</v>
      </c>
      <c r="AC142" s="249">
        <f t="shared" ca="1" si="321"/>
        <v>-4926.6138420443758</v>
      </c>
      <c r="AD142" s="249">
        <f t="shared" ca="1" si="321"/>
        <v>-5207.1686108812637</v>
      </c>
      <c r="AE142" s="249">
        <f t="shared" ca="1" si="321"/>
        <v>-5491.6476877861696</v>
      </c>
      <c r="AF142" s="249">
        <f t="shared" ca="1" si="321"/>
        <v>-5780.146426793538</v>
      </c>
      <c r="AG142" s="249">
        <f t="shared" ca="1" si="321"/>
        <v>-6072.761920339778</v>
      </c>
      <c r="AH142" s="249">
        <f t="shared" ca="1" si="321"/>
        <v>-5459.6511734726382</v>
      </c>
      <c r="AI142" s="249">
        <f t="shared" ca="1" si="321"/>
        <v>-5583.0518584962128</v>
      </c>
      <c r="AJ142" s="249">
        <f t="shared" ca="1" si="321"/>
        <v>-5708.787466805944</v>
      </c>
      <c r="AK142" s="249">
        <f t="shared" ca="1" si="321"/>
        <v>-5836.9060277716981</v>
      </c>
      <c r="AL142" s="249">
        <f t="shared" ca="1" si="321"/>
        <v>-5967.4565180416985</v>
      </c>
      <c r="AM142" s="249">
        <f t="shared" ca="1" si="321"/>
        <v>-6100.4888806211802</v>
      </c>
      <c r="AN142" s="249">
        <f t="shared" ca="1" si="321"/>
        <v>-6236.0540443312921</v>
      </c>
      <c r="AO142" s="249">
        <f t="shared" ca="1" si="321"/>
        <v>-6374.2039436558543</v>
      </c>
      <c r="AP142" s="249">
        <f t="shared" ref="AP142:BU142" ca="1" si="322">IF(_arpuP5=0,0,-(_LostP5*_CapCostP5*_Receivablewriteoffrate))</f>
        <v>-6514.9915389837552</v>
      </c>
      <c r="AQ142" s="249">
        <f t="shared" ca="1" si="322"/>
        <v>-6658.4708372548939</v>
      </c>
      <c r="AR142" s="249">
        <f t="shared" ca="1" si="322"/>
        <v>-6804.6969130177677</v>
      </c>
      <c r="AS142" s="249">
        <f t="shared" ca="1" si="322"/>
        <v>-6953.7259299069474</v>
      </c>
      <c r="AT142" s="249">
        <f t="shared" ca="1" si="322"/>
        <v>-5921.3459687907089</v>
      </c>
      <c r="AU142" s="249">
        <f t="shared" ca="1" si="322"/>
        <v>-6050.3525157536496</v>
      </c>
      <c r="AV142" s="249">
        <f t="shared" ca="1" si="322"/>
        <v>-6181.8408858810008</v>
      </c>
      <c r="AW142" s="249">
        <f t="shared" ca="1" si="322"/>
        <v>-6315.8616987137984</v>
      </c>
      <c r="AX142" s="249">
        <f t="shared" ca="1" si="322"/>
        <v>-6452.466576353122</v>
      </c>
      <c r="AY142" s="249">
        <f t="shared" ca="1" si="322"/>
        <v>-6591.7081636096054</v>
      </c>
      <c r="AZ142" s="249">
        <f t="shared" ca="1" si="322"/>
        <v>-6733.6401485549441</v>
      </c>
      <c r="BA142" s="249">
        <f t="shared" ca="1" si="322"/>
        <v>-6878.3172834834841</v>
      </c>
      <c r="BB142" s="249">
        <f t="shared" ca="1" si="322"/>
        <v>-7025.7954062920389</v>
      </c>
      <c r="BC142" s="249">
        <f t="shared" ca="1" si="322"/>
        <v>-7176.1314622864011</v>
      </c>
      <c r="BD142" s="249">
        <f t="shared" ca="1" si="322"/>
        <v>-7329.3835264229874</v>
      </c>
      <c r="BE142" s="249">
        <f t="shared" ca="1" si="322"/>
        <v>-7485.6108259944194</v>
      </c>
      <c r="BF142" s="249">
        <f t="shared" ca="1" si="322"/>
        <v>-7644.8737637678732</v>
      </c>
      <c r="BG142" s="249">
        <f t="shared" ca="1" si="322"/>
        <v>-7798.4130236272895</v>
      </c>
      <c r="BH142" s="249">
        <f t="shared" ca="1" si="322"/>
        <v>-7955.0172391932101</v>
      </c>
      <c r="BI142" s="249">
        <f t="shared" ca="1" si="322"/>
        <v>-8114.7477678746718</v>
      </c>
      <c r="BJ142" s="249">
        <f t="shared" ca="1" si="322"/>
        <v>-8277.6671936459425</v>
      </c>
      <c r="BK142" s="249">
        <f t="shared" ca="1" si="322"/>
        <v>-8443.8393515836578</v>
      </c>
      <c r="BL142" s="249">
        <f t="shared" ca="1" si="322"/>
        <v>-8613.3293528946342</v>
      </c>
      <c r="BM142" s="249">
        <f t="shared" ca="1" si="322"/>
        <v>-8786.2036104441959</v>
      </c>
      <c r="BN142" s="249">
        <f t="shared" ca="1" si="322"/>
        <v>-8962.5298647949858</v>
      </c>
      <c r="BO142" s="249">
        <f t="shared" ca="1" si="322"/>
        <v>-9142.37721076653</v>
      </c>
      <c r="BP142" s="249">
        <f t="shared" ca="1" si="322"/>
        <v>-9325.8161245259053</v>
      </c>
      <c r="BQ142" s="249">
        <f t="shared" ca="1" si="322"/>
        <v>-9512.9184912201799</v>
      </c>
      <c r="BR142" s="249">
        <f t="shared" ca="1" si="322"/>
        <v>-9703.75763316146</v>
      </c>
      <c r="BS142" s="249">
        <f t="shared" ca="1" si="322"/>
        <v>-9887.7942039751924</v>
      </c>
      <c r="BT142" s="249">
        <f t="shared" ca="1" si="322"/>
        <v>-10064.998345778487</v>
      </c>
      <c r="BU142" s="249">
        <f t="shared" ca="1" si="322"/>
        <v>-10235.338541595405</v>
      </c>
      <c r="BV142" s="249">
        <f t="shared" ref="BV142:DA142" ca="1" si="323">IF(_arpuP5=0,0,-(_LostP5*_CapCostP5*_Receivablewriteoffrate))</f>
        <v>-10398.781592794441</v>
      </c>
      <c r="BW142" s="249">
        <f t="shared" ca="1" si="323"/>
        <v>-10555.29259596858</v>
      </c>
      <c r="BX142" s="249">
        <f t="shared" ca="1" si="323"/>
        <v>-10704.834919247814</v>
      </c>
      <c r="BY142" s="249">
        <f t="shared" ca="1" si="323"/>
        <v>-10847.370178033829</v>
      </c>
      <c r="BZ142" s="249">
        <f t="shared" ca="1" si="323"/>
        <v>-10982.858210146345</v>
      </c>
      <c r="CA142" s="249">
        <f t="shared" ca="1" si="323"/>
        <v>-11111.257050370388</v>
      </c>
      <c r="CB142" s="249">
        <f t="shared" ca="1" si="323"/>
        <v>-11232.522904393494</v>
      </c>
      <c r="CC142" s="249">
        <f t="shared" ca="1" si="323"/>
        <v>-11346.610122121701</v>
      </c>
      <c r="CD142" s="249">
        <f t="shared" ca="1" si="323"/>
        <v>-11453.471170362862</v>
      </c>
      <c r="CE142" s="249">
        <f t="shared" ca="1" si="323"/>
        <v>-11552.363564623507</v>
      </c>
      <c r="CF142" s="249">
        <f t="shared" ca="1" si="323"/>
        <v>-11643.921488686246</v>
      </c>
      <c r="CG142" s="249">
        <f t="shared" ca="1" si="323"/>
        <v>-11728.091376327957</v>
      </c>
      <c r="CH142" s="249">
        <f t="shared" ca="1" si="323"/>
        <v>-11804.81765876924</v>
      </c>
      <c r="CI142" s="249">
        <f t="shared" ca="1" si="323"/>
        <v>-11874.042733935614</v>
      </c>
      <c r="CJ142" s="249">
        <f t="shared" ca="1" si="323"/>
        <v>-11935.706935010823</v>
      </c>
      <c r="CK142" s="249">
        <f t="shared" ca="1" si="323"/>
        <v>-11989.748498268986</v>
      </c>
      <c r="CL142" s="249">
        <f t="shared" ca="1" si="323"/>
        <v>-12036.103530172151</v>
      </c>
      <c r="CM142" s="249">
        <f t="shared" ca="1" si="323"/>
        <v>-12074.705973719419</v>
      </c>
      <c r="CN142" s="249">
        <f t="shared" ca="1" si="323"/>
        <v>-12105.48757403361</v>
      </c>
      <c r="CO142" s="249">
        <f t="shared" ca="1" si="323"/>
        <v>-12128.377843171102</v>
      </c>
      <c r="CP142" s="249">
        <f t="shared" ca="1" si="323"/>
        <v>-12143.30402414019</v>
      </c>
      <c r="CQ142" s="249">
        <f t="shared" ca="1" si="323"/>
        <v>-12157.696418298206</v>
      </c>
      <c r="CR142" s="249">
        <f t="shared" ca="1" si="323"/>
        <v>-12171.552673013226</v>
      </c>
      <c r="CS142" s="249">
        <f t="shared" ca="1" si="323"/>
        <v>-12184.870305369652</v>
      </c>
      <c r="CT142" s="249">
        <f t="shared" ca="1" si="323"/>
        <v>-12197.646700394844</v>
      </c>
      <c r="CU142" s="249">
        <f t="shared" ca="1" si="323"/>
        <v>-12209.879109241958</v>
      </c>
      <c r="CV142" s="249">
        <f t="shared" ca="1" si="323"/>
        <v>-12221.56464732822</v>
      </c>
      <c r="CW142" s="249">
        <f t="shared" ca="1" si="323"/>
        <v>-12232.700292427789</v>
      </c>
      <c r="CX142" s="249">
        <f t="shared" ca="1" si="323"/>
        <v>-12243.282882718417</v>
      </c>
      <c r="CY142" s="249">
        <f t="shared" ca="1" si="323"/>
        <v>-12253.309114781034</v>
      </c>
      <c r="CZ142" s="249">
        <f t="shared" ca="1" si="323"/>
        <v>-12262.775541551418</v>
      </c>
      <c r="DA142" s="249">
        <f t="shared" ca="1" si="323"/>
        <v>-12271.678570223061</v>
      </c>
      <c r="DB142" s="249">
        <f t="shared" ref="DB142:DY142" ca="1" si="324">IF(_arpuP5=0,0,-(_LostP5*_CapCostP5*_Receivablewriteoffrate))</f>
        <v>-12280.014460100327</v>
      </c>
      <c r="DC142" s="249">
        <f t="shared" ca="1" si="324"/>
        <v>-12287.724869744114</v>
      </c>
      <c r="DD142" s="249">
        <f t="shared" ca="1" si="324"/>
        <v>-12294.859619593035</v>
      </c>
      <c r="DE142" s="249">
        <f t="shared" ca="1" si="324"/>
        <v>-12301.414495131072</v>
      </c>
      <c r="DF142" s="249">
        <f t="shared" ca="1" si="324"/>
        <v>-12307.385124565084</v>
      </c>
      <c r="DG142" s="249">
        <f t="shared" ca="1" si="324"/>
        <v>-12312.766976409142</v>
      </c>
      <c r="DH142" s="249">
        <f t="shared" ca="1" si="324"/>
        <v>-12317.555357013231</v>
      </c>
      <c r="DI142" s="249">
        <f t="shared" ca="1" si="324"/>
        <v>-12321.745408035318</v>
      </c>
      <c r="DJ142" s="249">
        <f t="shared" ca="1" si="324"/>
        <v>-12325.332103855708</v>
      </c>
      <c r="DK142" s="249">
        <f t="shared" ca="1" si="324"/>
        <v>-12328.310248932585</v>
      </c>
      <c r="DL142" s="249">
        <f t="shared" ca="1" si="324"/>
        <v>-12330.67447509768</v>
      </c>
      <c r="DM142" s="249">
        <f t="shared" ca="1" si="324"/>
        <v>-12332.419238790888</v>
      </c>
      <c r="DN142" s="249">
        <f t="shared" ca="1" si="324"/>
        <v>-12333.538818232726</v>
      </c>
      <c r="DO142" s="249">
        <f t="shared" ca="1" si="324"/>
        <v>-12334.616990591328</v>
      </c>
      <c r="DP142" s="249">
        <f t="shared" ca="1" si="324"/>
        <v>-12335.653565711747</v>
      </c>
      <c r="DQ142" s="249">
        <f t="shared" ca="1" si="324"/>
        <v>-12336.648343256076</v>
      </c>
      <c r="DR142" s="249">
        <f t="shared" ca="1" si="324"/>
        <v>-12337.60111256358</v>
      </c>
      <c r="DS142" s="249">
        <f t="shared" ca="1" si="324"/>
        <v>-12338.511652507395</v>
      </c>
      <c r="DT142" s="249">
        <f t="shared" ca="1" si="324"/>
        <v>-12339.379731347748</v>
      </c>
      <c r="DU142" s="249">
        <f t="shared" ca="1" si="324"/>
        <v>-12340.205106581594</v>
      </c>
      <c r="DV142" s="249">
        <f t="shared" ca="1" si="324"/>
        <v>-12340.987524788632</v>
      </c>
      <c r="DW142" s="249">
        <f t="shared" ca="1" si="324"/>
        <v>-12341.726721473644</v>
      </c>
      <c r="DX142" s="249">
        <f t="shared" ca="1" si="324"/>
        <v>-12342.422420905052</v>
      </c>
      <c r="DY142" s="249">
        <f t="shared" ca="1" si="324"/>
        <v>-12343.074335949656</v>
      </c>
    </row>
    <row r="143" spans="1:129" s="19" customFormat="1" outlineLevel="2">
      <c r="A143" s="20"/>
      <c r="B143" s="60"/>
      <c r="C143" s="9" t="s">
        <v>614</v>
      </c>
      <c r="D143" s="9"/>
      <c r="E143" s="30"/>
      <c r="F143" s="5"/>
      <c r="G143" s="287" t="s">
        <v>627</v>
      </c>
      <c r="H143" s="14"/>
      <c r="I143" s="14"/>
      <c r="J143" s="249">
        <f ca="1">IF('Model Assumptions'!$D$41="USD",SUM(J133:J142)*_currencyeffect-SUM(J133:J142),0)</f>
        <v>0</v>
      </c>
      <c r="K143" s="249">
        <f ca="1">IF('Model Assumptions'!$D$41="USD",SUM(K133:K142)*_currencyeffect-SUM(K133:K142),0)</f>
        <v>0</v>
      </c>
      <c r="L143" s="249">
        <f ca="1">IF('Model Assumptions'!$D$41="USD",SUM(L133:L142)*_currencyeffect-SUM(L133:L142),0)</f>
        <v>0</v>
      </c>
      <c r="M143" s="249">
        <f ca="1">IF('Model Assumptions'!$D$41="USD",SUM(M133:M142)*_currencyeffect-SUM(M133:M142),0)</f>
        <v>0</v>
      </c>
      <c r="N143" s="249">
        <f ca="1">IF('Model Assumptions'!$D$41="USD",SUM(N133:N142)*_currencyeffect-SUM(N133:N142),0)</f>
        <v>0</v>
      </c>
      <c r="O143" s="249">
        <f ca="1">IF('Model Assumptions'!$D$41="USD",SUM(O133:O142)*_currencyeffect-SUM(O133:O142),0)</f>
        <v>0</v>
      </c>
      <c r="P143" s="249">
        <f ca="1">IF('Model Assumptions'!$D$41="USD",SUM(P133:P142)*_currencyeffect-SUM(P133:P142),0)</f>
        <v>0</v>
      </c>
      <c r="Q143" s="249">
        <f ca="1">IF('Model Assumptions'!$D$41="USD",SUM(Q133:Q142)*_currencyeffect-SUM(Q133:Q142),0)</f>
        <v>0</v>
      </c>
      <c r="R143" s="249">
        <f ca="1">IF('Model Assumptions'!$D$41="USD",SUM(R133:R142)*_currencyeffect-SUM(R133:R142),0)</f>
        <v>0</v>
      </c>
      <c r="S143" s="249">
        <f ca="1">IF('Model Assumptions'!$D$41="USD",SUM(S133:S142)*_currencyeffect-SUM(S133:S142),0)</f>
        <v>0</v>
      </c>
      <c r="T143" s="249">
        <f ca="1">IF('Model Assumptions'!$D$41="USD",SUM(T133:T142)*_currencyeffect-SUM(T133:T142),0)</f>
        <v>0</v>
      </c>
      <c r="U143" s="249">
        <f ca="1">IF('Model Assumptions'!$D$41="USD",SUM(U133:U142)*_currencyeffect-SUM(U133:U142),0)</f>
        <v>0</v>
      </c>
      <c r="V143" s="249">
        <f ca="1">IF('Model Assumptions'!$D$41="USD",SUM(V133:V142)*_currencyeffect-SUM(V133:V142),0)</f>
        <v>0</v>
      </c>
      <c r="W143" s="249">
        <f ca="1">IF('Model Assumptions'!$D$41="USD",SUM(W133:W142)*_currencyeffect-SUM(W133:W142),0)</f>
        <v>0</v>
      </c>
      <c r="X143" s="249">
        <f ca="1">IF('Model Assumptions'!$D$41="USD",SUM(X133:X142)*_currencyeffect-SUM(X133:X142),0)</f>
        <v>0</v>
      </c>
      <c r="Y143" s="249">
        <f ca="1">IF('Model Assumptions'!$D$41="USD",SUM(Y133:Y142)*_currencyeffect-SUM(Y133:Y142),0)</f>
        <v>0</v>
      </c>
      <c r="Z143" s="249">
        <f ca="1">IF('Model Assumptions'!$D$41="USD",SUM(Z133:Z142)*_currencyeffect-SUM(Z133:Z142),0)</f>
        <v>0</v>
      </c>
      <c r="AA143" s="249">
        <f ca="1">IF('Model Assumptions'!$D$41="USD",SUM(AA133:AA142)*_currencyeffect-SUM(AA133:AA142),0)</f>
        <v>0</v>
      </c>
      <c r="AB143" s="249">
        <f ca="1">IF('Model Assumptions'!$D$41="USD",SUM(AB133:AB142)*_currencyeffect-SUM(AB133:AB142),0)</f>
        <v>0</v>
      </c>
      <c r="AC143" s="249">
        <f ca="1">IF('Model Assumptions'!$D$41="USD",SUM(AC133:AC142)*_currencyeffect-SUM(AC133:AC142),0)</f>
        <v>0</v>
      </c>
      <c r="AD143" s="249">
        <f ca="1">IF('Model Assumptions'!$D$41="USD",SUM(AD133:AD142)*_currencyeffect-SUM(AD133:AD142),0)</f>
        <v>0</v>
      </c>
      <c r="AE143" s="249">
        <f ca="1">IF('Model Assumptions'!$D$41="USD",SUM(AE133:AE142)*_currencyeffect-SUM(AE133:AE142),0)</f>
        <v>0</v>
      </c>
      <c r="AF143" s="249">
        <f ca="1">IF('Model Assumptions'!$D$41="USD",SUM(AF133:AF142)*_currencyeffect-SUM(AF133:AF142),0)</f>
        <v>0</v>
      </c>
      <c r="AG143" s="249">
        <f ca="1">IF('Model Assumptions'!$D$41="USD",SUM(AG133:AG142)*_currencyeffect-SUM(AG133:AG142),0)</f>
        <v>0</v>
      </c>
      <c r="AH143" s="249">
        <f ca="1">IF('Model Assumptions'!$D$41="USD",SUM(AH133:AH142)*_currencyeffect-SUM(AH133:AH142),0)</f>
        <v>0</v>
      </c>
      <c r="AI143" s="249">
        <f ca="1">IF('Model Assumptions'!$D$41="USD",SUM(AI133:AI142)*_currencyeffect-SUM(AI133:AI142),0)</f>
        <v>0</v>
      </c>
      <c r="AJ143" s="249">
        <f ca="1">IF('Model Assumptions'!$D$41="USD",SUM(AJ133:AJ142)*_currencyeffect-SUM(AJ133:AJ142),0)</f>
        <v>0</v>
      </c>
      <c r="AK143" s="249">
        <f ca="1">IF('Model Assumptions'!$D$41="USD",SUM(AK133:AK142)*_currencyeffect-SUM(AK133:AK142),0)</f>
        <v>0</v>
      </c>
      <c r="AL143" s="249">
        <f ca="1">IF('Model Assumptions'!$D$41="USD",SUM(AL133:AL142)*_currencyeffect-SUM(AL133:AL142),0)</f>
        <v>0</v>
      </c>
      <c r="AM143" s="249">
        <f ca="1">IF('Model Assumptions'!$D$41="USD",SUM(AM133:AM142)*_currencyeffect-SUM(AM133:AM142),0)</f>
        <v>0</v>
      </c>
      <c r="AN143" s="249">
        <f ca="1">IF('Model Assumptions'!$D$41="USD",SUM(AN133:AN142)*_currencyeffect-SUM(AN133:AN142),0)</f>
        <v>0</v>
      </c>
      <c r="AO143" s="249">
        <f ca="1">IF('Model Assumptions'!$D$41="USD",SUM(AO133:AO142)*_currencyeffect-SUM(AO133:AO142),0)</f>
        <v>0</v>
      </c>
      <c r="AP143" s="249">
        <f ca="1">IF('Model Assumptions'!$D$41="USD",SUM(AP133:AP142)*_currencyeffect-SUM(AP133:AP142),0)</f>
        <v>0</v>
      </c>
      <c r="AQ143" s="249">
        <f ca="1">IF('Model Assumptions'!$D$41="USD",SUM(AQ133:AQ142)*_currencyeffect-SUM(AQ133:AQ142),0)</f>
        <v>0</v>
      </c>
      <c r="AR143" s="249">
        <f ca="1">IF('Model Assumptions'!$D$41="USD",SUM(AR133:AR142)*_currencyeffect-SUM(AR133:AR142),0)</f>
        <v>0</v>
      </c>
      <c r="AS143" s="249">
        <f ca="1">IF('Model Assumptions'!$D$41="USD",SUM(AS133:AS142)*_currencyeffect-SUM(AS133:AS142),0)</f>
        <v>0</v>
      </c>
      <c r="AT143" s="249">
        <f ca="1">IF('Model Assumptions'!$D$41="USD",SUM(AT133:AT142)*_currencyeffect-SUM(AT133:AT142),0)</f>
        <v>0</v>
      </c>
      <c r="AU143" s="249">
        <f ca="1">IF('Model Assumptions'!$D$41="USD",SUM(AU133:AU142)*_currencyeffect-SUM(AU133:AU142),0)</f>
        <v>0</v>
      </c>
      <c r="AV143" s="249">
        <f ca="1">IF('Model Assumptions'!$D$41="USD",SUM(AV133:AV142)*_currencyeffect-SUM(AV133:AV142),0)</f>
        <v>0</v>
      </c>
      <c r="AW143" s="249">
        <f ca="1">IF('Model Assumptions'!$D$41="USD",SUM(AW133:AW142)*_currencyeffect-SUM(AW133:AW142),0)</f>
        <v>0</v>
      </c>
      <c r="AX143" s="249">
        <f ca="1">IF('Model Assumptions'!$D$41="USD",SUM(AX133:AX142)*_currencyeffect-SUM(AX133:AX142),0)</f>
        <v>0</v>
      </c>
      <c r="AY143" s="249">
        <f ca="1">IF('Model Assumptions'!$D$41="USD",SUM(AY133:AY142)*_currencyeffect-SUM(AY133:AY142),0)</f>
        <v>0</v>
      </c>
      <c r="AZ143" s="249">
        <f ca="1">IF('Model Assumptions'!$D$41="USD",SUM(AZ133:AZ142)*_currencyeffect-SUM(AZ133:AZ142),0)</f>
        <v>0</v>
      </c>
      <c r="BA143" s="249">
        <f ca="1">IF('Model Assumptions'!$D$41="USD",SUM(BA133:BA142)*_currencyeffect-SUM(BA133:BA142),0)</f>
        <v>0</v>
      </c>
      <c r="BB143" s="249">
        <f ca="1">IF('Model Assumptions'!$D$41="USD",SUM(BB133:BB142)*_currencyeffect-SUM(BB133:BB142),0)</f>
        <v>0</v>
      </c>
      <c r="BC143" s="249">
        <f ca="1">IF('Model Assumptions'!$D$41="USD",SUM(BC133:BC142)*_currencyeffect-SUM(BC133:BC142),0)</f>
        <v>0</v>
      </c>
      <c r="BD143" s="249">
        <f ca="1">IF('Model Assumptions'!$D$41="USD",SUM(BD133:BD142)*_currencyeffect-SUM(BD133:BD142),0)</f>
        <v>0</v>
      </c>
      <c r="BE143" s="249">
        <f ca="1">IF('Model Assumptions'!$D$41="USD",SUM(BE133:BE142)*_currencyeffect-SUM(BE133:BE142),0)</f>
        <v>0</v>
      </c>
      <c r="BF143" s="249">
        <f ca="1">IF('Model Assumptions'!$D$41="USD",SUM(BF133:BF142)*_currencyeffect-SUM(BF133:BF142),0)</f>
        <v>0</v>
      </c>
      <c r="BG143" s="249">
        <f ca="1">IF('Model Assumptions'!$D$41="USD",SUM(BG133:BG142)*_currencyeffect-SUM(BG133:BG142),0)</f>
        <v>0</v>
      </c>
      <c r="BH143" s="249">
        <f ca="1">IF('Model Assumptions'!$D$41="USD",SUM(BH133:BH142)*_currencyeffect-SUM(BH133:BH142),0)</f>
        <v>0</v>
      </c>
      <c r="BI143" s="249">
        <f ca="1">IF('Model Assumptions'!$D$41="USD",SUM(BI133:BI142)*_currencyeffect-SUM(BI133:BI142),0)</f>
        <v>0</v>
      </c>
      <c r="BJ143" s="249">
        <f ca="1">IF('Model Assumptions'!$D$41="USD",SUM(BJ133:BJ142)*_currencyeffect-SUM(BJ133:BJ142),0)</f>
        <v>0</v>
      </c>
      <c r="BK143" s="249">
        <f ca="1">IF('Model Assumptions'!$D$41="USD",SUM(BK133:BK142)*_currencyeffect-SUM(BK133:BK142),0)</f>
        <v>0</v>
      </c>
      <c r="BL143" s="249">
        <f ca="1">IF('Model Assumptions'!$D$41="USD",SUM(BL133:BL142)*_currencyeffect-SUM(BL133:BL142),0)</f>
        <v>0</v>
      </c>
      <c r="BM143" s="249">
        <f ca="1">IF('Model Assumptions'!$D$41="USD",SUM(BM133:BM142)*_currencyeffect-SUM(BM133:BM142),0)</f>
        <v>0</v>
      </c>
      <c r="BN143" s="249">
        <f ca="1">IF('Model Assumptions'!$D$41="USD",SUM(BN133:BN142)*_currencyeffect-SUM(BN133:BN142),0)</f>
        <v>0</v>
      </c>
      <c r="BO143" s="249">
        <f ca="1">IF('Model Assumptions'!$D$41="USD",SUM(BO133:BO142)*_currencyeffect-SUM(BO133:BO142),0)</f>
        <v>0</v>
      </c>
      <c r="BP143" s="249">
        <f ca="1">IF('Model Assumptions'!$D$41="USD",SUM(BP133:BP142)*_currencyeffect-SUM(BP133:BP142),0)</f>
        <v>0</v>
      </c>
      <c r="BQ143" s="249">
        <f ca="1">IF('Model Assumptions'!$D$41="USD",SUM(BQ133:BQ142)*_currencyeffect-SUM(BQ133:BQ142),0)</f>
        <v>0</v>
      </c>
      <c r="BR143" s="249">
        <f ca="1">IF('Model Assumptions'!$D$41="USD",SUM(BR133:BR142)*_currencyeffect-SUM(BR133:BR142),0)</f>
        <v>0</v>
      </c>
      <c r="BS143" s="249">
        <f ca="1">IF('Model Assumptions'!$D$41="USD",SUM(BS133:BS142)*_currencyeffect-SUM(BS133:BS142),0)</f>
        <v>0</v>
      </c>
      <c r="BT143" s="249">
        <f ca="1">IF('Model Assumptions'!$D$41="USD",SUM(BT133:BT142)*_currencyeffect-SUM(BT133:BT142),0)</f>
        <v>0</v>
      </c>
      <c r="BU143" s="249">
        <f ca="1">IF('Model Assumptions'!$D$41="USD",SUM(BU133:BU142)*_currencyeffect-SUM(BU133:BU142),0)</f>
        <v>0</v>
      </c>
      <c r="BV143" s="249">
        <f ca="1">IF('Model Assumptions'!$D$41="USD",SUM(BV133:BV142)*_currencyeffect-SUM(BV133:BV142),0)</f>
        <v>0</v>
      </c>
      <c r="BW143" s="249">
        <f ca="1">IF('Model Assumptions'!$D$41="USD",SUM(BW133:BW142)*_currencyeffect-SUM(BW133:BW142),0)</f>
        <v>0</v>
      </c>
      <c r="BX143" s="249">
        <f ca="1">IF('Model Assumptions'!$D$41="USD",SUM(BX133:BX142)*_currencyeffect-SUM(BX133:BX142),0)</f>
        <v>0</v>
      </c>
      <c r="BY143" s="249">
        <f ca="1">IF('Model Assumptions'!$D$41="USD",SUM(BY133:BY142)*_currencyeffect-SUM(BY133:BY142),0)</f>
        <v>0</v>
      </c>
      <c r="BZ143" s="249">
        <f ca="1">IF('Model Assumptions'!$D$41="USD",SUM(BZ133:BZ142)*_currencyeffect-SUM(BZ133:BZ142),0)</f>
        <v>0</v>
      </c>
      <c r="CA143" s="249">
        <f ca="1">IF('Model Assumptions'!$D$41="USD",SUM(CA133:CA142)*_currencyeffect-SUM(CA133:CA142),0)</f>
        <v>0</v>
      </c>
      <c r="CB143" s="249">
        <f ca="1">IF('Model Assumptions'!$D$41="USD",SUM(CB133:CB142)*_currencyeffect-SUM(CB133:CB142),0)</f>
        <v>0</v>
      </c>
      <c r="CC143" s="249">
        <f ca="1">IF('Model Assumptions'!$D$41="USD",SUM(CC133:CC142)*_currencyeffect-SUM(CC133:CC142),0)</f>
        <v>0</v>
      </c>
      <c r="CD143" s="249">
        <f ca="1">IF('Model Assumptions'!$D$41="USD",SUM(CD133:CD142)*_currencyeffect-SUM(CD133:CD142),0)</f>
        <v>0</v>
      </c>
      <c r="CE143" s="249">
        <f ca="1">IF('Model Assumptions'!$D$41="USD",SUM(CE133:CE142)*_currencyeffect-SUM(CE133:CE142),0)</f>
        <v>0</v>
      </c>
      <c r="CF143" s="249">
        <f ca="1">IF('Model Assumptions'!$D$41="USD",SUM(CF133:CF142)*_currencyeffect-SUM(CF133:CF142),0)</f>
        <v>0</v>
      </c>
      <c r="CG143" s="249">
        <f ca="1">IF('Model Assumptions'!$D$41="USD",SUM(CG133:CG142)*_currencyeffect-SUM(CG133:CG142),0)</f>
        <v>0</v>
      </c>
      <c r="CH143" s="249">
        <f ca="1">IF('Model Assumptions'!$D$41="USD",SUM(CH133:CH142)*_currencyeffect-SUM(CH133:CH142),0)</f>
        <v>0</v>
      </c>
      <c r="CI143" s="249">
        <f ca="1">IF('Model Assumptions'!$D$41="USD",SUM(CI133:CI142)*_currencyeffect-SUM(CI133:CI142),0)</f>
        <v>0</v>
      </c>
      <c r="CJ143" s="249">
        <f ca="1">IF('Model Assumptions'!$D$41="USD",SUM(CJ133:CJ142)*_currencyeffect-SUM(CJ133:CJ142),0)</f>
        <v>0</v>
      </c>
      <c r="CK143" s="249">
        <f ca="1">IF('Model Assumptions'!$D$41="USD",SUM(CK133:CK142)*_currencyeffect-SUM(CK133:CK142),0)</f>
        <v>0</v>
      </c>
      <c r="CL143" s="249">
        <f ca="1">IF('Model Assumptions'!$D$41="USD",SUM(CL133:CL142)*_currencyeffect-SUM(CL133:CL142),0)</f>
        <v>0</v>
      </c>
      <c r="CM143" s="249">
        <f ca="1">IF('Model Assumptions'!$D$41="USD",SUM(CM133:CM142)*_currencyeffect-SUM(CM133:CM142),0)</f>
        <v>0</v>
      </c>
      <c r="CN143" s="249">
        <f ca="1">IF('Model Assumptions'!$D$41="USD",SUM(CN133:CN142)*_currencyeffect-SUM(CN133:CN142),0)</f>
        <v>0</v>
      </c>
      <c r="CO143" s="249">
        <f ca="1">IF('Model Assumptions'!$D$41="USD",SUM(CO133:CO142)*_currencyeffect-SUM(CO133:CO142),0)</f>
        <v>0</v>
      </c>
      <c r="CP143" s="249">
        <f ca="1">IF('Model Assumptions'!$D$41="USD",SUM(CP133:CP142)*_currencyeffect-SUM(CP133:CP142),0)</f>
        <v>0</v>
      </c>
      <c r="CQ143" s="249">
        <f ca="1">IF('Model Assumptions'!$D$41="USD",SUM(CQ133:CQ142)*_currencyeffect-SUM(CQ133:CQ142),0)</f>
        <v>0</v>
      </c>
      <c r="CR143" s="249">
        <f ca="1">IF('Model Assumptions'!$D$41="USD",SUM(CR133:CR142)*_currencyeffect-SUM(CR133:CR142),0)</f>
        <v>0</v>
      </c>
      <c r="CS143" s="249">
        <f ca="1">IF('Model Assumptions'!$D$41="USD",SUM(CS133:CS142)*_currencyeffect-SUM(CS133:CS142),0)</f>
        <v>0</v>
      </c>
      <c r="CT143" s="249">
        <f ca="1">IF('Model Assumptions'!$D$41="USD",SUM(CT133:CT142)*_currencyeffect-SUM(CT133:CT142),0)</f>
        <v>0</v>
      </c>
      <c r="CU143" s="249">
        <f ca="1">IF('Model Assumptions'!$D$41="USD",SUM(CU133:CU142)*_currencyeffect-SUM(CU133:CU142),0)</f>
        <v>0</v>
      </c>
      <c r="CV143" s="249">
        <f ca="1">IF('Model Assumptions'!$D$41="USD",SUM(CV133:CV142)*_currencyeffect-SUM(CV133:CV142),0)</f>
        <v>0</v>
      </c>
      <c r="CW143" s="249">
        <f ca="1">IF('Model Assumptions'!$D$41="USD",SUM(CW133:CW142)*_currencyeffect-SUM(CW133:CW142),0)</f>
        <v>0</v>
      </c>
      <c r="CX143" s="249">
        <f ca="1">IF('Model Assumptions'!$D$41="USD",SUM(CX133:CX142)*_currencyeffect-SUM(CX133:CX142),0)</f>
        <v>0</v>
      </c>
      <c r="CY143" s="249">
        <f ca="1">IF('Model Assumptions'!$D$41="USD",SUM(CY133:CY142)*_currencyeffect-SUM(CY133:CY142),0)</f>
        <v>0</v>
      </c>
      <c r="CZ143" s="249">
        <f ca="1">IF('Model Assumptions'!$D$41="USD",SUM(CZ133:CZ142)*_currencyeffect-SUM(CZ133:CZ142),0)</f>
        <v>0</v>
      </c>
      <c r="DA143" s="249">
        <f ca="1">IF('Model Assumptions'!$D$41="USD",SUM(DA133:DA142)*_currencyeffect-SUM(DA133:DA142),0)</f>
        <v>0</v>
      </c>
      <c r="DB143" s="249">
        <f ca="1">IF('Model Assumptions'!$D$41="USD",SUM(DB133:DB142)*_currencyeffect-SUM(DB133:DB142),0)</f>
        <v>0</v>
      </c>
      <c r="DC143" s="249">
        <f ca="1">IF('Model Assumptions'!$D$41="USD",SUM(DC133:DC142)*_currencyeffect-SUM(DC133:DC142),0)</f>
        <v>0</v>
      </c>
      <c r="DD143" s="249">
        <f ca="1">IF('Model Assumptions'!$D$41="USD",SUM(DD133:DD142)*_currencyeffect-SUM(DD133:DD142),0)</f>
        <v>0</v>
      </c>
      <c r="DE143" s="249">
        <f ca="1">IF('Model Assumptions'!$D$41="USD",SUM(DE133:DE142)*_currencyeffect-SUM(DE133:DE142),0)</f>
        <v>0</v>
      </c>
      <c r="DF143" s="249">
        <f ca="1">IF('Model Assumptions'!$D$41="USD",SUM(DF133:DF142)*_currencyeffect-SUM(DF133:DF142),0)</f>
        <v>0</v>
      </c>
      <c r="DG143" s="249">
        <f ca="1">IF('Model Assumptions'!$D$41="USD",SUM(DG133:DG142)*_currencyeffect-SUM(DG133:DG142),0)</f>
        <v>0</v>
      </c>
      <c r="DH143" s="249">
        <f ca="1">IF('Model Assumptions'!$D$41="USD",SUM(DH133:DH142)*_currencyeffect-SUM(DH133:DH142),0)</f>
        <v>0</v>
      </c>
      <c r="DI143" s="249">
        <f ca="1">IF('Model Assumptions'!$D$41="USD",SUM(DI133:DI142)*_currencyeffect-SUM(DI133:DI142),0)</f>
        <v>0</v>
      </c>
      <c r="DJ143" s="249">
        <f ca="1">IF('Model Assumptions'!$D$41="USD",SUM(DJ133:DJ142)*_currencyeffect-SUM(DJ133:DJ142),0)</f>
        <v>0</v>
      </c>
      <c r="DK143" s="249">
        <f ca="1">IF('Model Assumptions'!$D$41="USD",SUM(DK133:DK142)*_currencyeffect-SUM(DK133:DK142),0)</f>
        <v>0</v>
      </c>
      <c r="DL143" s="249">
        <f ca="1">IF('Model Assumptions'!$D$41="USD",SUM(DL133:DL142)*_currencyeffect-SUM(DL133:DL142),0)</f>
        <v>0</v>
      </c>
      <c r="DM143" s="249">
        <f ca="1">IF('Model Assumptions'!$D$41="USD",SUM(DM133:DM142)*_currencyeffect-SUM(DM133:DM142),0)</f>
        <v>0</v>
      </c>
      <c r="DN143" s="249">
        <f ca="1">IF('Model Assumptions'!$D$41="USD",SUM(DN133:DN142)*_currencyeffect-SUM(DN133:DN142),0)</f>
        <v>0</v>
      </c>
      <c r="DO143" s="249">
        <f ca="1">IF('Model Assumptions'!$D$41="USD",SUM(DO133:DO142)*_currencyeffect-SUM(DO133:DO142),0)</f>
        <v>0</v>
      </c>
      <c r="DP143" s="249">
        <f ca="1">IF('Model Assumptions'!$D$41="USD",SUM(DP133:DP142)*_currencyeffect-SUM(DP133:DP142),0)</f>
        <v>0</v>
      </c>
      <c r="DQ143" s="249">
        <f ca="1">IF('Model Assumptions'!$D$41="USD",SUM(DQ133:DQ142)*_currencyeffect-SUM(DQ133:DQ142),0)</f>
        <v>0</v>
      </c>
      <c r="DR143" s="249">
        <f ca="1">IF('Model Assumptions'!$D$41="USD",SUM(DR133:DR142)*_currencyeffect-SUM(DR133:DR142),0)</f>
        <v>0</v>
      </c>
      <c r="DS143" s="249">
        <f ca="1">IF('Model Assumptions'!$D$41="USD",SUM(DS133:DS142)*_currencyeffect-SUM(DS133:DS142),0)</f>
        <v>0</v>
      </c>
      <c r="DT143" s="249">
        <f ca="1">IF('Model Assumptions'!$D$41="USD",SUM(DT133:DT142)*_currencyeffect-SUM(DT133:DT142),0)</f>
        <v>0</v>
      </c>
      <c r="DU143" s="249">
        <f ca="1">IF('Model Assumptions'!$D$41="USD",SUM(DU133:DU142)*_currencyeffect-SUM(DU133:DU142),0)</f>
        <v>0</v>
      </c>
      <c r="DV143" s="249">
        <f ca="1">IF('Model Assumptions'!$D$41="USD",SUM(DV133:DV142)*_currencyeffect-SUM(DV133:DV142),0)</f>
        <v>0</v>
      </c>
      <c r="DW143" s="249">
        <f ca="1">IF('Model Assumptions'!$D$41="USD",SUM(DW133:DW142)*_currencyeffect-SUM(DW133:DW142),0)</f>
        <v>0</v>
      </c>
      <c r="DX143" s="249">
        <f ca="1">IF('Model Assumptions'!$D$41="USD",SUM(DX133:DX142)*_currencyeffect-SUM(DX133:DX142),0)</f>
        <v>0</v>
      </c>
      <c r="DY143" s="249">
        <f ca="1">IF('Model Assumptions'!$D$41="USD",SUM(DY133:DY142)*_currencyeffect-SUM(DY133:DY142),0)</f>
        <v>0</v>
      </c>
    </row>
    <row r="144" spans="1:129" s="158" customFormat="1" outlineLevel="1">
      <c r="A144" s="153"/>
      <c r="B144" s="154"/>
      <c r="C144" s="155" t="s">
        <v>107</v>
      </c>
      <c r="D144" s="156"/>
      <c r="E144" s="156"/>
      <c r="F144" s="208" t="s">
        <v>146</v>
      </c>
      <c r="G144" s="157"/>
      <c r="H144" s="157"/>
      <c r="I144" s="157"/>
      <c r="J144" s="262">
        <f ca="1">SUM(J133:J143)</f>
        <v>-590716.20180502138</v>
      </c>
      <c r="K144" s="262">
        <f ca="1">SUM(K133:K143)</f>
        <v>-610578.59941610356</v>
      </c>
      <c r="L144" s="262">
        <f t="shared" ref="L144:BV144" ca="1" si="325">SUM(L133:L143)</f>
        <v>-631325.20071607467</v>
      </c>
      <c r="M144" s="262">
        <f t="shared" ca="1" si="325"/>
        <v>-652968.82022134622</v>
      </c>
      <c r="N144" s="262">
        <f t="shared" ca="1" si="325"/>
        <v>-675522.57743423106</v>
      </c>
      <c r="O144" s="262">
        <f t="shared" ca="1" si="325"/>
        <v>-698999.90245570638</v>
      </c>
      <c r="P144" s="262">
        <f t="shared" ca="1" si="325"/>
        <v>-723414.54171530076</v>
      </c>
      <c r="Q144" s="262">
        <f t="shared" ca="1" si="325"/>
        <v>-748780.56382039934</v>
      </c>
      <c r="R144" s="262">
        <f t="shared" ca="1" si="325"/>
        <v>-775112.36552730971</v>
      </c>
      <c r="S144" s="262">
        <f t="shared" ca="1" si="325"/>
        <v>-802424.67783647019</v>
      </c>
      <c r="T144" s="262">
        <f t="shared" ca="1" si="325"/>
        <v>-830732.57221424533</v>
      </c>
      <c r="U144" s="262">
        <f t="shared" ca="1" si="325"/>
        <v>-860051.46694378264</v>
      </c>
      <c r="V144" s="262">
        <f t="shared" ca="1" si="325"/>
        <v>-877776.44796932954</v>
      </c>
      <c r="W144" s="262">
        <f t="shared" ca="1" si="325"/>
        <v>-901463.32938574057</v>
      </c>
      <c r="X144" s="262">
        <f t="shared" ca="1" si="325"/>
        <v>-925717.04268609406</v>
      </c>
      <c r="Y144" s="262">
        <f t="shared" ca="1" si="325"/>
        <v>-950547.99356551236</v>
      </c>
      <c r="Z144" s="262">
        <f t="shared" ca="1" si="325"/>
        <v>-975966.80514244677</v>
      </c>
      <c r="AA144" s="262">
        <f t="shared" ca="1" si="325"/>
        <v>-1001984.3222140475</v>
      </c>
      <c r="AB144" s="262">
        <f t="shared" ca="1" si="325"/>
        <v>-1028611.6155975779</v>
      </c>
      <c r="AC144" s="262">
        <f t="shared" ca="1" si="325"/>
        <v>-1055859.9865595701</v>
      </c>
      <c r="AD144" s="262">
        <f t="shared" ca="1" si="325"/>
        <v>-1083740.9713344863</v>
      </c>
      <c r="AE144" s="262">
        <f t="shared" ca="1" si="325"/>
        <v>-1112266.3457346482</v>
      </c>
      <c r="AF144" s="262">
        <f t="shared" ca="1" si="325"/>
        <v>-1141448.1298532628</v>
      </c>
      <c r="AG144" s="262">
        <f t="shared" ca="1" si="325"/>
        <v>-1171298.5928623944</v>
      </c>
      <c r="AH144" s="262">
        <f t="shared" ca="1" si="325"/>
        <v>-1188549.8174086183</v>
      </c>
      <c r="AI144" s="262">
        <f t="shared" ca="1" si="325"/>
        <v>-1214069.0985751858</v>
      </c>
      <c r="AJ144" s="262">
        <f t="shared" ca="1" si="325"/>
        <v>-1240138.2305022529</v>
      </c>
      <c r="AK144" s="262">
        <f t="shared" ca="1" si="325"/>
        <v>-1266767.8155536593</v>
      </c>
      <c r="AL144" s="262">
        <f t="shared" ca="1" si="325"/>
        <v>-1293968.672087033</v>
      </c>
      <c r="AM144" s="262">
        <f t="shared" ca="1" si="325"/>
        <v>-1321751.8387342044</v>
      </c>
      <c r="AN144" s="262">
        <f t="shared" ca="1" si="325"/>
        <v>-1347905.4983436689</v>
      </c>
      <c r="AO144" s="262">
        <f t="shared" ca="1" si="325"/>
        <v>-1374440.193623506</v>
      </c>
      <c r="AP144" s="262">
        <f t="shared" ca="1" si="325"/>
        <v>-1401522.022353708</v>
      </c>
      <c r="AQ144" s="262">
        <f t="shared" ca="1" si="325"/>
        <v>-1429161.762807834</v>
      </c>
      <c r="AR144" s="262">
        <f t="shared" ca="1" si="325"/>
        <v>-1457370.4104688701</v>
      </c>
      <c r="AS144" s="262">
        <f t="shared" ca="1" si="325"/>
        <v>-1486159.1823569755</v>
      </c>
      <c r="AT144" s="262">
        <f t="shared" ca="1" si="325"/>
        <v>-1504914.058643779</v>
      </c>
      <c r="AU144" s="262">
        <f t="shared" ca="1" si="325"/>
        <v>-1534629.8826891989</v>
      </c>
      <c r="AV144" s="262">
        <f t="shared" ca="1" si="325"/>
        <v>-1564952.7604699419</v>
      </c>
      <c r="AW144" s="262">
        <f t="shared" ca="1" si="325"/>
        <v>-1595894.7056881695</v>
      </c>
      <c r="AX144" s="262">
        <f t="shared" ca="1" si="325"/>
        <v>-1627467.9735938136</v>
      </c>
      <c r="AY144" s="262">
        <f t="shared" ca="1" si="325"/>
        <v>-1659685.0658027907</v>
      </c>
      <c r="AZ144" s="262">
        <f t="shared" ca="1" si="325"/>
        <v>-1692558.7352117165</v>
      </c>
      <c r="BA144" s="262">
        <f t="shared" ca="1" si="325"/>
        <v>-1726101.9910110324</v>
      </c>
      <c r="BB144" s="262">
        <f t="shared" ca="1" si="325"/>
        <v>-1760328.1037985226</v>
      </c>
      <c r="BC144" s="262">
        <f t="shared" ca="1" si="325"/>
        <v>-1795250.6107952301</v>
      </c>
      <c r="BD144" s="262">
        <f t="shared" ca="1" si="325"/>
        <v>-1830883.3211658043</v>
      </c>
      <c r="BE144" s="262">
        <f t="shared" ca="1" si="325"/>
        <v>-1867240.3214453827</v>
      </c>
      <c r="BF144" s="262">
        <f t="shared" ca="1" si="325"/>
        <v>-1903981.1918949557</v>
      </c>
      <c r="BG144" s="262">
        <f t="shared" ca="1" si="325"/>
        <v>-1941450.1831185087</v>
      </c>
      <c r="BH144" s="262">
        <f t="shared" ca="1" si="325"/>
        <v>-1979678.6201816569</v>
      </c>
      <c r="BI144" s="262">
        <f t="shared" ca="1" si="325"/>
        <v>-2018681.5913410408</v>
      </c>
      <c r="BJ144" s="262">
        <f t="shared" ca="1" si="325"/>
        <v>-2058474.4876250366</v>
      </c>
      <c r="BK144" s="262">
        <f t="shared" ca="1" si="325"/>
        <v>-2099073.0088791219</v>
      </c>
      <c r="BL144" s="262">
        <f t="shared" ca="1" si="325"/>
        <v>-2140493.1699322551</v>
      </c>
      <c r="BM144" s="262">
        <f t="shared" ca="1" si="325"/>
        <v>-2182751.3068866758</v>
      </c>
      <c r="BN144" s="262">
        <f t="shared" ca="1" si="325"/>
        <v>-2225864.0835336084</v>
      </c>
      <c r="BO144" s="262">
        <f t="shared" ca="1" si="325"/>
        <v>-2269848.4978973689</v>
      </c>
      <c r="BP144" s="262">
        <f t="shared" ca="1" si="325"/>
        <v>-2314721.8889104547</v>
      </c>
      <c r="BQ144" s="262">
        <f t="shared" ca="1" si="325"/>
        <v>-2360501.9432222322</v>
      </c>
      <c r="BR144" s="262">
        <f t="shared" ca="1" si="325"/>
        <v>-2403209.4466631436</v>
      </c>
      <c r="BS144" s="262">
        <f t="shared" ca="1" si="325"/>
        <v>-2443465.6349550318</v>
      </c>
      <c r="BT144" s="262">
        <f t="shared" ca="1" si="325"/>
        <v>-2481264.2271759403</v>
      </c>
      <c r="BU144" s="262">
        <f t="shared" ca="1" si="325"/>
        <v>-2516588.6986028189</v>
      </c>
      <c r="BV144" s="262">
        <f t="shared" ca="1" si="325"/>
        <v>-2549421.8677461701</v>
      </c>
      <c r="BW144" s="262">
        <f t="shared" ref="BW144:CC144" ca="1" si="326">SUM(BW133:BW143)</f>
        <v>-2579745.8864774457</v>
      </c>
      <c r="BX144" s="262">
        <f t="shared" ca="1" si="326"/>
        <v>-2607542.2299263524</v>
      </c>
      <c r="BY144" s="262">
        <f t="shared" ca="1" si="326"/>
        <v>-2632791.6861438137</v>
      </c>
      <c r="BZ144" s="262">
        <f t="shared" ca="1" si="326"/>
        <v>-2655474.3455262035</v>
      </c>
      <c r="CA144" s="262">
        <f t="shared" ca="1" si="326"/>
        <v>-2675569.5899964161</v>
      </c>
      <c r="CB144" s="262">
        <f t="shared" ca="1" si="326"/>
        <v>-2693056.081937205</v>
      </c>
      <c r="CC144" s="262">
        <f t="shared" ca="1" si="326"/>
        <v>-2707911.7528721718</v>
      </c>
      <c r="CD144" s="262">
        <f t="shared" ref="CD144:DY144" ca="1" si="327">SUM(CD133:CD143)</f>
        <v>-2721799.1418808149</v>
      </c>
      <c r="CE144" s="262">
        <f t="shared" ca="1" si="327"/>
        <v>-2734778.513431916</v>
      </c>
      <c r="CF144" s="262">
        <f t="shared" ca="1" si="327"/>
        <v>-2746844.8690032694</v>
      </c>
      <c r="CG144" s="262">
        <f t="shared" ca="1" si="327"/>
        <v>-2757991.6743093845</v>
      </c>
      <c r="CH144" s="262">
        <f t="shared" ca="1" si="327"/>
        <v>-2768212.1471187263</v>
      </c>
      <c r="CI144" s="262">
        <f t="shared" ca="1" si="327"/>
        <v>-2777499.2534673861</v>
      </c>
      <c r="CJ144" s="262">
        <f t="shared" ca="1" si="327"/>
        <v>-2785845.7037853198</v>
      </c>
      <c r="CK144" s="262">
        <f t="shared" ca="1" si="327"/>
        <v>-2793243.948933491</v>
      </c>
      <c r="CL144" s="262">
        <f t="shared" ca="1" si="327"/>
        <v>-2799686.1761502651</v>
      </c>
      <c r="CM144" s="262">
        <f t="shared" ca="1" si="327"/>
        <v>-2805164.3049053568</v>
      </c>
      <c r="CN144" s="262">
        <f t="shared" ca="1" si="327"/>
        <v>-2809669.9826595937</v>
      </c>
      <c r="CO144" s="262">
        <f t="shared" ca="1" si="327"/>
        <v>-2813194.580528717</v>
      </c>
      <c r="CP144" s="262">
        <f t="shared" ca="1" si="327"/>
        <v>-2816350.098800757</v>
      </c>
      <c r="CQ144" s="262">
        <f t="shared" ca="1" si="327"/>
        <v>-2819159.7145903897</v>
      </c>
      <c r="CR144" s="262">
        <f t="shared" ca="1" si="327"/>
        <v>-2821620.6000509886</v>
      </c>
      <c r="CS144" s="262">
        <f t="shared" ca="1" si="327"/>
        <v>-2823729.82980242</v>
      </c>
      <c r="CT144" s="262">
        <f t="shared" ca="1" si="327"/>
        <v>-2825484.3794646864</v>
      </c>
      <c r="CU144" s="262">
        <f t="shared" ca="1" si="327"/>
        <v>-2826881.1240828456</v>
      </c>
      <c r="CV144" s="262">
        <f t="shared" ca="1" si="327"/>
        <v>-2828181.9491473734</v>
      </c>
      <c r="CW144" s="262">
        <f t="shared" ca="1" si="327"/>
        <v>-2829414.0169322831</v>
      </c>
      <c r="CX144" s="262">
        <f t="shared" ca="1" si="327"/>
        <v>-2830577.6161515568</v>
      </c>
      <c r="CY144" s="262">
        <f t="shared" ca="1" si="327"/>
        <v>-2831672.3085330953</v>
      </c>
      <c r="CZ144" s="262">
        <f t="shared" ca="1" si="327"/>
        <v>-2832697.6377283642</v>
      </c>
      <c r="DA144" s="262">
        <f t="shared" ca="1" si="327"/>
        <v>-2833653.1290439777</v>
      </c>
      <c r="DB144" s="262">
        <f t="shared" ca="1" si="327"/>
        <v>-2834549.5858344091</v>
      </c>
      <c r="DC144" s="262">
        <f t="shared" ca="1" si="327"/>
        <v>-2835388.9617225658</v>
      </c>
      <c r="DD144" s="262">
        <f t="shared" ca="1" si="327"/>
        <v>-2836170.9675974618</v>
      </c>
      <c r="DE144" s="262">
        <f t="shared" ca="1" si="327"/>
        <v>-2836895.1976341419</v>
      </c>
      <c r="DF144" s="262">
        <f t="shared" ca="1" si="327"/>
        <v>-2837561.2304753978</v>
      </c>
      <c r="DG144" s="262">
        <f t="shared" ca="1" si="327"/>
        <v>-2838168.628995284</v>
      </c>
      <c r="DH144" s="262">
        <f t="shared" ca="1" si="327"/>
        <v>-2838716.9400571557</v>
      </c>
      <c r="DI144" s="262">
        <f t="shared" ca="1" si="327"/>
        <v>-2839205.6942661353</v>
      </c>
      <c r="DJ144" s="262">
        <f t="shared" ca="1" si="327"/>
        <v>-2839634.4057159065</v>
      </c>
      <c r="DK144" s="262">
        <f t="shared" ca="1" si="327"/>
        <v>-2840002.5717297187</v>
      </c>
      <c r="DL144" s="262">
        <f t="shared" ca="1" si="327"/>
        <v>-2840309.6725955028</v>
      </c>
      <c r="DM144" s="262">
        <f t="shared" ca="1" si="327"/>
        <v>-2840555.1712949821</v>
      </c>
      <c r="DN144" s="262">
        <f t="shared" ca="1" si="327"/>
        <v>-2840776.5610836842</v>
      </c>
      <c r="DO144" s="262">
        <f t="shared" ca="1" si="327"/>
        <v>-2840975.4476653012</v>
      </c>
      <c r="DP144" s="262">
        <f t="shared" ca="1" si="327"/>
        <v>-2841151.6502863038</v>
      </c>
      <c r="DQ144" s="262">
        <f t="shared" ca="1" si="327"/>
        <v>-2841304.9818844041</v>
      </c>
      <c r="DR144" s="262">
        <f t="shared" ca="1" si="327"/>
        <v>-2841435.2489898955</v>
      </c>
      <c r="DS144" s="262">
        <f t="shared" ca="1" si="327"/>
        <v>-2841542.2516241716</v>
      </c>
      <c r="DT144" s="262">
        <f t="shared" ca="1" si="327"/>
        <v>-2841625.7831959426</v>
      </c>
      <c r="DU144" s="262">
        <f t="shared" ca="1" si="327"/>
        <v>-2841685.6303951102</v>
      </c>
      <c r="DV144" s="262">
        <f t="shared" ca="1" si="327"/>
        <v>-2841721.5730842617</v>
      </c>
      <c r="DW144" s="262">
        <f t="shared" ca="1" si="327"/>
        <v>-2841733.3841877365</v>
      </c>
      <c r="DX144" s="262">
        <f t="shared" ca="1" si="327"/>
        <v>-2841720.8295782185</v>
      </c>
      <c r="DY144" s="262">
        <f t="shared" ca="1" si="327"/>
        <v>-2841683.6679607942</v>
      </c>
    </row>
    <row r="145" spans="1:129" s="19" customFormat="1" outlineLevel="1">
      <c r="A145" s="20"/>
      <c r="B145" s="60"/>
      <c r="C145" s="61"/>
      <c r="D145" s="30"/>
      <c r="E145" s="30"/>
      <c r="F145" s="30"/>
      <c r="G145" s="14"/>
      <c r="H145" s="14"/>
      <c r="I145" s="14"/>
      <c r="J145" s="106"/>
      <c r="K145" s="58"/>
      <c r="L145" s="106"/>
      <c r="M145" s="58"/>
      <c r="N145" s="106"/>
      <c r="O145" s="58"/>
      <c r="P145" s="106"/>
      <c r="Q145" s="106"/>
      <c r="R145" s="58"/>
      <c r="S145" s="58"/>
      <c r="T145" s="58"/>
      <c r="U145" s="58"/>
      <c r="V145" s="58"/>
      <c r="W145" s="58"/>
      <c r="X145" s="101"/>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row>
    <row r="146" spans="1:129" s="19" customFormat="1" outlineLevel="2">
      <c r="A146" s="20"/>
      <c r="B146" s="60"/>
      <c r="C146" s="9" t="str">
        <f>'Model Assumptions'!$G$24&amp;" - COGS related to new sales"</f>
        <v>Product 1 - COGS related to new sales</v>
      </c>
      <c r="D146" s="9"/>
      <c r="E146" s="30"/>
      <c r="F146" s="5"/>
      <c r="G146" s="274" t="s">
        <v>631</v>
      </c>
      <c r="H146" s="14"/>
      <c r="I146" s="14"/>
      <c r="J146" s="250">
        <f t="shared" ref="J146:AO146" si="328">-(_NewSalesP1+_RetainedSalesP1)*_CapCostP1</f>
        <v>-9409.5</v>
      </c>
      <c r="K146" s="250">
        <f t="shared" si="328"/>
        <v>-9597.69</v>
      </c>
      <c r="L146" s="250">
        <f t="shared" si="328"/>
        <v>-9789.6437999999998</v>
      </c>
      <c r="M146" s="250">
        <f t="shared" si="328"/>
        <v>-9985.4366760000012</v>
      </c>
      <c r="N146" s="250">
        <f t="shared" si="328"/>
        <v>-10185.145409520001</v>
      </c>
      <c r="O146" s="250">
        <f t="shared" si="328"/>
        <v>-10388.848317710401</v>
      </c>
      <c r="P146" s="250">
        <f t="shared" si="328"/>
        <v>-10596.625284064608</v>
      </c>
      <c r="Q146" s="250">
        <f t="shared" si="328"/>
        <v>-10808.557789745901</v>
      </c>
      <c r="R146" s="250">
        <f t="shared" si="328"/>
        <v>-11024.728945540819</v>
      </c>
      <c r="S146" s="250">
        <f t="shared" si="328"/>
        <v>-11245.223524451636</v>
      </c>
      <c r="T146" s="250">
        <f t="shared" si="328"/>
        <v>-11470.127994940669</v>
      </c>
      <c r="U146" s="250">
        <f t="shared" si="328"/>
        <v>-11699.530554839481</v>
      </c>
      <c r="V146" s="250">
        <f t="shared" si="328"/>
        <v>-11933.52116593627</v>
      </c>
      <c r="W146" s="250">
        <f t="shared" si="328"/>
        <v>-12172.191589254997</v>
      </c>
      <c r="X146" s="250">
        <f t="shared" si="328"/>
        <v>-12415.635421040097</v>
      </c>
      <c r="Y146" s="250">
        <f t="shared" si="328"/>
        <v>-12663.9481294609</v>
      </c>
      <c r="Z146" s="250">
        <f t="shared" si="328"/>
        <v>-12917.227092050118</v>
      </c>
      <c r="AA146" s="250">
        <f t="shared" si="328"/>
        <v>-13175.571633891121</v>
      </c>
      <c r="AB146" s="250">
        <f t="shared" si="328"/>
        <v>-13439.083066568943</v>
      </c>
      <c r="AC146" s="250">
        <f t="shared" si="328"/>
        <v>-13707.864727900322</v>
      </c>
      <c r="AD146" s="250">
        <f t="shared" si="328"/>
        <v>-13982.022022458328</v>
      </c>
      <c r="AE146" s="250">
        <f t="shared" si="328"/>
        <v>-14261.662462907494</v>
      </c>
      <c r="AF146" s="250">
        <f t="shared" si="328"/>
        <v>-14546.895712165646</v>
      </c>
      <c r="AG146" s="250">
        <f t="shared" si="328"/>
        <v>-14837.833626408959</v>
      </c>
      <c r="AH146" s="250">
        <f t="shared" si="328"/>
        <v>-15134.590298937137</v>
      </c>
      <c r="AI146" s="250">
        <f t="shared" si="328"/>
        <v>-15437.282104915881</v>
      </c>
      <c r="AJ146" s="250">
        <f t="shared" si="328"/>
        <v>-15746.027747014199</v>
      </c>
      <c r="AK146" s="250">
        <f t="shared" si="328"/>
        <v>-16060.948301954484</v>
      </c>
      <c r="AL146" s="250">
        <f t="shared" si="328"/>
        <v>-16382.167267993575</v>
      </c>
      <c r="AM146" s="250">
        <f t="shared" si="328"/>
        <v>-16709.810613353446</v>
      </c>
      <c r="AN146" s="250">
        <f t="shared" si="328"/>
        <v>-17044.006825620516</v>
      </c>
      <c r="AO146" s="250">
        <f t="shared" si="328"/>
        <v>-17384.886962132925</v>
      </c>
      <c r="AP146" s="250">
        <f t="shared" ref="AP146:BU146" si="329">-(_NewSalesP1+_RetainedSalesP1)*_CapCostP1</f>
        <v>-17732.584701375585</v>
      </c>
      <c r="AQ146" s="250">
        <f t="shared" si="329"/>
        <v>-18087.236395403095</v>
      </c>
      <c r="AR146" s="250">
        <f t="shared" si="329"/>
        <v>-18448.981123311158</v>
      </c>
      <c r="AS146" s="250">
        <f t="shared" si="329"/>
        <v>-18817.960745777382</v>
      </c>
      <c r="AT146" s="250">
        <f t="shared" si="329"/>
        <v>-19194.31996069293</v>
      </c>
      <c r="AU146" s="250">
        <f t="shared" si="329"/>
        <v>-19578.206359906788</v>
      </c>
      <c r="AV146" s="250">
        <f t="shared" si="329"/>
        <v>-19969.770487104925</v>
      </c>
      <c r="AW146" s="250">
        <f t="shared" si="329"/>
        <v>-20369.165896847022</v>
      </c>
      <c r="AX146" s="250">
        <f t="shared" si="329"/>
        <v>-20776.549214783965</v>
      </c>
      <c r="AY146" s="250">
        <f t="shared" si="329"/>
        <v>-21192.080199079643</v>
      </c>
      <c r="AZ146" s="250">
        <f t="shared" si="329"/>
        <v>-21615.921803061236</v>
      </c>
      <c r="BA146" s="250">
        <f t="shared" si="329"/>
        <v>-22048.24023912246</v>
      </c>
      <c r="BB146" s="250">
        <f t="shared" si="329"/>
        <v>-22489.205043904909</v>
      </c>
      <c r="BC146" s="250">
        <f t="shared" si="329"/>
        <v>-22938.989144783005</v>
      </c>
      <c r="BD146" s="250">
        <f t="shared" si="329"/>
        <v>-23397.768927678666</v>
      </c>
      <c r="BE146" s="250">
        <f t="shared" si="329"/>
        <v>-23865.724306232241</v>
      </c>
      <c r="BF146" s="250">
        <f t="shared" si="329"/>
        <v>-24343.038792356885</v>
      </c>
      <c r="BG146" s="250">
        <f t="shared" si="329"/>
        <v>-24829.899568204026</v>
      </c>
      <c r="BH146" s="250">
        <f t="shared" si="329"/>
        <v>-25326.497559568106</v>
      </c>
      <c r="BI146" s="250">
        <f t="shared" si="329"/>
        <v>-25833.027510759468</v>
      </c>
      <c r="BJ146" s="250">
        <f t="shared" si="329"/>
        <v>-26349.688060974659</v>
      </c>
      <c r="BK146" s="250">
        <f t="shared" si="329"/>
        <v>-26876.68182219415</v>
      </c>
      <c r="BL146" s="250">
        <f t="shared" si="329"/>
        <v>-27414.215458638035</v>
      </c>
      <c r="BM146" s="250">
        <f t="shared" si="329"/>
        <v>-27962.499767810797</v>
      </c>
      <c r="BN146" s="250">
        <f t="shared" si="329"/>
        <v>-28521.749763167012</v>
      </c>
      <c r="BO146" s="250">
        <f t="shared" si="329"/>
        <v>-29092.184758430354</v>
      </c>
      <c r="BP146" s="250">
        <f t="shared" si="329"/>
        <v>-29674.028453598959</v>
      </c>
      <c r="BQ146" s="250">
        <f t="shared" si="329"/>
        <v>-30267.509022670944</v>
      </c>
      <c r="BR146" s="250">
        <f t="shared" si="329"/>
        <v>-30267.509022670944</v>
      </c>
      <c r="BS146" s="250">
        <f t="shared" si="329"/>
        <v>-30267.509022670944</v>
      </c>
      <c r="BT146" s="250">
        <f t="shared" si="329"/>
        <v>-30267.509022670944</v>
      </c>
      <c r="BU146" s="250">
        <f t="shared" si="329"/>
        <v>-30267.509022670944</v>
      </c>
      <c r="BV146" s="250">
        <f t="shared" ref="BV146:DA146" si="330">-(_NewSalesP1+_RetainedSalesP1)*_CapCostP1</f>
        <v>-30267.509022670944</v>
      </c>
      <c r="BW146" s="250">
        <f t="shared" si="330"/>
        <v>-30267.509022670944</v>
      </c>
      <c r="BX146" s="250">
        <f t="shared" si="330"/>
        <v>-30267.509022670944</v>
      </c>
      <c r="BY146" s="250">
        <f t="shared" si="330"/>
        <v>-30267.509022670944</v>
      </c>
      <c r="BZ146" s="250">
        <f t="shared" si="330"/>
        <v>-30267.509022670944</v>
      </c>
      <c r="CA146" s="250">
        <f t="shared" si="330"/>
        <v>-30267.509022670944</v>
      </c>
      <c r="CB146" s="250">
        <f t="shared" si="330"/>
        <v>-30267.509022670944</v>
      </c>
      <c r="CC146" s="250">
        <f t="shared" si="330"/>
        <v>-30267.509022670944</v>
      </c>
      <c r="CD146" s="250">
        <f t="shared" si="330"/>
        <v>-30267.509022670944</v>
      </c>
      <c r="CE146" s="250">
        <f t="shared" si="330"/>
        <v>-30267.509022670944</v>
      </c>
      <c r="CF146" s="250">
        <f t="shared" si="330"/>
        <v>-30267.509022670944</v>
      </c>
      <c r="CG146" s="250">
        <f t="shared" si="330"/>
        <v>-30267.509022670944</v>
      </c>
      <c r="CH146" s="250">
        <f t="shared" si="330"/>
        <v>-30267.509022670944</v>
      </c>
      <c r="CI146" s="250">
        <f t="shared" si="330"/>
        <v>-30267.509022670944</v>
      </c>
      <c r="CJ146" s="250">
        <f t="shared" si="330"/>
        <v>-30267.509022670944</v>
      </c>
      <c r="CK146" s="250">
        <f t="shared" si="330"/>
        <v>-30267.509022670944</v>
      </c>
      <c r="CL146" s="250">
        <f t="shared" si="330"/>
        <v>-30267.509022670944</v>
      </c>
      <c r="CM146" s="250">
        <f t="shared" si="330"/>
        <v>-30267.509022670944</v>
      </c>
      <c r="CN146" s="250">
        <f t="shared" si="330"/>
        <v>-30267.509022670944</v>
      </c>
      <c r="CO146" s="250">
        <f t="shared" si="330"/>
        <v>-30267.509022670944</v>
      </c>
      <c r="CP146" s="250">
        <f t="shared" si="330"/>
        <v>-30267.509022670944</v>
      </c>
      <c r="CQ146" s="250">
        <f t="shared" si="330"/>
        <v>-30267.509022670944</v>
      </c>
      <c r="CR146" s="250">
        <f t="shared" si="330"/>
        <v>-30267.509022670944</v>
      </c>
      <c r="CS146" s="250">
        <f t="shared" si="330"/>
        <v>-30267.509022670944</v>
      </c>
      <c r="CT146" s="250">
        <f t="shared" si="330"/>
        <v>-30267.509022670944</v>
      </c>
      <c r="CU146" s="250">
        <f t="shared" si="330"/>
        <v>-30267.509022670944</v>
      </c>
      <c r="CV146" s="250">
        <f t="shared" si="330"/>
        <v>-30267.509022670944</v>
      </c>
      <c r="CW146" s="250">
        <f t="shared" si="330"/>
        <v>-30267.509022670944</v>
      </c>
      <c r="CX146" s="250">
        <f t="shared" si="330"/>
        <v>-30267.509022670944</v>
      </c>
      <c r="CY146" s="250">
        <f t="shared" si="330"/>
        <v>-30267.509022670944</v>
      </c>
      <c r="CZ146" s="250">
        <f t="shared" si="330"/>
        <v>-30267.509022670944</v>
      </c>
      <c r="DA146" s="250">
        <f t="shared" si="330"/>
        <v>-30267.509022670944</v>
      </c>
      <c r="DB146" s="250">
        <f t="shared" ref="DB146:DY146" si="331">-(_NewSalesP1+_RetainedSalesP1)*_CapCostP1</f>
        <v>-30267.509022670944</v>
      </c>
      <c r="DC146" s="250">
        <f t="shared" si="331"/>
        <v>-30267.509022670944</v>
      </c>
      <c r="DD146" s="250">
        <f t="shared" si="331"/>
        <v>-30267.509022670944</v>
      </c>
      <c r="DE146" s="250">
        <f t="shared" si="331"/>
        <v>-30267.509022670944</v>
      </c>
      <c r="DF146" s="250">
        <f t="shared" si="331"/>
        <v>-30267.509022670944</v>
      </c>
      <c r="DG146" s="250">
        <f t="shared" si="331"/>
        <v>-30267.509022670944</v>
      </c>
      <c r="DH146" s="250">
        <f t="shared" si="331"/>
        <v>-30267.509022670944</v>
      </c>
      <c r="DI146" s="250">
        <f t="shared" si="331"/>
        <v>-30267.509022670944</v>
      </c>
      <c r="DJ146" s="250">
        <f t="shared" si="331"/>
        <v>-30267.509022670944</v>
      </c>
      <c r="DK146" s="250">
        <f t="shared" si="331"/>
        <v>-30267.509022670944</v>
      </c>
      <c r="DL146" s="250">
        <f t="shared" si="331"/>
        <v>-30267.509022670944</v>
      </c>
      <c r="DM146" s="250">
        <f t="shared" si="331"/>
        <v>-30267.509022670944</v>
      </c>
      <c r="DN146" s="250">
        <f t="shared" si="331"/>
        <v>-30267.509022670944</v>
      </c>
      <c r="DO146" s="250">
        <f t="shared" si="331"/>
        <v>-30267.509022670944</v>
      </c>
      <c r="DP146" s="250">
        <f t="shared" si="331"/>
        <v>-30267.509022670944</v>
      </c>
      <c r="DQ146" s="250">
        <f t="shared" si="331"/>
        <v>-30267.509022670944</v>
      </c>
      <c r="DR146" s="250">
        <f t="shared" si="331"/>
        <v>-30267.509022670944</v>
      </c>
      <c r="DS146" s="250">
        <f t="shared" si="331"/>
        <v>-30267.509022670944</v>
      </c>
      <c r="DT146" s="250">
        <f t="shared" si="331"/>
        <v>-30267.509022670944</v>
      </c>
      <c r="DU146" s="250">
        <f t="shared" si="331"/>
        <v>-30267.509022670944</v>
      </c>
      <c r="DV146" s="250">
        <f t="shared" si="331"/>
        <v>-30267.509022670944</v>
      </c>
      <c r="DW146" s="250">
        <f t="shared" si="331"/>
        <v>-30267.509022670944</v>
      </c>
      <c r="DX146" s="250">
        <f t="shared" si="331"/>
        <v>-30267.509022670944</v>
      </c>
      <c r="DY146" s="250">
        <f t="shared" si="331"/>
        <v>-30267.509022670944</v>
      </c>
    </row>
    <row r="147" spans="1:129" s="19" customFormat="1" outlineLevel="2">
      <c r="A147" s="20"/>
      <c r="B147" s="60"/>
      <c r="C147" s="9" t="str">
        <f>'Model Assumptions'!$H$24&amp;" - COGS related to new sales"</f>
        <v>Product 2 - COGS related to new sales</v>
      </c>
      <c r="D147" s="9"/>
      <c r="E147" s="30"/>
      <c r="F147" s="5"/>
      <c r="G147" s="274" t="s">
        <v>631</v>
      </c>
      <c r="H147" s="14"/>
      <c r="I147" s="14"/>
      <c r="J147" s="250">
        <f t="shared" ref="J147:AO147" ca="1" si="332">-(_NewSalesP2+_RetainedSalesP2)*_CapCostP2</f>
        <v>-429506.25165661151</v>
      </c>
      <c r="K147" s="250">
        <f t="shared" ca="1" si="332"/>
        <v>-437516.31165661151</v>
      </c>
      <c r="L147" s="250">
        <f t="shared" ca="1" si="332"/>
        <v>-445686.57285661151</v>
      </c>
      <c r="M147" s="250">
        <f t="shared" ca="1" si="332"/>
        <v>-454020.23928061151</v>
      </c>
      <c r="N147" s="250">
        <f t="shared" ca="1" si="332"/>
        <v>-462520.57903309155</v>
      </c>
      <c r="O147" s="250">
        <f t="shared" ca="1" si="332"/>
        <v>-471190.92558062111</v>
      </c>
      <c r="P147" s="250">
        <f t="shared" ca="1" si="332"/>
        <v>-480034.67905910133</v>
      </c>
      <c r="Q147" s="250">
        <f t="shared" ca="1" si="332"/>
        <v>-489055.3076071511</v>
      </c>
      <c r="R147" s="250">
        <f t="shared" ca="1" si="332"/>
        <v>-498256.34872616193</v>
      </c>
      <c r="S147" s="250">
        <f t="shared" ca="1" si="332"/>
        <v>-507641.41066755302</v>
      </c>
      <c r="T147" s="250">
        <f t="shared" ca="1" si="332"/>
        <v>-517214.17384777183</v>
      </c>
      <c r="U147" s="250">
        <f t="shared" ca="1" si="332"/>
        <v>-526978.392291595</v>
      </c>
      <c r="V147" s="250">
        <f t="shared" ca="1" si="332"/>
        <v>-546005.42782527534</v>
      </c>
      <c r="W147" s="250">
        <f t="shared" ca="1" si="332"/>
        <v>-556874.1202947828</v>
      </c>
      <c r="X147" s="250">
        <f t="shared" ca="1" si="332"/>
        <v>-567960.18661368045</v>
      </c>
      <c r="Y147" s="250">
        <f t="shared" ca="1" si="332"/>
        <v>-579267.97425895615</v>
      </c>
      <c r="Z147" s="250">
        <f t="shared" ca="1" si="332"/>
        <v>-590801.91765713738</v>
      </c>
      <c r="AA147" s="250">
        <f t="shared" ca="1" si="332"/>
        <v>-602566.53992328222</v>
      </c>
      <c r="AB147" s="250">
        <f t="shared" ca="1" si="332"/>
        <v>-614566.45463474968</v>
      </c>
      <c r="AC147" s="250">
        <f t="shared" ca="1" si="332"/>
        <v>-626806.36764044687</v>
      </c>
      <c r="AD147" s="250">
        <f t="shared" ca="1" si="332"/>
        <v>-639291.07890625775</v>
      </c>
      <c r="AE147" s="250">
        <f t="shared" ca="1" si="332"/>
        <v>-652025.48439738492</v>
      </c>
      <c r="AF147" s="250">
        <f t="shared" ca="1" si="332"/>
        <v>-665014.57799833454</v>
      </c>
      <c r="AG147" s="250">
        <f t="shared" ca="1" si="332"/>
        <v>-678263.45347130322</v>
      </c>
      <c r="AH147" s="250">
        <f t="shared" ca="1" si="332"/>
        <v>-692581.03883649828</v>
      </c>
      <c r="AI147" s="250">
        <f t="shared" ca="1" si="332"/>
        <v>-706428.1021690605</v>
      </c>
      <c r="AJ147" s="250">
        <f t="shared" ca="1" si="332"/>
        <v>-720552.10676827375</v>
      </c>
      <c r="AK147" s="250">
        <f t="shared" ca="1" si="332"/>
        <v>-734958.5914594715</v>
      </c>
      <c r="AL147" s="250">
        <f t="shared" ca="1" si="332"/>
        <v>-749653.20584449312</v>
      </c>
      <c r="AM147" s="250">
        <f t="shared" ca="1" si="332"/>
        <v>-764641.71251721517</v>
      </c>
      <c r="AN147" s="250">
        <f t="shared" ca="1" si="332"/>
        <v>-779929.98932339181</v>
      </c>
      <c r="AO147" s="250">
        <f t="shared" ca="1" si="332"/>
        <v>-795524.03166569187</v>
      </c>
      <c r="AP147" s="250">
        <f t="shared" ref="AP147:BU147" ca="1" si="333">-(_NewSalesP2+_RetainedSalesP2)*_CapCostP2</f>
        <v>-811429.95485483785</v>
      </c>
      <c r="AQ147" s="250">
        <f t="shared" ca="1" si="333"/>
        <v>-827653.99650776689</v>
      </c>
      <c r="AR147" s="250">
        <f t="shared" ca="1" si="333"/>
        <v>-844202.51899375452</v>
      </c>
      <c r="AS147" s="250">
        <f t="shared" ca="1" si="333"/>
        <v>-861082.01192946173</v>
      </c>
      <c r="AT147" s="250">
        <f t="shared" ca="1" si="333"/>
        <v>-878370.33634638262</v>
      </c>
      <c r="AU147" s="250">
        <f t="shared" ca="1" si="333"/>
        <v>-895937.33910835371</v>
      </c>
      <c r="AV147" s="250">
        <f t="shared" ca="1" si="333"/>
        <v>-913855.68192556454</v>
      </c>
      <c r="AW147" s="250">
        <f t="shared" ca="1" si="333"/>
        <v>-932132.39159911941</v>
      </c>
      <c r="AX147" s="250">
        <f t="shared" ca="1" si="333"/>
        <v>-950774.63546614535</v>
      </c>
      <c r="AY147" s="250">
        <f t="shared" ca="1" si="333"/>
        <v>-969789.72421051189</v>
      </c>
      <c r="AZ147" s="250">
        <f t="shared" ca="1" si="333"/>
        <v>-989185.1147297658</v>
      </c>
      <c r="BA147" s="250">
        <f t="shared" ca="1" si="333"/>
        <v>-1008968.4130594046</v>
      </c>
      <c r="BB147" s="250">
        <f t="shared" ca="1" si="333"/>
        <v>-1029147.3773556362</v>
      </c>
      <c r="BC147" s="250">
        <f t="shared" ca="1" si="333"/>
        <v>-1049729.9209377929</v>
      </c>
      <c r="BD147" s="250">
        <f t="shared" ca="1" si="333"/>
        <v>-1070724.1153915923</v>
      </c>
      <c r="BE147" s="250">
        <f t="shared" ca="1" si="333"/>
        <v>-1092138.1937344677</v>
      </c>
      <c r="BF147" s="250">
        <f t="shared" ca="1" si="333"/>
        <v>-1113986.8683938426</v>
      </c>
      <c r="BG147" s="250">
        <f t="shared" ca="1" si="333"/>
        <v>-1136266.5699548768</v>
      </c>
      <c r="BH147" s="250">
        <f t="shared" ca="1" si="333"/>
        <v>-1158991.8655471317</v>
      </c>
      <c r="BI147" s="250">
        <f t="shared" ca="1" si="333"/>
        <v>-1182171.6670512315</v>
      </c>
      <c r="BJ147" s="250">
        <f t="shared" ca="1" si="333"/>
        <v>-1205815.0645854138</v>
      </c>
      <c r="BK147" s="250">
        <f t="shared" ca="1" si="333"/>
        <v>-1229931.3300702795</v>
      </c>
      <c r="BL147" s="250">
        <f t="shared" ca="1" si="333"/>
        <v>-1254529.9208648426</v>
      </c>
      <c r="BM147" s="250">
        <f t="shared" ca="1" si="333"/>
        <v>-1279620.483475297</v>
      </c>
      <c r="BN147" s="250">
        <f t="shared" ca="1" si="333"/>
        <v>-1305212.8573379603</v>
      </c>
      <c r="BO147" s="250">
        <f t="shared" ca="1" si="333"/>
        <v>-1331317.0786778771</v>
      </c>
      <c r="BP147" s="250">
        <f t="shared" ca="1" si="333"/>
        <v>-1357943.3844445921</v>
      </c>
      <c r="BQ147" s="250">
        <f t="shared" ca="1" si="333"/>
        <v>-1385102.2163266409</v>
      </c>
      <c r="BR147" s="250">
        <f t="shared" ca="1" si="333"/>
        <v>-1387038.8497951527</v>
      </c>
      <c r="BS147" s="250">
        <f t="shared" ca="1" si="333"/>
        <v>-1389013.6888361578</v>
      </c>
      <c r="BT147" s="250">
        <f t="shared" ca="1" si="333"/>
        <v>-1391028.0246579831</v>
      </c>
      <c r="BU147" s="250">
        <f t="shared" ca="1" si="333"/>
        <v>-1393082.6471962449</v>
      </c>
      <c r="BV147" s="250">
        <f t="shared" ref="BV147:DA147" ca="1" si="334">-(_NewSalesP2+_RetainedSalesP2)*_CapCostP2</f>
        <v>-1395178.3621852717</v>
      </c>
      <c r="BW147" s="250">
        <f t="shared" ca="1" si="334"/>
        <v>-1397315.9914740794</v>
      </c>
      <c r="BX147" s="250">
        <f t="shared" ca="1" si="334"/>
        <v>-1399496.3733486631</v>
      </c>
      <c r="BY147" s="250">
        <f t="shared" ca="1" si="334"/>
        <v>-1401720.3628607383</v>
      </c>
      <c r="BZ147" s="250">
        <f t="shared" ca="1" si="334"/>
        <v>-1403988.832163055</v>
      </c>
      <c r="CA147" s="250">
        <f t="shared" ca="1" si="334"/>
        <v>-1406302.6708514181</v>
      </c>
      <c r="CB147" s="250">
        <f t="shared" ca="1" si="334"/>
        <v>-1408662.7863135487</v>
      </c>
      <c r="CC147" s="250">
        <f t="shared" ca="1" si="334"/>
        <v>-1411070.1040849215</v>
      </c>
      <c r="CD147" s="250">
        <f t="shared" ca="1" si="334"/>
        <v>-1411241.7643457765</v>
      </c>
      <c r="CE147" s="250">
        <f t="shared" ca="1" si="334"/>
        <v>-1411416.8110907783</v>
      </c>
      <c r="CF147" s="250">
        <f t="shared" ca="1" si="334"/>
        <v>-1411595.3587706806</v>
      </c>
      <c r="CG147" s="250">
        <f t="shared" ca="1" si="334"/>
        <v>-1411777.4774041809</v>
      </c>
      <c r="CH147" s="250">
        <f t="shared" ca="1" si="334"/>
        <v>-1411963.2384103511</v>
      </c>
      <c r="CI147" s="250">
        <f t="shared" ca="1" si="334"/>
        <v>-1412152.7146366448</v>
      </c>
      <c r="CJ147" s="250">
        <f t="shared" ca="1" si="334"/>
        <v>-1412345.9803874644</v>
      </c>
      <c r="CK147" s="250">
        <f t="shared" ca="1" si="334"/>
        <v>-1412543.1114533001</v>
      </c>
      <c r="CL147" s="250">
        <f t="shared" ca="1" si="334"/>
        <v>-1412744.1851404528</v>
      </c>
      <c r="CM147" s="250">
        <f t="shared" ca="1" si="334"/>
        <v>-1412949.2803013483</v>
      </c>
      <c r="CN147" s="250">
        <f t="shared" ca="1" si="334"/>
        <v>-1413158.4773654621</v>
      </c>
      <c r="CO147" s="250">
        <f t="shared" ca="1" si="334"/>
        <v>-1413371.8583708578</v>
      </c>
      <c r="CP147" s="250">
        <f t="shared" ca="1" si="334"/>
        <v>-1413387.0740766875</v>
      </c>
      <c r="CQ147" s="250">
        <f t="shared" ca="1" si="334"/>
        <v>-1413402.5899553488</v>
      </c>
      <c r="CR147" s="250">
        <f t="shared" ca="1" si="334"/>
        <v>-1413418.4161515832</v>
      </c>
      <c r="CS147" s="250">
        <f t="shared" ca="1" si="334"/>
        <v>-1413434.5588717423</v>
      </c>
      <c r="CT147" s="250">
        <f t="shared" ca="1" si="334"/>
        <v>-1413451.0244463049</v>
      </c>
      <c r="CU147" s="250">
        <f t="shared" ca="1" si="334"/>
        <v>-1413467.8193323587</v>
      </c>
      <c r="CV147" s="250">
        <f t="shared" ca="1" si="334"/>
        <v>-1413484.9501161333</v>
      </c>
      <c r="CW147" s="250">
        <f t="shared" ca="1" si="334"/>
        <v>-1413502.4235155834</v>
      </c>
      <c r="CX147" s="250">
        <f t="shared" ca="1" si="334"/>
        <v>-1413520.2463830227</v>
      </c>
      <c r="CY147" s="250">
        <f t="shared" ca="1" si="334"/>
        <v>-1413538.4257078108</v>
      </c>
      <c r="CZ147" s="250">
        <f t="shared" ca="1" si="334"/>
        <v>-1413556.9686190947</v>
      </c>
      <c r="DA147" s="250">
        <f t="shared" ca="1" si="334"/>
        <v>-1413575.8823886039</v>
      </c>
      <c r="DB147" s="250">
        <f t="shared" ref="DB147:DY147" ca="1" si="335">-(_NewSalesP2+_RetainedSalesP2)*_CapCostP2</f>
        <v>-1413577.23108575</v>
      </c>
      <c r="DC147" s="250">
        <f t="shared" ca="1" si="335"/>
        <v>-1413578.6063897617</v>
      </c>
      <c r="DD147" s="250">
        <f t="shared" ca="1" si="335"/>
        <v>-1413580.0091998535</v>
      </c>
      <c r="DE147" s="250">
        <f t="shared" ca="1" si="335"/>
        <v>-1413581.4400661471</v>
      </c>
      <c r="DF147" s="250">
        <f t="shared" ca="1" si="335"/>
        <v>-1413582.8995497669</v>
      </c>
      <c r="DG147" s="250">
        <f t="shared" ca="1" si="335"/>
        <v>-1413584.3882230588</v>
      </c>
      <c r="DH147" s="250">
        <f t="shared" ca="1" si="335"/>
        <v>-1413585.9066698169</v>
      </c>
      <c r="DI147" s="250">
        <f t="shared" ca="1" si="335"/>
        <v>-1413587.4554855097</v>
      </c>
      <c r="DJ147" s="250">
        <f t="shared" ca="1" si="335"/>
        <v>-1413589.0352775166</v>
      </c>
      <c r="DK147" s="250">
        <f t="shared" ca="1" si="335"/>
        <v>-1413590.6466653636</v>
      </c>
      <c r="DL147" s="250">
        <f t="shared" ca="1" si="335"/>
        <v>-1413592.2902809677</v>
      </c>
      <c r="DM147" s="250">
        <f t="shared" ca="1" si="335"/>
        <v>-1413593.9667688836</v>
      </c>
      <c r="DN147" s="250">
        <f t="shared" ca="1" si="335"/>
        <v>-1413594.0863153583</v>
      </c>
      <c r="DO147" s="250">
        <f t="shared" ca="1" si="335"/>
        <v>-1413594.2082202253</v>
      </c>
      <c r="DP147" s="250">
        <f t="shared" ca="1" si="335"/>
        <v>-1413594.3325631896</v>
      </c>
      <c r="DQ147" s="250">
        <f t="shared" ca="1" si="335"/>
        <v>-1413594.4593930133</v>
      </c>
      <c r="DR147" s="250">
        <f t="shared" ca="1" si="335"/>
        <v>-1413594.5887594332</v>
      </c>
      <c r="DS147" s="250">
        <f t="shared" ca="1" si="335"/>
        <v>-1413594.7207131817</v>
      </c>
      <c r="DT147" s="250">
        <f t="shared" ca="1" si="335"/>
        <v>-1413594.8553060053</v>
      </c>
      <c r="DU147" s="250">
        <f t="shared" ca="1" si="335"/>
        <v>-1413594.9925906851</v>
      </c>
      <c r="DV147" s="250">
        <f t="shared" ca="1" si="335"/>
        <v>-1413595.1326210587</v>
      </c>
      <c r="DW147" s="250">
        <f t="shared" ca="1" si="335"/>
        <v>-1413595.2754520399</v>
      </c>
      <c r="DX147" s="250">
        <f t="shared" ca="1" si="335"/>
        <v>-1413595.4211396403</v>
      </c>
      <c r="DY147" s="250">
        <f t="shared" ca="1" si="335"/>
        <v>-1413595.5697409932</v>
      </c>
    </row>
    <row r="148" spans="1:129" s="19" customFormat="1" outlineLevel="2">
      <c r="A148" s="20"/>
      <c r="B148" s="60"/>
      <c r="C148" s="9" t="str">
        <f>'Model Assumptions'!$I$24&amp;" - COGS related to new sales"</f>
        <v>Product 3 - COGS related to new sales</v>
      </c>
      <c r="D148" s="9"/>
      <c r="E148" s="30"/>
      <c r="F148" s="5"/>
      <c r="G148" s="274" t="s">
        <v>631</v>
      </c>
      <c r="H148" s="14"/>
      <c r="I148" s="14"/>
      <c r="J148" s="250">
        <f t="shared" ref="J148:AO148" ca="1" si="336">-(_NewSalesP3+_RetainedSalesP3)*_CapCostP3</f>
        <v>-201732.65385854911</v>
      </c>
      <c r="K148" s="250">
        <f t="shared" ca="1" si="336"/>
        <v>-205617.06885854912</v>
      </c>
      <c r="L148" s="250">
        <f t="shared" ca="1" si="336"/>
        <v>-209579.1721585491</v>
      </c>
      <c r="M148" s="250">
        <f t="shared" ca="1" si="336"/>
        <v>-213620.51752454913</v>
      </c>
      <c r="N148" s="250">
        <f t="shared" ca="1" si="336"/>
        <v>-217742.68979786913</v>
      </c>
      <c r="O148" s="250">
        <f t="shared" ca="1" si="336"/>
        <v>-221947.30551665553</v>
      </c>
      <c r="P148" s="250">
        <f t="shared" ca="1" si="336"/>
        <v>-226236.01354981764</v>
      </c>
      <c r="Q148" s="250">
        <f t="shared" ca="1" si="336"/>
        <v>-230610.49574364303</v>
      </c>
      <c r="R148" s="250">
        <f t="shared" ca="1" si="336"/>
        <v>-235072.46758134488</v>
      </c>
      <c r="S148" s="250">
        <f t="shared" ca="1" si="336"/>
        <v>-239623.67885580083</v>
      </c>
      <c r="T148" s="250">
        <f t="shared" ca="1" si="336"/>
        <v>-244265.91435574586</v>
      </c>
      <c r="U148" s="250">
        <f t="shared" ca="1" si="336"/>
        <v>-249000.99456568985</v>
      </c>
      <c r="V148" s="250">
        <f t="shared" ca="1" si="336"/>
        <v>-253830.77637983265</v>
      </c>
      <c r="W148" s="250">
        <f t="shared" ca="1" si="336"/>
        <v>-258757.15383025829</v>
      </c>
      <c r="X148" s="250">
        <f t="shared" ca="1" si="336"/>
        <v>-263782.05882969248</v>
      </c>
      <c r="Y148" s="250">
        <f t="shared" ca="1" si="336"/>
        <v>-268907.46192911541</v>
      </c>
      <c r="Z148" s="250">
        <f t="shared" ca="1" si="336"/>
        <v>-274135.37309052673</v>
      </c>
      <c r="AA148" s="250">
        <f t="shared" ca="1" si="336"/>
        <v>-279467.84247516631</v>
      </c>
      <c r="AB148" s="250">
        <f t="shared" ca="1" si="336"/>
        <v>-284906.96124749864</v>
      </c>
      <c r="AC148" s="250">
        <f t="shared" ca="1" si="336"/>
        <v>-290454.86239527765</v>
      </c>
      <c r="AD148" s="250">
        <f t="shared" ca="1" si="336"/>
        <v>-296113.72156601225</v>
      </c>
      <c r="AE148" s="250">
        <f t="shared" ca="1" si="336"/>
        <v>-301885.75792016147</v>
      </c>
      <c r="AF148" s="250">
        <f t="shared" ca="1" si="336"/>
        <v>-307773.23500139371</v>
      </c>
      <c r="AG148" s="250">
        <f t="shared" ca="1" si="336"/>
        <v>-313778.46162425063</v>
      </c>
      <c r="AH148" s="250">
        <f t="shared" ca="1" si="336"/>
        <v>-319903.79277956468</v>
      </c>
      <c r="AI148" s="250">
        <f t="shared" ca="1" si="336"/>
        <v>-326151.63055798499</v>
      </c>
      <c r="AJ148" s="250">
        <f t="shared" ca="1" si="336"/>
        <v>-332524.42509197368</v>
      </c>
      <c r="AK148" s="250">
        <f t="shared" ca="1" si="336"/>
        <v>-339024.67551664216</v>
      </c>
      <c r="AL148" s="250">
        <f t="shared" ca="1" si="336"/>
        <v>-345654.93094980402</v>
      </c>
      <c r="AM148" s="250">
        <f t="shared" ca="1" si="336"/>
        <v>-352417.79149162915</v>
      </c>
      <c r="AN148" s="250">
        <f t="shared" ca="1" si="336"/>
        <v>-366726.17732411937</v>
      </c>
      <c r="AO148" s="250">
        <f t="shared" ca="1" si="336"/>
        <v>-374049.58775442367</v>
      </c>
      <c r="AP148" s="250">
        <f t="shared" ref="AP148:BU148" ca="1" si="337">-(_NewSalesP3+_RetainedSalesP3)*_CapCostP3</f>
        <v>-381519.46639333415</v>
      </c>
      <c r="AQ148" s="250">
        <f t="shared" ca="1" si="337"/>
        <v>-389138.7426050228</v>
      </c>
      <c r="AR148" s="250">
        <f t="shared" ca="1" si="337"/>
        <v>-396910.40434094524</v>
      </c>
      <c r="AS148" s="250">
        <f t="shared" ca="1" si="337"/>
        <v>-404837.49931158603</v>
      </c>
      <c r="AT148" s="250">
        <f t="shared" ca="1" si="337"/>
        <v>-412923.13618163974</v>
      </c>
      <c r="AU148" s="250">
        <f t="shared" ca="1" si="337"/>
        <v>-421170.48578909447</v>
      </c>
      <c r="AV148" s="250">
        <f t="shared" ca="1" si="337"/>
        <v>-429582.78238869831</v>
      </c>
      <c r="AW148" s="250">
        <f t="shared" ca="1" si="337"/>
        <v>-438163.32492029428</v>
      </c>
      <c r="AX148" s="250">
        <f t="shared" ca="1" si="337"/>
        <v>-446915.4783025221</v>
      </c>
      <c r="AY148" s="250">
        <f t="shared" ca="1" si="337"/>
        <v>-455842.67475239449</v>
      </c>
      <c r="AZ148" s="250">
        <f t="shared" ca="1" si="337"/>
        <v>-464948.41513126437</v>
      </c>
      <c r="BA148" s="250">
        <f t="shared" ca="1" si="337"/>
        <v>-474236.27031771152</v>
      </c>
      <c r="BB148" s="250">
        <f t="shared" ca="1" si="337"/>
        <v>-483709.88260788779</v>
      </c>
      <c r="BC148" s="250">
        <f t="shared" ca="1" si="337"/>
        <v>-493372.96714386751</v>
      </c>
      <c r="BD148" s="250">
        <f t="shared" ca="1" si="337"/>
        <v>-503229.31337056682</v>
      </c>
      <c r="BE148" s="250">
        <f t="shared" ca="1" si="337"/>
        <v>-513282.78652180004</v>
      </c>
      <c r="BF148" s="250">
        <f t="shared" ca="1" si="337"/>
        <v>-523537.32913605793</v>
      </c>
      <c r="BG148" s="250">
        <f t="shared" ca="1" si="337"/>
        <v>-533996.96260260104</v>
      </c>
      <c r="BH148" s="250">
        <f t="shared" ca="1" si="337"/>
        <v>-544665.78873847506</v>
      </c>
      <c r="BI148" s="250">
        <f t="shared" ca="1" si="337"/>
        <v>-555547.99139706651</v>
      </c>
      <c r="BJ148" s="250">
        <f t="shared" ca="1" si="337"/>
        <v>-566647.8381088298</v>
      </c>
      <c r="BK148" s="250">
        <f t="shared" ca="1" si="337"/>
        <v>-577969.68175482831</v>
      </c>
      <c r="BL148" s="250">
        <f t="shared" ca="1" si="337"/>
        <v>-589517.96227374696</v>
      </c>
      <c r="BM148" s="250">
        <f t="shared" ca="1" si="337"/>
        <v>-601297.2084030438</v>
      </c>
      <c r="BN148" s="250">
        <f t="shared" ca="1" si="337"/>
        <v>-613312.03945492674</v>
      </c>
      <c r="BO148" s="250">
        <f t="shared" ca="1" si="337"/>
        <v>-625567.16712784721</v>
      </c>
      <c r="BP148" s="250">
        <f t="shared" ca="1" si="337"/>
        <v>-638067.39735422609</v>
      </c>
      <c r="BQ148" s="250">
        <f t="shared" ca="1" si="337"/>
        <v>-650817.63218513259</v>
      </c>
      <c r="BR148" s="250">
        <f t="shared" ca="1" si="337"/>
        <v>-651876.02401942026</v>
      </c>
      <c r="BS148" s="250">
        <f t="shared" ca="1" si="337"/>
        <v>-652417.73696239735</v>
      </c>
      <c r="BT148" s="250">
        <f t="shared" ca="1" si="337"/>
        <v>-652970.28416423418</v>
      </c>
      <c r="BU148" s="250">
        <f t="shared" ca="1" si="337"/>
        <v>-653533.88231010758</v>
      </c>
      <c r="BV148" s="250">
        <f t="shared" ref="BV148:DA148" ca="1" si="338">-(_NewSalesP3+_RetainedSalesP3)*_CapCostP3</f>
        <v>-654108.75241889851</v>
      </c>
      <c r="BW148" s="250">
        <f t="shared" ca="1" si="338"/>
        <v>-654695.11992986524</v>
      </c>
      <c r="BX148" s="250">
        <f t="shared" ca="1" si="338"/>
        <v>-655293.21479105134</v>
      </c>
      <c r="BY148" s="250">
        <f t="shared" ca="1" si="338"/>
        <v>-655903.27154946118</v>
      </c>
      <c r="BZ148" s="250">
        <f t="shared" ca="1" si="338"/>
        <v>-656525.52944303909</v>
      </c>
      <c r="CA148" s="250">
        <f t="shared" ca="1" si="338"/>
        <v>-657160.23249448859</v>
      </c>
      <c r="CB148" s="250">
        <f t="shared" ca="1" si="338"/>
        <v>-657807.62960696721</v>
      </c>
      <c r="CC148" s="250">
        <f t="shared" ca="1" si="338"/>
        <v>-658467.97466169531</v>
      </c>
      <c r="CD148" s="250">
        <f t="shared" ca="1" si="338"/>
        <v>-659141.52661751804</v>
      </c>
      <c r="CE148" s="250">
        <f t="shared" ca="1" si="338"/>
        <v>-659828.54961245717</v>
      </c>
      <c r="CF148" s="250">
        <f t="shared" ca="1" si="338"/>
        <v>-660529.31306729512</v>
      </c>
      <c r="CG148" s="250">
        <f t="shared" ca="1" si="338"/>
        <v>-661244.09179122979</v>
      </c>
      <c r="CH148" s="250">
        <f t="shared" ca="1" si="338"/>
        <v>-661973.16608964314</v>
      </c>
      <c r="CI148" s="250">
        <f t="shared" ca="1" si="338"/>
        <v>-662716.8218740247</v>
      </c>
      <c r="CJ148" s="250">
        <f t="shared" ca="1" si="338"/>
        <v>-663475.350774094</v>
      </c>
      <c r="CK148" s="250">
        <f t="shared" ca="1" si="338"/>
        <v>-664249.0502521646</v>
      </c>
      <c r="CL148" s="250">
        <f t="shared" ca="1" si="338"/>
        <v>-665038.22371979663</v>
      </c>
      <c r="CM148" s="250">
        <f t="shared" ca="1" si="338"/>
        <v>-665843.18065678142</v>
      </c>
      <c r="CN148" s="250">
        <f t="shared" ca="1" si="338"/>
        <v>-666664.23673250573</v>
      </c>
      <c r="CO148" s="250">
        <f t="shared" ca="1" si="338"/>
        <v>-667501.71392974467</v>
      </c>
      <c r="CP148" s="250">
        <f t="shared" ca="1" si="338"/>
        <v>-668355.94067092834</v>
      </c>
      <c r="CQ148" s="250">
        <f t="shared" ca="1" si="338"/>
        <v>-669227.25194693566</v>
      </c>
      <c r="CR148" s="250">
        <f t="shared" ca="1" si="338"/>
        <v>-670115.9894484632</v>
      </c>
      <c r="CS148" s="250">
        <f t="shared" ca="1" si="338"/>
        <v>-671022.50170002121</v>
      </c>
      <c r="CT148" s="250">
        <f t="shared" ca="1" si="338"/>
        <v>-671947.14419661032</v>
      </c>
      <c r="CU148" s="250">
        <f t="shared" ca="1" si="338"/>
        <v>-672890.27954313136</v>
      </c>
      <c r="CV148" s="250">
        <f t="shared" ca="1" si="338"/>
        <v>-672968.56882663281</v>
      </c>
      <c r="CW148" s="250">
        <f t="shared" ca="1" si="338"/>
        <v>-673008.63935325167</v>
      </c>
      <c r="CX148" s="250">
        <f t="shared" ca="1" si="338"/>
        <v>-673049.51129040308</v>
      </c>
      <c r="CY148" s="250">
        <f t="shared" ca="1" si="338"/>
        <v>-673091.20066629734</v>
      </c>
      <c r="CZ148" s="250">
        <f t="shared" ca="1" si="338"/>
        <v>-673133.72382970969</v>
      </c>
      <c r="DA148" s="250">
        <f t="shared" ca="1" si="338"/>
        <v>-673177.09745639015</v>
      </c>
      <c r="DB148" s="250">
        <f t="shared" ref="DB148:DY148" ca="1" si="339">-(_NewSalesP3+_RetainedSalesP3)*_CapCostP3</f>
        <v>-673221.33855560422</v>
      </c>
      <c r="DC148" s="250">
        <f t="shared" ca="1" si="339"/>
        <v>-673266.4644768025</v>
      </c>
      <c r="DD148" s="250">
        <f t="shared" ca="1" si="339"/>
        <v>-673312.49291642488</v>
      </c>
      <c r="DE148" s="250">
        <f t="shared" ca="1" si="339"/>
        <v>-673359.44192483975</v>
      </c>
      <c r="DF148" s="250">
        <f t="shared" ca="1" si="339"/>
        <v>-673407.3299134227</v>
      </c>
      <c r="DG148" s="250">
        <f t="shared" ca="1" si="339"/>
        <v>-673456.1756617775</v>
      </c>
      <c r="DH148" s="250">
        <f t="shared" ca="1" si="339"/>
        <v>-673505.99832509935</v>
      </c>
      <c r="DI148" s="250">
        <f t="shared" ca="1" si="339"/>
        <v>-673556.81744168769</v>
      </c>
      <c r="DJ148" s="250">
        <f t="shared" ca="1" si="339"/>
        <v>-673608.65294060775</v>
      </c>
      <c r="DK148" s="250">
        <f t="shared" ca="1" si="339"/>
        <v>-673661.52514950617</v>
      </c>
      <c r="DL148" s="250">
        <f t="shared" ca="1" si="339"/>
        <v>-673715.45480258262</v>
      </c>
      <c r="DM148" s="250">
        <f t="shared" ca="1" si="339"/>
        <v>-673770.46304872062</v>
      </c>
      <c r="DN148" s="250">
        <f t="shared" ca="1" si="339"/>
        <v>-673826.57145978115</v>
      </c>
      <c r="DO148" s="250">
        <f t="shared" ca="1" si="339"/>
        <v>-673883.80203906307</v>
      </c>
      <c r="DP148" s="250">
        <f t="shared" ca="1" si="339"/>
        <v>-673942.17722993076</v>
      </c>
      <c r="DQ148" s="250">
        <f t="shared" ca="1" si="339"/>
        <v>-674001.71992461558</v>
      </c>
      <c r="DR148" s="250">
        <f t="shared" ca="1" si="339"/>
        <v>-674062.45347319415</v>
      </c>
      <c r="DS148" s="250">
        <f t="shared" ca="1" si="339"/>
        <v>-674124.40169274434</v>
      </c>
      <c r="DT148" s="250">
        <f t="shared" ca="1" si="339"/>
        <v>-674187.58887668559</v>
      </c>
      <c r="DU148" s="250">
        <f t="shared" ca="1" si="339"/>
        <v>-674252.03980430553</v>
      </c>
      <c r="DV148" s="250">
        <f t="shared" ca="1" si="339"/>
        <v>-674317.77975047799</v>
      </c>
      <c r="DW148" s="250">
        <f t="shared" ca="1" si="339"/>
        <v>-674384.83449557377</v>
      </c>
      <c r="DX148" s="250">
        <f t="shared" ca="1" si="339"/>
        <v>-674453.23033557157</v>
      </c>
      <c r="DY148" s="250">
        <f t="shared" ca="1" si="339"/>
        <v>-674522.99409236934</v>
      </c>
    </row>
    <row r="149" spans="1:129" s="19" customFormat="1" outlineLevel="2">
      <c r="A149" s="20"/>
      <c r="B149" s="60"/>
      <c r="C149" s="9" t="str">
        <f>'Model Assumptions'!$J$24&amp;" - COGS related to new sales"</f>
        <v>Product 4 - COGS related to new sales</v>
      </c>
      <c r="D149" s="9"/>
      <c r="E149" s="30"/>
      <c r="F149" s="5"/>
      <c r="G149" s="274" t="s">
        <v>631</v>
      </c>
      <c r="H149" s="14"/>
      <c r="I149" s="14"/>
      <c r="J149" s="250">
        <f t="shared" ref="J149:AO149" ca="1" si="340">-(_NewSalesP4+_RetainedSalesP4)*_CapCostP4</f>
        <v>-172927.71495472296</v>
      </c>
      <c r="K149" s="250">
        <f t="shared" ca="1" si="340"/>
        <v>-176227.414954723</v>
      </c>
      <c r="L149" s="250">
        <f t="shared" ca="1" si="340"/>
        <v>-179593.10895472296</v>
      </c>
      <c r="M149" s="250">
        <f t="shared" ca="1" si="340"/>
        <v>-183026.11683472298</v>
      </c>
      <c r="N149" s="250">
        <f t="shared" ca="1" si="340"/>
        <v>-186527.78487232298</v>
      </c>
      <c r="O149" s="250">
        <f t="shared" ca="1" si="340"/>
        <v>-190099.486270675</v>
      </c>
      <c r="P149" s="250">
        <f t="shared" ca="1" si="340"/>
        <v>-193742.621696994</v>
      </c>
      <c r="Q149" s="250">
        <f t="shared" ca="1" si="340"/>
        <v>-197458.61983183946</v>
      </c>
      <c r="R149" s="250">
        <f t="shared" ca="1" si="340"/>
        <v>-201248.93792938176</v>
      </c>
      <c r="S149" s="250">
        <f t="shared" ca="1" si="340"/>
        <v>-205115.06238887494</v>
      </c>
      <c r="T149" s="250">
        <f t="shared" ca="1" si="340"/>
        <v>-209058.509337558</v>
      </c>
      <c r="U149" s="250">
        <f t="shared" ca="1" si="340"/>
        <v>-213080.82522521474</v>
      </c>
      <c r="V149" s="250">
        <f t="shared" ca="1" si="340"/>
        <v>-217183.58743062455</v>
      </c>
      <c r="W149" s="250">
        <f t="shared" ca="1" si="340"/>
        <v>-221368.40488014257</v>
      </c>
      <c r="X149" s="250">
        <f t="shared" ca="1" si="340"/>
        <v>-225636.91867865098</v>
      </c>
      <c r="Y149" s="250">
        <f t="shared" ca="1" si="340"/>
        <v>-229990.80275312957</v>
      </c>
      <c r="Z149" s="250">
        <f t="shared" ca="1" si="340"/>
        <v>-234431.76450909773</v>
      </c>
      <c r="AA149" s="250">
        <f t="shared" ca="1" si="340"/>
        <v>-238961.54550018522</v>
      </c>
      <c r="AB149" s="250">
        <f t="shared" ca="1" si="340"/>
        <v>-243581.92211109446</v>
      </c>
      <c r="AC149" s="250">
        <f t="shared" ca="1" si="340"/>
        <v>-248294.70625422191</v>
      </c>
      <c r="AD149" s="250">
        <f t="shared" ca="1" si="340"/>
        <v>-253101.74608021189</v>
      </c>
      <c r="AE149" s="250">
        <f t="shared" ca="1" si="340"/>
        <v>-258004.92670272166</v>
      </c>
      <c r="AF149" s="250">
        <f t="shared" ca="1" si="340"/>
        <v>-263006.17093768163</v>
      </c>
      <c r="AG149" s="250">
        <f t="shared" ca="1" si="340"/>
        <v>-268107.44005734078</v>
      </c>
      <c r="AH149" s="250">
        <f t="shared" ca="1" si="340"/>
        <v>-278954.5721626369</v>
      </c>
      <c r="AI149" s="250">
        <f t="shared" ca="1" si="340"/>
        <v>-284521.18277085252</v>
      </c>
      <c r="AJ149" s="250">
        <f t="shared" ca="1" si="340"/>
        <v>-290199.12559123238</v>
      </c>
      <c r="AK149" s="250">
        <f t="shared" ca="1" si="340"/>
        <v>-295990.62726801983</v>
      </c>
      <c r="AL149" s="250">
        <f t="shared" ca="1" si="340"/>
        <v>-301897.95897834311</v>
      </c>
      <c r="AM149" s="250">
        <f t="shared" ca="1" si="340"/>
        <v>-307923.43732287275</v>
      </c>
      <c r="AN149" s="250">
        <f t="shared" ca="1" si="340"/>
        <v>-314069.42523429298</v>
      </c>
      <c r="AO149" s="250">
        <f t="shared" ca="1" si="340"/>
        <v>-320338.33290394174</v>
      </c>
      <c r="AP149" s="250">
        <f t="shared" ref="AP149:BU149" ca="1" si="341">-(_NewSalesP4+_RetainedSalesP4)*_CapCostP4</f>
        <v>-326732.61872698338</v>
      </c>
      <c r="AQ149" s="250">
        <f t="shared" ca="1" si="341"/>
        <v>-333254.79026648588</v>
      </c>
      <c r="AR149" s="250">
        <f t="shared" ca="1" si="341"/>
        <v>-339907.40523677843</v>
      </c>
      <c r="AS149" s="250">
        <f t="shared" ca="1" si="341"/>
        <v>-346693.07250647683</v>
      </c>
      <c r="AT149" s="250">
        <f t="shared" ca="1" si="341"/>
        <v>-353614.45312156918</v>
      </c>
      <c r="AU149" s="250">
        <f t="shared" ca="1" si="341"/>
        <v>-360674.26134896342</v>
      </c>
      <c r="AV149" s="250">
        <f t="shared" ca="1" si="341"/>
        <v>-367875.26574090554</v>
      </c>
      <c r="AW149" s="250">
        <f t="shared" ca="1" si="341"/>
        <v>-375220.29022068647</v>
      </c>
      <c r="AX149" s="250">
        <f t="shared" ca="1" si="341"/>
        <v>-382712.21519006306</v>
      </c>
      <c r="AY149" s="250">
        <f t="shared" ca="1" si="341"/>
        <v>-390353.97865882714</v>
      </c>
      <c r="AZ149" s="250">
        <f t="shared" ca="1" si="341"/>
        <v>-398148.57739696646</v>
      </c>
      <c r="BA149" s="250">
        <f t="shared" ca="1" si="341"/>
        <v>-406099.06810986862</v>
      </c>
      <c r="BB149" s="250">
        <f t="shared" ca="1" si="341"/>
        <v>-414208.5686370288</v>
      </c>
      <c r="BC149" s="250">
        <f t="shared" ca="1" si="341"/>
        <v>-422480.2591747322</v>
      </c>
      <c r="BD149" s="250">
        <f t="shared" ca="1" si="341"/>
        <v>-430917.3835231897</v>
      </c>
      <c r="BE149" s="250">
        <f t="shared" ca="1" si="341"/>
        <v>-439523.25035861629</v>
      </c>
      <c r="BF149" s="250">
        <f t="shared" ca="1" si="341"/>
        <v>-448744.65851426485</v>
      </c>
      <c r="BG149" s="250">
        <f t="shared" ca="1" si="341"/>
        <v>-457718.57109262334</v>
      </c>
      <c r="BH149" s="250">
        <f t="shared" ca="1" si="341"/>
        <v>-466871.96192254906</v>
      </c>
      <c r="BI149" s="250">
        <f t="shared" ca="1" si="341"/>
        <v>-476208.42056907323</v>
      </c>
      <c r="BJ149" s="250">
        <f t="shared" ca="1" si="341"/>
        <v>-485731.60838852805</v>
      </c>
      <c r="BK149" s="250">
        <f t="shared" ca="1" si="341"/>
        <v>-495445.2599643718</v>
      </c>
      <c r="BL149" s="250">
        <f t="shared" ca="1" si="341"/>
        <v>-505353.18457173259</v>
      </c>
      <c r="BM149" s="250">
        <f t="shared" ca="1" si="341"/>
        <v>-515459.26767124049</v>
      </c>
      <c r="BN149" s="250">
        <f t="shared" ca="1" si="341"/>
        <v>-525767.47243273852</v>
      </c>
      <c r="BO149" s="250">
        <f t="shared" ca="1" si="341"/>
        <v>-536281.84128946648</v>
      </c>
      <c r="BP149" s="250">
        <f t="shared" ca="1" si="341"/>
        <v>-547006.4975233291</v>
      </c>
      <c r="BQ149" s="250">
        <f t="shared" ca="1" si="341"/>
        <v>-557945.64688186895</v>
      </c>
      <c r="BR149" s="250">
        <f t="shared" ca="1" si="341"/>
        <v>-558489.44462721737</v>
      </c>
      <c r="BS149" s="250">
        <f t="shared" ca="1" si="341"/>
        <v>-559044.11832747282</v>
      </c>
      <c r="BT149" s="250">
        <f t="shared" ca="1" si="341"/>
        <v>-559609.8855017334</v>
      </c>
      <c r="BU149" s="250">
        <f t="shared" ca="1" si="341"/>
        <v>-560186.96801947919</v>
      </c>
      <c r="BV149" s="250">
        <f t="shared" ref="BV149:DA149" ca="1" si="342">-(_NewSalesP4+_RetainedSalesP4)*_CapCostP4</f>
        <v>-560775.59218757984</v>
      </c>
      <c r="BW149" s="250">
        <f t="shared" ca="1" si="342"/>
        <v>-561375.98883904261</v>
      </c>
      <c r="BX149" s="250">
        <f t="shared" ca="1" si="342"/>
        <v>-561988.39342353458</v>
      </c>
      <c r="BY149" s="250">
        <f t="shared" ca="1" si="342"/>
        <v>-562613.04609971645</v>
      </c>
      <c r="BZ149" s="250">
        <f t="shared" ca="1" si="342"/>
        <v>-563250.19182942179</v>
      </c>
      <c r="CA149" s="250">
        <f t="shared" ca="1" si="342"/>
        <v>-563900.08047372138</v>
      </c>
      <c r="CB149" s="250">
        <f t="shared" ca="1" si="342"/>
        <v>-564562.96689090692</v>
      </c>
      <c r="CC149" s="250">
        <f t="shared" ca="1" si="342"/>
        <v>-565239.11103643617</v>
      </c>
      <c r="CD149" s="250">
        <f t="shared" ca="1" si="342"/>
        <v>-565963.61691797152</v>
      </c>
      <c r="CE149" s="250">
        <f t="shared" ca="1" si="342"/>
        <v>-566668.67761300469</v>
      </c>
      <c r="CF149" s="250">
        <f t="shared" ca="1" si="342"/>
        <v>-567387.83952193847</v>
      </c>
      <c r="CG149" s="250">
        <f t="shared" ca="1" si="342"/>
        <v>-568121.38466905092</v>
      </c>
      <c r="CH149" s="250">
        <f t="shared" ca="1" si="342"/>
        <v>-568869.60071910569</v>
      </c>
      <c r="CI149" s="250">
        <f t="shared" ca="1" si="342"/>
        <v>-569632.78109016153</v>
      </c>
      <c r="CJ149" s="250">
        <f t="shared" ca="1" si="342"/>
        <v>-570411.22506863845</v>
      </c>
      <c r="CK149" s="250">
        <f t="shared" ca="1" si="342"/>
        <v>-571205.2379266849</v>
      </c>
      <c r="CL149" s="250">
        <f t="shared" ca="1" si="342"/>
        <v>-572015.13104189234</v>
      </c>
      <c r="CM149" s="250">
        <f t="shared" ca="1" si="342"/>
        <v>-572841.22201940382</v>
      </c>
      <c r="CN149" s="250">
        <f t="shared" ca="1" si="342"/>
        <v>-573683.83481646562</v>
      </c>
      <c r="CO149" s="250">
        <f t="shared" ca="1" si="342"/>
        <v>-574543.29986946855</v>
      </c>
      <c r="CP149" s="250">
        <f t="shared" ca="1" si="342"/>
        <v>-574586.02486962255</v>
      </c>
      <c r="CQ149" s="250">
        <f t="shared" ca="1" si="342"/>
        <v>-574629.60436977982</v>
      </c>
      <c r="CR149" s="250">
        <f t="shared" ca="1" si="342"/>
        <v>-574674.05545993999</v>
      </c>
      <c r="CS149" s="250">
        <f t="shared" ca="1" si="342"/>
        <v>-574719.39557190344</v>
      </c>
      <c r="CT149" s="250">
        <f t="shared" ca="1" si="342"/>
        <v>-574765.64248610626</v>
      </c>
      <c r="CU149" s="250">
        <f t="shared" ca="1" si="342"/>
        <v>-574812.81433859305</v>
      </c>
      <c r="CV149" s="250">
        <f t="shared" ca="1" si="342"/>
        <v>-574860.92962812958</v>
      </c>
      <c r="CW149" s="250">
        <f t="shared" ca="1" si="342"/>
        <v>-574910.00722345687</v>
      </c>
      <c r="CX149" s="250">
        <f t="shared" ca="1" si="342"/>
        <v>-574960.06637069071</v>
      </c>
      <c r="CY149" s="250">
        <f t="shared" ca="1" si="342"/>
        <v>-575011.12670086918</v>
      </c>
      <c r="CZ149" s="250">
        <f t="shared" ca="1" si="342"/>
        <v>-575063.20823765127</v>
      </c>
      <c r="DA149" s="250">
        <f t="shared" ca="1" si="342"/>
        <v>-575116.3314051691</v>
      </c>
      <c r="DB149" s="250">
        <f t="shared" ref="DB149:DY149" ca="1" si="343">-(_NewSalesP4+_RetainedSalesP4)*_CapCostP4</f>
        <v>-575173.25424856984</v>
      </c>
      <c r="DC149" s="250">
        <f t="shared" ca="1" si="343"/>
        <v>-575228.64932617277</v>
      </c>
      <c r="DD149" s="250">
        <f t="shared" ca="1" si="343"/>
        <v>-575285.15230532782</v>
      </c>
      <c r="DE149" s="250">
        <f t="shared" ca="1" si="343"/>
        <v>-575342.7853440661</v>
      </c>
      <c r="DF149" s="250">
        <f t="shared" ca="1" si="343"/>
        <v>-575401.57104357891</v>
      </c>
      <c r="DG149" s="250">
        <f t="shared" ca="1" si="343"/>
        <v>-575461.53245708207</v>
      </c>
      <c r="DH149" s="250">
        <f t="shared" ca="1" si="343"/>
        <v>-575522.69309885532</v>
      </c>
      <c r="DI149" s="250">
        <f t="shared" ca="1" si="343"/>
        <v>-575585.07695346407</v>
      </c>
      <c r="DJ149" s="250">
        <f t="shared" ca="1" si="343"/>
        <v>-575648.70848516491</v>
      </c>
      <c r="DK149" s="250">
        <f t="shared" ca="1" si="343"/>
        <v>-575713.61264749977</v>
      </c>
      <c r="DL149" s="250">
        <f t="shared" ca="1" si="343"/>
        <v>-575779.81489308144</v>
      </c>
      <c r="DM149" s="250">
        <f t="shared" ca="1" si="343"/>
        <v>-575847.34118357464</v>
      </c>
      <c r="DN149" s="250">
        <f t="shared" ca="1" si="343"/>
        <v>-575850.69799344335</v>
      </c>
      <c r="DO149" s="250">
        <f t="shared" ca="1" si="343"/>
        <v>-575854.12193950941</v>
      </c>
      <c r="DP149" s="250">
        <f t="shared" ca="1" si="343"/>
        <v>-575857.61436449678</v>
      </c>
      <c r="DQ149" s="250">
        <f t="shared" ca="1" si="343"/>
        <v>-575861.176637984</v>
      </c>
      <c r="DR149" s="250">
        <f t="shared" ca="1" si="343"/>
        <v>-575864.81015694083</v>
      </c>
      <c r="DS149" s="250">
        <f t="shared" ca="1" si="343"/>
        <v>-575868.51634627685</v>
      </c>
      <c r="DT149" s="250">
        <f t="shared" ca="1" si="343"/>
        <v>-575872.29665939964</v>
      </c>
      <c r="DU149" s="250">
        <f t="shared" ca="1" si="343"/>
        <v>-575876.15257878473</v>
      </c>
      <c r="DV149" s="250">
        <f t="shared" ca="1" si="343"/>
        <v>-575880.08561655774</v>
      </c>
      <c r="DW149" s="250">
        <f t="shared" ca="1" si="343"/>
        <v>-575884.09731508605</v>
      </c>
      <c r="DX149" s="250">
        <f t="shared" ca="1" si="343"/>
        <v>-575888.18924758502</v>
      </c>
      <c r="DY149" s="250">
        <f t="shared" ca="1" si="343"/>
        <v>-575892.36301873391</v>
      </c>
    </row>
    <row r="150" spans="1:129" s="19" customFormat="1" outlineLevel="2">
      <c r="A150" s="20"/>
      <c r="B150" s="60"/>
      <c r="C150" s="9" t="str">
        <f>'Model Assumptions'!$K$24&amp;" - COGS related to new sales"</f>
        <v>Product 5 - COGS related to new sales</v>
      </c>
      <c r="D150" s="9"/>
      <c r="E150" s="30"/>
      <c r="F150" s="5"/>
      <c r="G150" s="274" t="s">
        <v>631</v>
      </c>
      <c r="H150" s="14"/>
      <c r="I150" s="14"/>
      <c r="J150" s="250">
        <f t="shared" ref="J150:AO150" ca="1" si="344">-(_NewSalesP5+_RetainedSalesP5)*_CapCostP5</f>
        <v>-82757.257165157425</v>
      </c>
      <c r="K150" s="250">
        <f t="shared" ca="1" si="344"/>
        <v>-84407.107165157431</v>
      </c>
      <c r="L150" s="250">
        <f t="shared" ca="1" si="344"/>
        <v>-86089.954165157425</v>
      </c>
      <c r="M150" s="250">
        <f t="shared" ca="1" si="344"/>
        <v>-87806.458105157435</v>
      </c>
      <c r="N150" s="250">
        <f t="shared" ca="1" si="344"/>
        <v>-89557.292123957435</v>
      </c>
      <c r="O150" s="250">
        <f t="shared" ca="1" si="344"/>
        <v>-91343.142823133428</v>
      </c>
      <c r="P150" s="250">
        <f t="shared" ca="1" si="344"/>
        <v>-93164.710536292958</v>
      </c>
      <c r="Q150" s="250">
        <f t="shared" ca="1" si="344"/>
        <v>-95022.709603715659</v>
      </c>
      <c r="R150" s="250">
        <f t="shared" ca="1" si="344"/>
        <v>-96917.868652486824</v>
      </c>
      <c r="S150" s="250">
        <f t="shared" ca="1" si="344"/>
        <v>-98850.930882233428</v>
      </c>
      <c r="T150" s="250">
        <f t="shared" ca="1" si="344"/>
        <v>-100822.65435657495</v>
      </c>
      <c r="U150" s="250">
        <f t="shared" ca="1" si="344"/>
        <v>-102833.8123004033</v>
      </c>
      <c r="V150" s="250">
        <f t="shared" ca="1" si="344"/>
        <v>-104885.19340310822</v>
      </c>
      <c r="W150" s="250">
        <f t="shared" ca="1" si="344"/>
        <v>-106977.60212786724</v>
      </c>
      <c r="X150" s="250">
        <f t="shared" ca="1" si="344"/>
        <v>-109111.85902712143</v>
      </c>
      <c r="Y150" s="250">
        <f t="shared" ca="1" si="344"/>
        <v>-111288.80106436073</v>
      </c>
      <c r="Z150" s="250">
        <f t="shared" ca="1" si="344"/>
        <v>-113509.28194234481</v>
      </c>
      <c r="AA150" s="250">
        <f t="shared" ca="1" si="344"/>
        <v>-115774.17243788856</v>
      </c>
      <c r="AB150" s="250">
        <f t="shared" ca="1" si="344"/>
        <v>-118084.36074334318</v>
      </c>
      <c r="AC150" s="250">
        <f t="shared" ca="1" si="344"/>
        <v>-120440.7528149069</v>
      </c>
      <c r="AD150" s="250">
        <f t="shared" ca="1" si="344"/>
        <v>-122844.27272790189</v>
      </c>
      <c r="AE150" s="250">
        <f t="shared" ca="1" si="344"/>
        <v>-125295.86303915677</v>
      </c>
      <c r="AF150" s="250">
        <f t="shared" ca="1" si="344"/>
        <v>-127796.48515663676</v>
      </c>
      <c r="AG150" s="250">
        <f t="shared" ca="1" si="344"/>
        <v>-130347.11971646635</v>
      </c>
      <c r="AH150" s="250">
        <f t="shared" ca="1" si="344"/>
        <v>-139186.06659711766</v>
      </c>
      <c r="AI150" s="250">
        <f t="shared" ca="1" si="344"/>
        <v>-141969.37190122547</v>
      </c>
      <c r="AJ150" s="250">
        <f t="shared" ca="1" si="344"/>
        <v>-144808.3433114154</v>
      </c>
      <c r="AK150" s="250">
        <f t="shared" ca="1" si="344"/>
        <v>-147704.09414980913</v>
      </c>
      <c r="AL150" s="250">
        <f t="shared" ca="1" si="344"/>
        <v>-150657.76000497074</v>
      </c>
      <c r="AM150" s="250">
        <f t="shared" ca="1" si="344"/>
        <v>-153670.49917723559</v>
      </c>
      <c r="AN150" s="250">
        <f t="shared" ca="1" si="344"/>
        <v>-156743.4931329457</v>
      </c>
      <c r="AO150" s="250">
        <f t="shared" ca="1" si="344"/>
        <v>-159877.94696777008</v>
      </c>
      <c r="AP150" s="250">
        <f t="shared" ref="AP150:BU150" ca="1" si="345">-(_NewSalesP5+_RetainedSalesP5)*_CapCostP5</f>
        <v>-163075.0898792909</v>
      </c>
      <c r="AQ150" s="250">
        <f t="shared" ca="1" si="345"/>
        <v>-166336.17564904215</v>
      </c>
      <c r="AR150" s="250">
        <f t="shared" ca="1" si="345"/>
        <v>-169662.48313418843</v>
      </c>
      <c r="AS150" s="250">
        <f t="shared" ca="1" si="345"/>
        <v>-173055.31676903763</v>
      </c>
      <c r="AT150" s="250">
        <f t="shared" ca="1" si="345"/>
        <v>-176516.0070765838</v>
      </c>
      <c r="AU150" s="250">
        <f t="shared" ca="1" si="345"/>
        <v>-180045.91119028092</v>
      </c>
      <c r="AV150" s="250">
        <f t="shared" ca="1" si="345"/>
        <v>-183646.41338625198</v>
      </c>
      <c r="AW150" s="250">
        <f t="shared" ca="1" si="345"/>
        <v>-187318.92562614245</v>
      </c>
      <c r="AX150" s="250">
        <f t="shared" ca="1" si="345"/>
        <v>-191064.88811083071</v>
      </c>
      <c r="AY150" s="250">
        <f t="shared" ca="1" si="345"/>
        <v>-194885.76984521275</v>
      </c>
      <c r="AZ150" s="250">
        <f t="shared" ca="1" si="345"/>
        <v>-198783.06921428244</v>
      </c>
      <c r="BA150" s="250">
        <f t="shared" ca="1" si="345"/>
        <v>-202758.31457073352</v>
      </c>
      <c r="BB150" s="250">
        <f t="shared" ca="1" si="345"/>
        <v>-206813.06483431361</v>
      </c>
      <c r="BC150" s="250">
        <f t="shared" ca="1" si="345"/>
        <v>-210948.91010316531</v>
      </c>
      <c r="BD150" s="250">
        <f t="shared" ca="1" si="345"/>
        <v>-215167.47227739406</v>
      </c>
      <c r="BE150" s="250">
        <f t="shared" ca="1" si="345"/>
        <v>-219470.40569510733</v>
      </c>
      <c r="BF150" s="250">
        <f t="shared" ca="1" si="345"/>
        <v>-224349.44877884106</v>
      </c>
      <c r="BG150" s="250">
        <f t="shared" ca="1" si="345"/>
        <v>-228836.40506802034</v>
      </c>
      <c r="BH150" s="250">
        <f t="shared" ca="1" si="345"/>
        <v>-233413.10048298317</v>
      </c>
      <c r="BI150" s="250">
        <f t="shared" ca="1" si="345"/>
        <v>-238081.32980624528</v>
      </c>
      <c r="BJ150" s="250">
        <f t="shared" ca="1" si="345"/>
        <v>-242842.92371597263</v>
      </c>
      <c r="BK150" s="250">
        <f t="shared" ca="1" si="345"/>
        <v>-247699.74950389456</v>
      </c>
      <c r="BL150" s="250">
        <f t="shared" ca="1" si="345"/>
        <v>-252653.71180757487</v>
      </c>
      <c r="BM150" s="250">
        <f t="shared" ca="1" si="345"/>
        <v>-257706.75335732882</v>
      </c>
      <c r="BN150" s="250">
        <f t="shared" ca="1" si="345"/>
        <v>-262860.85573807789</v>
      </c>
      <c r="BO150" s="250">
        <f t="shared" ca="1" si="345"/>
        <v>-268118.04016644188</v>
      </c>
      <c r="BP150" s="250">
        <f t="shared" ca="1" si="345"/>
        <v>-273480.36828337313</v>
      </c>
      <c r="BQ150" s="250">
        <f t="shared" ca="1" si="345"/>
        <v>-278949.94296264305</v>
      </c>
      <c r="BR150" s="250">
        <f t="shared" ca="1" si="345"/>
        <v>-279221.84183531732</v>
      </c>
      <c r="BS150" s="250">
        <f t="shared" ca="1" si="345"/>
        <v>-279499.17868544505</v>
      </c>
      <c r="BT150" s="250">
        <f t="shared" ca="1" si="345"/>
        <v>-279782.06227257533</v>
      </c>
      <c r="BU150" s="250">
        <f t="shared" ca="1" si="345"/>
        <v>-280070.60353144823</v>
      </c>
      <c r="BV150" s="250">
        <f t="shared" ref="BV150:DA150" ca="1" si="346">-(_NewSalesP5+_RetainedSalesP5)*_CapCostP5</f>
        <v>-280364.91561549855</v>
      </c>
      <c r="BW150" s="250">
        <f t="shared" ca="1" si="346"/>
        <v>-280665.11394122994</v>
      </c>
      <c r="BX150" s="250">
        <f t="shared" ca="1" si="346"/>
        <v>-280971.31623347587</v>
      </c>
      <c r="BY150" s="250">
        <f t="shared" ca="1" si="346"/>
        <v>-281283.6425715668</v>
      </c>
      <c r="BZ150" s="250">
        <f t="shared" ca="1" si="346"/>
        <v>-281602.21543641947</v>
      </c>
      <c r="CA150" s="250">
        <f t="shared" ca="1" si="346"/>
        <v>-281927.15975856932</v>
      </c>
      <c r="CB150" s="250">
        <f t="shared" ca="1" si="346"/>
        <v>-282258.60296716209</v>
      </c>
      <c r="CC150" s="250">
        <f t="shared" ca="1" si="346"/>
        <v>-282596.67503992666</v>
      </c>
      <c r="CD150" s="250">
        <f t="shared" ca="1" si="346"/>
        <v>-282980.01078982127</v>
      </c>
      <c r="CE150" s="250">
        <f t="shared" ca="1" si="346"/>
        <v>-283332.54113733792</v>
      </c>
      <c r="CF150" s="250">
        <f t="shared" ca="1" si="346"/>
        <v>-283692.12209180481</v>
      </c>
      <c r="CG150" s="250">
        <f t="shared" ca="1" si="346"/>
        <v>-284058.89466536097</v>
      </c>
      <c r="CH150" s="250">
        <f t="shared" ca="1" si="346"/>
        <v>-284433.00269038836</v>
      </c>
      <c r="CI150" s="250">
        <f t="shared" ca="1" si="346"/>
        <v>-284814.59287591628</v>
      </c>
      <c r="CJ150" s="250">
        <f t="shared" ca="1" si="346"/>
        <v>-285203.81486515474</v>
      </c>
      <c r="CK150" s="250">
        <f t="shared" ca="1" si="346"/>
        <v>-285600.82129417796</v>
      </c>
      <c r="CL150" s="250">
        <f t="shared" ca="1" si="346"/>
        <v>-286005.76785178168</v>
      </c>
      <c r="CM150" s="250">
        <f t="shared" ca="1" si="346"/>
        <v>-286418.81334053742</v>
      </c>
      <c r="CN150" s="250">
        <f t="shared" ca="1" si="346"/>
        <v>-286840.11973906832</v>
      </c>
      <c r="CO150" s="250">
        <f t="shared" ca="1" si="346"/>
        <v>-287269.85226556979</v>
      </c>
      <c r="CP150" s="250">
        <f t="shared" ca="1" si="346"/>
        <v>-287291.21476564679</v>
      </c>
      <c r="CQ150" s="250">
        <f t="shared" ca="1" si="346"/>
        <v>-287313.00451572542</v>
      </c>
      <c r="CR150" s="250">
        <f t="shared" ca="1" si="346"/>
        <v>-287335.23006080557</v>
      </c>
      <c r="CS150" s="250">
        <f t="shared" ca="1" si="346"/>
        <v>-287357.90011678729</v>
      </c>
      <c r="CT150" s="250">
        <f t="shared" ca="1" si="346"/>
        <v>-287381.0235738887</v>
      </c>
      <c r="CU150" s="250">
        <f t="shared" ca="1" si="346"/>
        <v>-287404.60950013204</v>
      </c>
      <c r="CV150" s="250">
        <f t="shared" ca="1" si="346"/>
        <v>-287428.6671449003</v>
      </c>
      <c r="CW150" s="250">
        <f t="shared" ca="1" si="346"/>
        <v>-287453.20594256395</v>
      </c>
      <c r="CX150" s="250">
        <f t="shared" ca="1" si="346"/>
        <v>-287478.23551618092</v>
      </c>
      <c r="CY150" s="250">
        <f t="shared" ca="1" si="346"/>
        <v>-287503.7656812701</v>
      </c>
      <c r="CZ150" s="250">
        <f t="shared" ca="1" si="346"/>
        <v>-287529.80644966115</v>
      </c>
      <c r="DA150" s="250">
        <f t="shared" ca="1" si="346"/>
        <v>-287556.36803342006</v>
      </c>
      <c r="DB150" s="250">
        <f t="shared" ref="DB150:DY150" ca="1" si="347">-(_NewSalesP5+_RetainedSalesP5)*_CapCostP5</f>
        <v>-287586.48588534823</v>
      </c>
      <c r="DC150" s="250">
        <f t="shared" ca="1" si="347"/>
        <v>-287614.18342414976</v>
      </c>
      <c r="DD150" s="250">
        <f t="shared" ca="1" si="347"/>
        <v>-287642.43491372722</v>
      </c>
      <c r="DE150" s="250">
        <f t="shared" ca="1" si="347"/>
        <v>-287671.2514330963</v>
      </c>
      <c r="DF150" s="250">
        <f t="shared" ca="1" si="347"/>
        <v>-287700.64428285277</v>
      </c>
      <c r="DG150" s="250">
        <f t="shared" ca="1" si="347"/>
        <v>-287730.62498960434</v>
      </c>
      <c r="DH150" s="250">
        <f t="shared" ca="1" si="347"/>
        <v>-287761.20531049103</v>
      </c>
      <c r="DI150" s="250">
        <f t="shared" ca="1" si="347"/>
        <v>-287792.39723779535</v>
      </c>
      <c r="DJ150" s="250">
        <f t="shared" ca="1" si="347"/>
        <v>-287824.21300364577</v>
      </c>
      <c r="DK150" s="250">
        <f t="shared" ca="1" si="347"/>
        <v>-287856.66508481326</v>
      </c>
      <c r="DL150" s="250">
        <f t="shared" ca="1" si="347"/>
        <v>-287889.76620760403</v>
      </c>
      <c r="DM150" s="250">
        <f t="shared" ca="1" si="347"/>
        <v>-287923.52935285063</v>
      </c>
      <c r="DN150" s="250">
        <f t="shared" ca="1" si="347"/>
        <v>-287925.20775778499</v>
      </c>
      <c r="DO150" s="250">
        <f t="shared" ca="1" si="347"/>
        <v>-287926.91973081802</v>
      </c>
      <c r="DP150" s="250">
        <f t="shared" ca="1" si="347"/>
        <v>-287928.6659433117</v>
      </c>
      <c r="DQ150" s="250">
        <f t="shared" ca="1" si="347"/>
        <v>-287930.44708005531</v>
      </c>
      <c r="DR150" s="250">
        <f t="shared" ca="1" si="347"/>
        <v>-287932.26383953373</v>
      </c>
      <c r="DS150" s="250">
        <f t="shared" ca="1" si="347"/>
        <v>-287934.11693420174</v>
      </c>
      <c r="DT150" s="250">
        <f t="shared" ca="1" si="347"/>
        <v>-287936.00709076307</v>
      </c>
      <c r="DU150" s="250">
        <f t="shared" ca="1" si="347"/>
        <v>-287937.93505045568</v>
      </c>
      <c r="DV150" s="250">
        <f t="shared" ca="1" si="347"/>
        <v>-287939.90156934218</v>
      </c>
      <c r="DW150" s="250">
        <f t="shared" ca="1" si="347"/>
        <v>-287941.90741860634</v>
      </c>
      <c r="DX150" s="250">
        <f t="shared" ca="1" si="347"/>
        <v>-287943.95338485582</v>
      </c>
      <c r="DY150" s="250">
        <f t="shared" ca="1" si="347"/>
        <v>-287946.04027043027</v>
      </c>
    </row>
    <row r="151" spans="1:129" s="19" customFormat="1" outlineLevel="2">
      <c r="A151" s="20"/>
      <c r="B151" s="60"/>
      <c r="C151" s="9" t="str">
        <f>'Model Assumptions'!$G$24&amp;" - COGS reduction related to repossessed systems"</f>
        <v>Product 1 - COGS reduction related to repossessed systems</v>
      </c>
      <c r="D151" s="9"/>
      <c r="E151" s="30"/>
      <c r="F151" s="5"/>
      <c r="G151" s="274" t="s">
        <v>625</v>
      </c>
      <c r="H151" s="14"/>
      <c r="I151" s="14"/>
      <c r="J151" s="250">
        <f t="shared" ref="J151:AO151" si="348">_RepossessedP1*_CapCostP1*(1-_Receivablewriteoffrate)</f>
        <v>0</v>
      </c>
      <c r="K151" s="250">
        <f t="shared" si="348"/>
        <v>0</v>
      </c>
      <c r="L151" s="250">
        <f t="shared" si="348"/>
        <v>0</v>
      </c>
      <c r="M151" s="250">
        <f t="shared" si="348"/>
        <v>0</v>
      </c>
      <c r="N151" s="250">
        <f t="shared" si="348"/>
        <v>0</v>
      </c>
      <c r="O151" s="250">
        <f t="shared" si="348"/>
        <v>0</v>
      </c>
      <c r="P151" s="250">
        <f t="shared" si="348"/>
        <v>0</v>
      </c>
      <c r="Q151" s="250">
        <f t="shared" si="348"/>
        <v>0</v>
      </c>
      <c r="R151" s="250">
        <f t="shared" si="348"/>
        <v>0</v>
      </c>
      <c r="S151" s="250">
        <f t="shared" si="348"/>
        <v>0</v>
      </c>
      <c r="T151" s="250">
        <f t="shared" si="348"/>
        <v>0</v>
      </c>
      <c r="U151" s="250">
        <f t="shared" si="348"/>
        <v>0</v>
      </c>
      <c r="V151" s="250">
        <f t="shared" si="348"/>
        <v>0</v>
      </c>
      <c r="W151" s="250">
        <f t="shared" si="348"/>
        <v>0</v>
      </c>
      <c r="X151" s="250">
        <f t="shared" si="348"/>
        <v>0</v>
      </c>
      <c r="Y151" s="250">
        <f t="shared" si="348"/>
        <v>0</v>
      </c>
      <c r="Z151" s="250">
        <f t="shared" si="348"/>
        <v>0</v>
      </c>
      <c r="AA151" s="250">
        <f t="shared" si="348"/>
        <v>0</v>
      </c>
      <c r="AB151" s="250">
        <f t="shared" si="348"/>
        <v>0</v>
      </c>
      <c r="AC151" s="250">
        <f t="shared" si="348"/>
        <v>0</v>
      </c>
      <c r="AD151" s="250">
        <f t="shared" si="348"/>
        <v>0</v>
      </c>
      <c r="AE151" s="250">
        <f t="shared" si="348"/>
        <v>0</v>
      </c>
      <c r="AF151" s="250">
        <f t="shared" si="348"/>
        <v>0</v>
      </c>
      <c r="AG151" s="250">
        <f t="shared" si="348"/>
        <v>0</v>
      </c>
      <c r="AH151" s="250">
        <f t="shared" si="348"/>
        <v>0</v>
      </c>
      <c r="AI151" s="250">
        <f t="shared" si="348"/>
        <v>0</v>
      </c>
      <c r="AJ151" s="250">
        <f t="shared" si="348"/>
        <v>0</v>
      </c>
      <c r="AK151" s="250">
        <f t="shared" si="348"/>
        <v>0</v>
      </c>
      <c r="AL151" s="250">
        <f t="shared" si="348"/>
        <v>0</v>
      </c>
      <c r="AM151" s="250">
        <f t="shared" si="348"/>
        <v>0</v>
      </c>
      <c r="AN151" s="250">
        <f t="shared" si="348"/>
        <v>0</v>
      </c>
      <c r="AO151" s="250">
        <f t="shared" si="348"/>
        <v>0</v>
      </c>
      <c r="AP151" s="250">
        <f t="shared" ref="AP151:BU151" si="349">_RepossessedP1*_CapCostP1*(1-_Receivablewriteoffrate)</f>
        <v>0</v>
      </c>
      <c r="AQ151" s="250">
        <f t="shared" si="349"/>
        <v>0</v>
      </c>
      <c r="AR151" s="250">
        <f t="shared" si="349"/>
        <v>0</v>
      </c>
      <c r="AS151" s="250">
        <f t="shared" si="349"/>
        <v>0</v>
      </c>
      <c r="AT151" s="250">
        <f t="shared" si="349"/>
        <v>0</v>
      </c>
      <c r="AU151" s="250">
        <f t="shared" si="349"/>
        <v>0</v>
      </c>
      <c r="AV151" s="250">
        <f t="shared" si="349"/>
        <v>0</v>
      </c>
      <c r="AW151" s="250">
        <f t="shared" si="349"/>
        <v>0</v>
      </c>
      <c r="AX151" s="250">
        <f t="shared" si="349"/>
        <v>0</v>
      </c>
      <c r="AY151" s="250">
        <f t="shared" si="349"/>
        <v>0</v>
      </c>
      <c r="AZ151" s="250">
        <f t="shared" si="349"/>
        <v>0</v>
      </c>
      <c r="BA151" s="250">
        <f t="shared" si="349"/>
        <v>0</v>
      </c>
      <c r="BB151" s="250">
        <f t="shared" si="349"/>
        <v>0</v>
      </c>
      <c r="BC151" s="250">
        <f t="shared" si="349"/>
        <v>0</v>
      </c>
      <c r="BD151" s="250">
        <f t="shared" si="349"/>
        <v>0</v>
      </c>
      <c r="BE151" s="250">
        <f t="shared" si="349"/>
        <v>0</v>
      </c>
      <c r="BF151" s="250">
        <f t="shared" si="349"/>
        <v>0</v>
      </c>
      <c r="BG151" s="250">
        <f t="shared" si="349"/>
        <v>0</v>
      </c>
      <c r="BH151" s="250">
        <f t="shared" si="349"/>
        <v>0</v>
      </c>
      <c r="BI151" s="250">
        <f t="shared" si="349"/>
        <v>0</v>
      </c>
      <c r="BJ151" s="250">
        <f t="shared" si="349"/>
        <v>0</v>
      </c>
      <c r="BK151" s="250">
        <f t="shared" si="349"/>
        <v>0</v>
      </c>
      <c r="BL151" s="250">
        <f t="shared" si="349"/>
        <v>0</v>
      </c>
      <c r="BM151" s="250">
        <f t="shared" si="349"/>
        <v>0</v>
      </c>
      <c r="BN151" s="250">
        <f t="shared" si="349"/>
        <v>0</v>
      </c>
      <c r="BO151" s="250">
        <f t="shared" si="349"/>
        <v>0</v>
      </c>
      <c r="BP151" s="250">
        <f t="shared" si="349"/>
        <v>0</v>
      </c>
      <c r="BQ151" s="250">
        <f t="shared" si="349"/>
        <v>0</v>
      </c>
      <c r="BR151" s="250">
        <f t="shared" si="349"/>
        <v>0</v>
      </c>
      <c r="BS151" s="250">
        <f t="shared" si="349"/>
        <v>0</v>
      </c>
      <c r="BT151" s="250">
        <f t="shared" si="349"/>
        <v>0</v>
      </c>
      <c r="BU151" s="250">
        <f t="shared" si="349"/>
        <v>0</v>
      </c>
      <c r="BV151" s="250">
        <f t="shared" ref="BV151:DA151" si="350">_RepossessedP1*_CapCostP1*(1-_Receivablewriteoffrate)</f>
        <v>0</v>
      </c>
      <c r="BW151" s="250">
        <f t="shared" si="350"/>
        <v>0</v>
      </c>
      <c r="BX151" s="250">
        <f t="shared" si="350"/>
        <v>0</v>
      </c>
      <c r="BY151" s="250">
        <f t="shared" si="350"/>
        <v>0</v>
      </c>
      <c r="BZ151" s="250">
        <f t="shared" si="350"/>
        <v>0</v>
      </c>
      <c r="CA151" s="250">
        <f t="shared" si="350"/>
        <v>0</v>
      </c>
      <c r="CB151" s="250">
        <f t="shared" si="350"/>
        <v>0</v>
      </c>
      <c r="CC151" s="250">
        <f t="shared" si="350"/>
        <v>0</v>
      </c>
      <c r="CD151" s="250">
        <f t="shared" si="350"/>
        <v>0</v>
      </c>
      <c r="CE151" s="250">
        <f t="shared" si="350"/>
        <v>0</v>
      </c>
      <c r="CF151" s="250">
        <f t="shared" si="350"/>
        <v>0</v>
      </c>
      <c r="CG151" s="250">
        <f t="shared" si="350"/>
        <v>0</v>
      </c>
      <c r="CH151" s="250">
        <f t="shared" si="350"/>
        <v>0</v>
      </c>
      <c r="CI151" s="250">
        <f t="shared" si="350"/>
        <v>0</v>
      </c>
      <c r="CJ151" s="250">
        <f t="shared" si="350"/>
        <v>0</v>
      </c>
      <c r="CK151" s="250">
        <f t="shared" si="350"/>
        <v>0</v>
      </c>
      <c r="CL151" s="250">
        <f t="shared" si="350"/>
        <v>0</v>
      </c>
      <c r="CM151" s="250">
        <f t="shared" si="350"/>
        <v>0</v>
      </c>
      <c r="CN151" s="250">
        <f t="shared" si="350"/>
        <v>0</v>
      </c>
      <c r="CO151" s="250">
        <f t="shared" si="350"/>
        <v>0</v>
      </c>
      <c r="CP151" s="250">
        <f t="shared" si="350"/>
        <v>0</v>
      </c>
      <c r="CQ151" s="250">
        <f t="shared" si="350"/>
        <v>0</v>
      </c>
      <c r="CR151" s="250">
        <f t="shared" si="350"/>
        <v>0</v>
      </c>
      <c r="CS151" s="250">
        <f t="shared" si="350"/>
        <v>0</v>
      </c>
      <c r="CT151" s="250">
        <f t="shared" si="350"/>
        <v>0</v>
      </c>
      <c r="CU151" s="250">
        <f t="shared" si="350"/>
        <v>0</v>
      </c>
      <c r="CV151" s="250">
        <f t="shared" si="350"/>
        <v>0</v>
      </c>
      <c r="CW151" s="250">
        <f t="shared" si="350"/>
        <v>0</v>
      </c>
      <c r="CX151" s="250">
        <f t="shared" si="350"/>
        <v>0</v>
      </c>
      <c r="CY151" s="250">
        <f t="shared" si="350"/>
        <v>0</v>
      </c>
      <c r="CZ151" s="250">
        <f t="shared" si="350"/>
        <v>0</v>
      </c>
      <c r="DA151" s="250">
        <f t="shared" si="350"/>
        <v>0</v>
      </c>
      <c r="DB151" s="250">
        <f t="shared" ref="DB151:DY151" si="351">_RepossessedP1*_CapCostP1*(1-_Receivablewriteoffrate)</f>
        <v>0</v>
      </c>
      <c r="DC151" s="250">
        <f t="shared" si="351"/>
        <v>0</v>
      </c>
      <c r="DD151" s="250">
        <f t="shared" si="351"/>
        <v>0</v>
      </c>
      <c r="DE151" s="250">
        <f t="shared" si="351"/>
        <v>0</v>
      </c>
      <c r="DF151" s="250">
        <f t="shared" si="351"/>
        <v>0</v>
      </c>
      <c r="DG151" s="250">
        <f t="shared" si="351"/>
        <v>0</v>
      </c>
      <c r="DH151" s="250">
        <f t="shared" si="351"/>
        <v>0</v>
      </c>
      <c r="DI151" s="250">
        <f t="shared" si="351"/>
        <v>0</v>
      </c>
      <c r="DJ151" s="250">
        <f t="shared" si="351"/>
        <v>0</v>
      </c>
      <c r="DK151" s="250">
        <f t="shared" si="351"/>
        <v>0</v>
      </c>
      <c r="DL151" s="250">
        <f t="shared" si="351"/>
        <v>0</v>
      </c>
      <c r="DM151" s="250">
        <f t="shared" si="351"/>
        <v>0</v>
      </c>
      <c r="DN151" s="250">
        <f t="shared" si="351"/>
        <v>0</v>
      </c>
      <c r="DO151" s="250">
        <f t="shared" si="351"/>
        <v>0</v>
      </c>
      <c r="DP151" s="250">
        <f t="shared" si="351"/>
        <v>0</v>
      </c>
      <c r="DQ151" s="250">
        <f t="shared" si="351"/>
        <v>0</v>
      </c>
      <c r="DR151" s="250">
        <f t="shared" si="351"/>
        <v>0</v>
      </c>
      <c r="DS151" s="250">
        <f t="shared" si="351"/>
        <v>0</v>
      </c>
      <c r="DT151" s="250">
        <f t="shared" si="351"/>
        <v>0</v>
      </c>
      <c r="DU151" s="250">
        <f t="shared" si="351"/>
        <v>0</v>
      </c>
      <c r="DV151" s="250">
        <f t="shared" si="351"/>
        <v>0</v>
      </c>
      <c r="DW151" s="250">
        <f t="shared" si="351"/>
        <v>0</v>
      </c>
      <c r="DX151" s="250">
        <f t="shared" si="351"/>
        <v>0</v>
      </c>
      <c r="DY151" s="250">
        <f t="shared" si="351"/>
        <v>0</v>
      </c>
    </row>
    <row r="152" spans="1:129" s="19" customFormat="1" outlineLevel="2">
      <c r="A152" s="20"/>
      <c r="B152" s="60"/>
      <c r="C152" s="9" t="str">
        <f>'Model Assumptions'!$H$24&amp;" - COGS reduction related to repossessed systems"</f>
        <v>Product 2 - COGS reduction related to repossessed systems</v>
      </c>
      <c r="D152" s="9"/>
      <c r="E152" s="30"/>
      <c r="F152" s="5"/>
      <c r="G152" s="274" t="s">
        <v>625</v>
      </c>
      <c r="H152" s="14"/>
      <c r="I152" s="14"/>
      <c r="J152" s="250">
        <f t="shared" ref="J152:AO152" si="352">_RepossessedP2*_CapCostP2*(1-_Receivablewriteoffrate)</f>
        <v>4711.7999999999993</v>
      </c>
      <c r="K152" s="250">
        <f t="shared" ca="1" si="352"/>
        <v>4832.0504821085951</v>
      </c>
      <c r="L152" s="250">
        <f t="shared" ca="1" si="352"/>
        <v>4960.7105313961038</v>
      </c>
      <c r="M152" s="250">
        <f t="shared" ca="1" si="352"/>
        <v>5097.8882936307382</v>
      </c>
      <c r="N152" s="250">
        <f t="shared" ca="1" si="352"/>
        <v>5243.6946779518266</v>
      </c>
      <c r="O152" s="250">
        <f t="shared" ca="1" si="352"/>
        <v>5398.2434061326803</v>
      </c>
      <c r="P152" s="250">
        <f t="shared" ca="1" si="352"/>
        <v>5561.6510628887609</v>
      </c>
      <c r="Q152" s="250">
        <f t="shared" ca="1" si="352"/>
        <v>5734.0371472514571</v>
      </c>
      <c r="R152" s="250">
        <f t="shared" ca="1" si="352"/>
        <v>5915.5241250281861</v>
      </c>
      <c r="S152" s="250">
        <f t="shared" ca="1" si="352"/>
        <v>6106.2374823699593</v>
      </c>
      <c r="T152" s="250">
        <f t="shared" ca="1" si="352"/>
        <v>6306.3057804679847</v>
      </c>
      <c r="U152" s="250">
        <f t="shared" ca="1" si="352"/>
        <v>6515.860711401293</v>
      </c>
      <c r="V152" s="250">
        <f t="shared" ca="1" si="352"/>
        <v>10102.555732736788</v>
      </c>
      <c r="W152" s="250">
        <f t="shared" ca="1" si="352"/>
        <v>10299.065826698257</v>
      </c>
      <c r="X152" s="250">
        <f t="shared" ca="1" si="352"/>
        <v>10500.394473355262</v>
      </c>
      <c r="Y152" s="250">
        <f t="shared" ca="1" si="352"/>
        <v>10706.629160253537</v>
      </c>
      <c r="Z152" s="250">
        <f t="shared" ca="1" si="352"/>
        <v>10917.859213524833</v>
      </c>
      <c r="AA152" s="250">
        <f t="shared" ca="1" si="352"/>
        <v>11134.175833770263</v>
      </c>
      <c r="AB152" s="250">
        <f t="shared" ca="1" si="352"/>
        <v>11355.672132670221</v>
      </c>
      <c r="AC152" s="250">
        <f t="shared" ca="1" si="352"/>
        <v>11582.443170335298</v>
      </c>
      <c r="AD152" s="250">
        <f t="shared" ca="1" si="352"/>
        <v>11814.585993412928</v>
      </c>
      <c r="AE152" s="250">
        <f t="shared" ca="1" si="352"/>
        <v>12052.199673964767</v>
      </c>
      <c r="AF152" s="250">
        <f t="shared" ca="1" si="352"/>
        <v>12295.385349130176</v>
      </c>
      <c r="AG152" s="250">
        <f t="shared" ca="1" si="352"/>
        <v>12544.246261591397</v>
      </c>
      <c r="AH152" s="250">
        <f t="shared" ca="1" si="352"/>
        <v>17065.183734475235</v>
      </c>
      <c r="AI152" s="250">
        <f t="shared" ca="1" si="352"/>
        <v>17395.196107699958</v>
      </c>
      <c r="AJ152" s="250">
        <f t="shared" ca="1" si="352"/>
        <v>17732.020082197847</v>
      </c>
      <c r="AK152" s="250">
        <f t="shared" ca="1" si="352"/>
        <v>18075.78977645628</v>
      </c>
      <c r="AL152" s="250">
        <f t="shared" ca="1" si="352"/>
        <v>18426.642012467764</v>
      </c>
      <c r="AM152" s="250">
        <f t="shared" ca="1" si="352"/>
        <v>18784.716369588674</v>
      </c>
      <c r="AN152" s="250">
        <f t="shared" ca="1" si="352"/>
        <v>19150.155239477313</v>
      </c>
      <c r="AO152" s="250">
        <f t="shared" ca="1" si="352"/>
        <v>19523.103882132778</v>
      </c>
      <c r="AP152" s="250">
        <f t="shared" ref="AP152:BU152" ca="1" si="353">_RepossessedP2*_CapCostP2*(1-_Receivablewriteoffrate)</f>
        <v>19903.710483056719</v>
      </c>
      <c r="AQ152" s="250">
        <f t="shared" ca="1" si="353"/>
        <v>20292.126211560346</v>
      </c>
      <c r="AR152" s="250">
        <f t="shared" ca="1" si="353"/>
        <v>20688.505280239649</v>
      </c>
      <c r="AS152" s="250">
        <f t="shared" ca="1" si="353"/>
        <v>21093.005005642088</v>
      </c>
      <c r="AT152" s="250">
        <f t="shared" ca="1" si="353"/>
        <v>26882.232337685768</v>
      </c>
      <c r="AU152" s="250">
        <f t="shared" ca="1" si="353"/>
        <v>27406.840957561719</v>
      </c>
      <c r="AV152" s="250">
        <f t="shared" ca="1" si="353"/>
        <v>27942.083017157791</v>
      </c>
      <c r="AW152" s="250">
        <f t="shared" ca="1" si="353"/>
        <v>28488.169772595156</v>
      </c>
      <c r="AX152" s="250">
        <f t="shared" ca="1" si="353"/>
        <v>29045.316719244151</v>
      </c>
      <c r="AY152" s="250">
        <f t="shared" ca="1" si="353"/>
        <v>29613.743676367973</v>
      </c>
      <c r="AZ152" s="250">
        <f t="shared" ca="1" si="353"/>
        <v>30193.67487346071</v>
      </c>
      <c r="BA152" s="250">
        <f t="shared" ca="1" si="353"/>
        <v>30785.339038313472</v>
      </c>
      <c r="BB152" s="250">
        <f t="shared" ca="1" si="353"/>
        <v>31388.969486843271</v>
      </c>
      <c r="BC152" s="250">
        <f t="shared" ca="1" si="353"/>
        <v>32004.804214719861</v>
      </c>
      <c r="BD152" s="250">
        <f t="shared" ca="1" si="353"/>
        <v>32633.08599082641</v>
      </c>
      <c r="BE152" s="250">
        <f t="shared" ca="1" si="353"/>
        <v>33274.062452590784</v>
      </c>
      <c r="BF152" s="250">
        <f t="shared" ca="1" si="353"/>
        <v>33927.986203224791</v>
      </c>
      <c r="BG152" s="250">
        <f t="shared" ca="1" si="353"/>
        <v>34594.944412669152</v>
      </c>
      <c r="BH152" s="250">
        <f t="shared" ca="1" si="353"/>
        <v>35275.358768233345</v>
      </c>
      <c r="BI152" s="250">
        <f t="shared" ca="1" si="353"/>
        <v>35969.497223020466</v>
      </c>
      <c r="BJ152" s="250">
        <f t="shared" ca="1" si="353"/>
        <v>36677.633100893843</v>
      </c>
      <c r="BK152" s="250">
        <f t="shared" ca="1" si="353"/>
        <v>37400.045203775313</v>
      </c>
      <c r="BL152" s="250">
        <f t="shared" ca="1" si="353"/>
        <v>38137.017921090541</v>
      </c>
      <c r="BM152" s="250">
        <f t="shared" ca="1" si="353"/>
        <v>38888.841341404419</v>
      </c>
      <c r="BN152" s="250">
        <f t="shared" ca="1" si="353"/>
        <v>39655.811366290407</v>
      </c>
      <c r="BO152" s="250">
        <f t="shared" ca="1" si="353"/>
        <v>40438.229826478288</v>
      </c>
      <c r="BP152" s="250">
        <f t="shared" ca="1" si="353"/>
        <v>41236.404600326052</v>
      </c>
      <c r="BQ152" s="250">
        <f t="shared" ca="1" si="353"/>
        <v>42050.649734662336</v>
      </c>
      <c r="BR152" s="250">
        <f t="shared" ca="1" si="353"/>
        <v>42881.285568046798</v>
      </c>
      <c r="BS152" s="250">
        <f t="shared" ca="1" si="353"/>
        <v>43651.325939447619</v>
      </c>
      <c r="BT152" s="250">
        <f t="shared" ca="1" si="353"/>
        <v>44360.345253027277</v>
      </c>
      <c r="BU152" s="250">
        <f t="shared" ca="1" si="353"/>
        <v>45007.887306281853</v>
      </c>
      <c r="BV152" s="250">
        <f t="shared" ref="BV152:DA152" ca="1" si="354">_RepossessedP2*_CapCostP2*(1-_Receivablewriteoffrate)</f>
        <v>45593.479130470834</v>
      </c>
      <c r="BW152" s="250">
        <f t="shared" ca="1" si="354"/>
        <v>46116.630731714176</v>
      </c>
      <c r="BX152" s="250">
        <f t="shared" ca="1" si="354"/>
        <v>46576.8348261473</v>
      </c>
      <c r="BY152" s="250">
        <f t="shared" ca="1" si="354"/>
        <v>46973.566569022332</v>
      </c>
      <c r="BZ152" s="250">
        <f t="shared" ca="1" si="354"/>
        <v>47306.283277642571</v>
      </c>
      <c r="CA152" s="250">
        <f t="shared" ca="1" si="354"/>
        <v>47574.424148014048</v>
      </c>
      <c r="CB152" s="250">
        <f t="shared" ca="1" si="354"/>
        <v>47777.40996509602</v>
      </c>
      <c r="CC152" s="250">
        <f t="shared" ca="1" si="354"/>
        <v>47914.642806529635</v>
      </c>
      <c r="CD152" s="250">
        <f t="shared" ca="1" si="354"/>
        <v>47985.505739721862</v>
      </c>
      <c r="CE152" s="250">
        <f t="shared" ca="1" si="354"/>
        <v>48051.02521653907</v>
      </c>
      <c r="CF152" s="250">
        <f t="shared" ca="1" si="354"/>
        <v>48111.163236473069</v>
      </c>
      <c r="CG152" s="250">
        <f t="shared" ca="1" si="354"/>
        <v>48165.87908885035</v>
      </c>
      <c r="CH152" s="250">
        <f t="shared" ca="1" si="354"/>
        <v>48215.130579599369</v>
      </c>
      <c r="CI152" s="250">
        <f t="shared" ca="1" si="354"/>
        <v>48258.874008274288</v>
      </c>
      <c r="CJ152" s="250">
        <f t="shared" ca="1" si="354"/>
        <v>48297.064144552533</v>
      </c>
      <c r="CK152" s="250">
        <f t="shared" ca="1" si="354"/>
        <v>48329.654204195875</v>
      </c>
      <c r="CL152" s="250">
        <f t="shared" ca="1" si="354"/>
        <v>48356.595824465199</v>
      </c>
      <c r="CM152" s="250">
        <f t="shared" ca="1" si="354"/>
        <v>48377.839038978731</v>
      </c>
      <c r="CN152" s="250">
        <f t="shared" ca="1" si="354"/>
        <v>48393.33225200294</v>
      </c>
      <c r="CO152" s="250">
        <f t="shared" ca="1" si="354"/>
        <v>48403.022212165837</v>
      </c>
      <c r="CP152" s="250">
        <f t="shared" ca="1" si="354"/>
        <v>48406.853985581416</v>
      </c>
      <c r="CQ152" s="250">
        <f t="shared" ca="1" si="354"/>
        <v>48410.236617205446</v>
      </c>
      <c r="CR152" s="250">
        <f t="shared" ca="1" si="354"/>
        <v>48413.16649378938</v>
      </c>
      <c r="CS152" s="250">
        <f t="shared" ca="1" si="354"/>
        <v>48415.639764309148</v>
      </c>
      <c r="CT152" s="250">
        <f t="shared" ca="1" si="354"/>
        <v>48417.652448679401</v>
      </c>
      <c r="CU152" s="250">
        <f t="shared" ca="1" si="354"/>
        <v>48419.200435692772</v>
      </c>
      <c r="CV152" s="250">
        <f t="shared" ca="1" si="354"/>
        <v>48420.279480912563</v>
      </c>
      <c r="CW152" s="250">
        <f t="shared" ca="1" si="354"/>
        <v>48420.885204518243</v>
      </c>
      <c r="CX152" s="250">
        <f t="shared" ca="1" si="354"/>
        <v>48421.0130891027</v>
      </c>
      <c r="CY152" s="250">
        <f t="shared" ca="1" si="354"/>
        <v>48420.65847742046</v>
      </c>
      <c r="CZ152" s="250">
        <f t="shared" ca="1" si="354"/>
        <v>48419.816570085764</v>
      </c>
      <c r="DA152" s="250">
        <f t="shared" ca="1" si="354"/>
        <v>48418.482423219757</v>
      </c>
      <c r="DB152" s="250">
        <f t="shared" ref="DB152:DY152" ca="1" si="355">_RepossessedP2*_CapCostP2*(1-_Receivablewriteoffrate)</f>
        <v>48416.650946045651</v>
      </c>
      <c r="DC152" s="250">
        <f t="shared" ca="1" si="355"/>
        <v>48414.801368820335</v>
      </c>
      <c r="DD152" s="250">
        <f t="shared" ca="1" si="355"/>
        <v>48412.933154158964</v>
      </c>
      <c r="DE152" s="250">
        <f t="shared" ca="1" si="355"/>
        <v>48411.045745771728</v>
      </c>
      <c r="DF152" s="250">
        <f t="shared" ca="1" si="355"/>
        <v>48409.138578078448</v>
      </c>
      <c r="DG152" s="250">
        <f t="shared" ca="1" si="355"/>
        <v>48407.211076004343</v>
      </c>
      <c r="DH152" s="250">
        <f t="shared" ca="1" si="355"/>
        <v>48405.262654772108</v>
      </c>
      <c r="DI152" s="250">
        <f t="shared" ca="1" si="355"/>
        <v>48403.292719689729</v>
      </c>
      <c r="DJ152" s="250">
        <f t="shared" ca="1" si="355"/>
        <v>48401.300665934468</v>
      </c>
      <c r="DK152" s="250">
        <f t="shared" ca="1" si="355"/>
        <v>48399.285878332579</v>
      </c>
      <c r="DL152" s="250">
        <f t="shared" ca="1" si="355"/>
        <v>48397.247731134819</v>
      </c>
      <c r="DM152" s="250">
        <f t="shared" ca="1" si="355"/>
        <v>48395.185587787739</v>
      </c>
      <c r="DN152" s="250">
        <f t="shared" ca="1" si="355"/>
        <v>48393.098800700405</v>
      </c>
      <c r="DO152" s="250">
        <f t="shared" ca="1" si="355"/>
        <v>48391.029653729114</v>
      </c>
      <c r="DP152" s="250">
        <f t="shared" ca="1" si="355"/>
        <v>48388.977906796135</v>
      </c>
      <c r="DQ152" s="250">
        <f t="shared" ca="1" si="355"/>
        <v>48386.943320072467</v>
      </c>
      <c r="DR152" s="250">
        <f t="shared" ca="1" si="355"/>
        <v>48384.925654810788</v>
      </c>
      <c r="DS152" s="250">
        <f t="shared" ca="1" si="355"/>
        <v>48382.924673308371</v>
      </c>
      <c r="DT152" s="250">
        <f t="shared" ca="1" si="355"/>
        <v>48380.940138869773</v>
      </c>
      <c r="DU152" s="250">
        <f t="shared" ca="1" si="355"/>
        <v>48378.971815769342</v>
      </c>
      <c r="DV152" s="250">
        <f t="shared" ca="1" si="355"/>
        <v>48377.019469213556</v>
      </c>
      <c r="DW152" s="250">
        <f t="shared" ca="1" si="355"/>
        <v>48375.082865303237</v>
      </c>
      <c r="DX152" s="250">
        <f t="shared" ca="1" si="355"/>
        <v>48373.161770995532</v>
      </c>
      <c r="DY152" s="250">
        <f t="shared" ca="1" si="355"/>
        <v>48371.255954065695</v>
      </c>
    </row>
    <row r="153" spans="1:129" s="19" customFormat="1" outlineLevel="2">
      <c r="A153" s="20"/>
      <c r="B153" s="60"/>
      <c r="C153" s="9" t="str">
        <f>'Model Assumptions'!$I$24&amp;" - COGS reduction related to repossessed systems"</f>
        <v>Product 3 - COGS reduction related to repossessed systems</v>
      </c>
      <c r="D153" s="9"/>
      <c r="E153" s="30"/>
      <c r="F153" s="5"/>
      <c r="G153" s="274" t="s">
        <v>625</v>
      </c>
      <c r="H153" s="14"/>
      <c r="I153" s="14"/>
      <c r="J153" s="250">
        <f t="shared" ref="J153:AO153" si="356">_RepossessedP3*_CapCostP3*(1-_Receivablewriteoffrate)</f>
        <v>3655.9199999999987</v>
      </c>
      <c r="K153" s="250">
        <f t="shared" ca="1" si="356"/>
        <v>3771.2971383276695</v>
      </c>
      <c r="L153" s="250">
        <f t="shared" ca="1" si="356"/>
        <v>3890.1818032720621</v>
      </c>
      <c r="M153" s="250">
        <f t="shared" ca="1" si="356"/>
        <v>4012.6321455270108</v>
      </c>
      <c r="N153" s="250">
        <f t="shared" ca="1" si="356"/>
        <v>4138.70759879861</v>
      </c>
      <c r="O153" s="250">
        <f t="shared" ca="1" si="356"/>
        <v>4268.4689042654782</v>
      </c>
      <c r="P153" s="250">
        <f t="shared" ca="1" si="356"/>
        <v>4401.978135540221</v>
      </c>
      <c r="Q153" s="250">
        <f t="shared" ca="1" si="356"/>
        <v>4539.2987241420105</v>
      </c>
      <c r="R153" s="250">
        <f t="shared" ca="1" si="356"/>
        <v>4680.4954854903726</v>
      </c>
      <c r="S153" s="250">
        <f t="shared" ca="1" si="356"/>
        <v>4825.6346454304939</v>
      </c>
      <c r="T153" s="250">
        <f t="shared" ca="1" si="356"/>
        <v>4974.7838673005599</v>
      </c>
      <c r="U153" s="250">
        <f t="shared" ca="1" si="356"/>
        <v>5128.0122795518582</v>
      </c>
      <c r="V153" s="250">
        <f t="shared" ca="1" si="356"/>
        <v>7928.085755898871</v>
      </c>
      <c r="W153" s="250">
        <f t="shared" ca="1" si="356"/>
        <v>8170.4860263696964</v>
      </c>
      <c r="X153" s="250">
        <f t="shared" ca="1" si="356"/>
        <v>8419.3297735465785</v>
      </c>
      <c r="Y153" s="250">
        <f t="shared" ca="1" si="356"/>
        <v>8674.7299122506738</v>
      </c>
      <c r="Z153" s="250">
        <f t="shared" ca="1" si="356"/>
        <v>8936.8017751466923</v>
      </c>
      <c r="AA153" s="250">
        <f t="shared" ca="1" si="356"/>
        <v>9205.6631595042873</v>
      </c>
      <c r="AB153" s="250">
        <f t="shared" ca="1" si="356"/>
        <v>9481.4343749106611</v>
      </c>
      <c r="AC153" s="250">
        <f t="shared" ca="1" si="356"/>
        <v>9764.2382919531683</v>
      </c>
      <c r="AD153" s="250">
        <f t="shared" ca="1" si="356"/>
        <v>10054.200391891252</v>
      </c>
      <c r="AE153" s="250">
        <f t="shared" ca="1" si="356"/>
        <v>10351.448817337277</v>
      </c>
      <c r="AF153" s="250">
        <f t="shared" ca="1" si="356"/>
        <v>10656.114423966314</v>
      </c>
      <c r="AG153" s="250">
        <f t="shared" ca="1" si="356"/>
        <v>10968.330833275275</v>
      </c>
      <c r="AH153" s="250">
        <f t="shared" ca="1" si="356"/>
        <v>15050.979315216384</v>
      </c>
      <c r="AI153" s="250">
        <f t="shared" ca="1" si="356"/>
        <v>15487.952932129996</v>
      </c>
      <c r="AJ153" s="250">
        <f t="shared" ca="1" si="356"/>
        <v>15935.55162354268</v>
      </c>
      <c r="AK153" s="250">
        <f t="shared" ca="1" si="356"/>
        <v>16393.969034922811</v>
      </c>
      <c r="AL153" s="250">
        <f t="shared" ca="1" si="356"/>
        <v>16863.402873208346</v>
      </c>
      <c r="AM153" s="250">
        <f t="shared" ca="1" si="356"/>
        <v>17344.054986150612</v>
      </c>
      <c r="AN153" s="250">
        <f t="shared" ca="1" si="356"/>
        <v>17836.131443263839</v>
      </c>
      <c r="AO153" s="250">
        <f t="shared" ca="1" si="356"/>
        <v>18179.780827888022</v>
      </c>
      <c r="AP153" s="250">
        <f t="shared" ref="AP153:BU153" ca="1" si="357">_RepossessedP3*_CapCostP3*(1-_Receivablewriteoffrate)</f>
        <v>18530.67397595655</v>
      </c>
      <c r="AQ153" s="250">
        <f t="shared" ca="1" si="357"/>
        <v>18888.952054980775</v>
      </c>
      <c r="AR153" s="250">
        <f t="shared" ca="1" si="357"/>
        <v>19254.759092899891</v>
      </c>
      <c r="AS153" s="250">
        <f t="shared" ca="1" si="357"/>
        <v>19628.242034918629</v>
      </c>
      <c r="AT153" s="250">
        <f t="shared" ca="1" si="357"/>
        <v>25011.938501856985</v>
      </c>
      <c r="AU153" s="250">
        <f t="shared" ca="1" si="357"/>
        <v>25498.547934293307</v>
      </c>
      <c r="AV153" s="250">
        <f t="shared" ca="1" si="357"/>
        <v>25995.325902891167</v>
      </c>
      <c r="AW153" s="250">
        <f t="shared" ca="1" si="357"/>
        <v>26502.471414898675</v>
      </c>
      <c r="AX153" s="250">
        <f t="shared" ca="1" si="357"/>
        <v>27020.187501343647</v>
      </c>
      <c r="AY153" s="250">
        <f t="shared" ca="1" si="357"/>
        <v>27548.681297072853</v>
      </c>
      <c r="AZ153" s="250">
        <f t="shared" ca="1" si="357"/>
        <v>28088.164122396422</v>
      </c>
      <c r="BA153" s="250">
        <f t="shared" ca="1" si="357"/>
        <v>28638.851566369456</v>
      </c>
      <c r="BB153" s="250">
        <f t="shared" ca="1" si="357"/>
        <v>29200.963571743505</v>
      </c>
      <c r="BC153" s="250">
        <f t="shared" ca="1" si="357"/>
        <v>29774.724521621378</v>
      </c>
      <c r="BD153" s="250">
        <f t="shared" ca="1" si="357"/>
        <v>30360.363327849183</v>
      </c>
      <c r="BE153" s="250">
        <f t="shared" ca="1" si="357"/>
        <v>30958.113521180392</v>
      </c>
      <c r="BF153" s="250">
        <f t="shared" ca="1" si="357"/>
        <v>31568.213343247291</v>
      </c>
      <c r="BG153" s="250">
        <f t="shared" ca="1" si="357"/>
        <v>32190.905840375905</v>
      </c>
      <c r="BH153" s="250">
        <f t="shared" ca="1" si="357"/>
        <v>32826.438959281266</v>
      </c>
      <c r="BI153" s="250">
        <f t="shared" ca="1" si="357"/>
        <v>33475.065644680559</v>
      </c>
      <c r="BJ153" s="250">
        <f t="shared" ca="1" si="357"/>
        <v>34137.043938862502</v>
      </c>
      <c r="BK153" s="250">
        <f t="shared" ca="1" si="357"/>
        <v>34812.637083252026</v>
      </c>
      <c r="BL153" s="250">
        <f t="shared" ca="1" si="357"/>
        <v>35502.113622010009</v>
      </c>
      <c r="BM153" s="250">
        <f t="shared" ca="1" si="357"/>
        <v>36205.747507709035</v>
      </c>
      <c r="BN153" s="250">
        <f t="shared" ca="1" si="357"/>
        <v>36923.818209126272</v>
      </c>
      <c r="BO153" s="250">
        <f t="shared" ca="1" si="357"/>
        <v>37656.610821196016</v>
      </c>
      <c r="BP153" s="250">
        <f t="shared" ca="1" si="357"/>
        <v>38404.416177165098</v>
      </c>
      <c r="BQ153" s="250">
        <f t="shared" ca="1" si="357"/>
        <v>39167.530962994912</v>
      </c>
      <c r="BR153" s="250">
        <f t="shared" ca="1" si="357"/>
        <v>39946.257834055279</v>
      </c>
      <c r="BS153" s="250">
        <f t="shared" ca="1" si="357"/>
        <v>40688.620856879257</v>
      </c>
      <c r="BT153" s="250">
        <f t="shared" ca="1" si="357"/>
        <v>41408.934000014619</v>
      </c>
      <c r="BU153" s="250">
        <f t="shared" ca="1" si="357"/>
        <v>42107.125237269036</v>
      </c>
      <c r="BV153" s="250">
        <f t="shared" ref="BV153:DA153" ca="1" si="358">_RepossessedP3*_CapCostP3*(1-_Receivablewriteoffrate)</f>
        <v>42783.117412212334</v>
      </c>
      <c r="BW153" s="250">
        <f t="shared" ca="1" si="358"/>
        <v>43436.828172468828</v>
      </c>
      <c r="BX153" s="250">
        <f t="shared" ca="1" si="358"/>
        <v>44068.169902326663</v>
      </c>
      <c r="BY153" s="250">
        <f t="shared" ca="1" si="358"/>
        <v>44677.049653633898</v>
      </c>
      <c r="BZ153" s="250">
        <f t="shared" ca="1" si="358"/>
        <v>45263.369074950991</v>
      </c>
      <c r="CA153" s="250">
        <f t="shared" ca="1" si="358"/>
        <v>45827.024338928313</v>
      </c>
      <c r="CB153" s="250">
        <f t="shared" ca="1" si="358"/>
        <v>46367.906067876727</v>
      </c>
      <c r="CC153" s="250">
        <f t="shared" ca="1" si="358"/>
        <v>46885.899257498728</v>
      </c>
      <c r="CD153" s="250">
        <f t="shared" ca="1" si="358"/>
        <v>47380.883198746837</v>
      </c>
      <c r="CE153" s="250">
        <f t="shared" ca="1" si="358"/>
        <v>47852.731397775271</v>
      </c>
      <c r="CF153" s="250">
        <f t="shared" ca="1" si="358"/>
        <v>48301.311493950052</v>
      </c>
      <c r="CG153" s="250">
        <f t="shared" ca="1" si="358"/>
        <v>48726.485175882473</v>
      </c>
      <c r="CH153" s="250">
        <f t="shared" ca="1" si="358"/>
        <v>49128.10809544933</v>
      </c>
      <c r="CI153" s="250">
        <f t="shared" ca="1" si="358"/>
        <v>49506.029779763339</v>
      </c>
      <c r="CJ153" s="250">
        <f t="shared" ca="1" si="358"/>
        <v>49860.09354105591</v>
      </c>
      <c r="CK153" s="250">
        <f t="shared" ca="1" si="358"/>
        <v>50190.136384433696</v>
      </c>
      <c r="CL153" s="250">
        <f t="shared" ca="1" si="358"/>
        <v>50495.988913469802</v>
      </c>
      <c r="CM153" s="250">
        <f t="shared" ca="1" si="358"/>
        <v>50777.475233589459</v>
      </c>
      <c r="CN153" s="250">
        <f t="shared" ca="1" si="358"/>
        <v>51034.412853209345</v>
      </c>
      <c r="CO153" s="250">
        <f t="shared" ca="1" si="358"/>
        <v>51266.612582588474</v>
      </c>
      <c r="CP153" s="250">
        <f t="shared" ca="1" si="358"/>
        <v>51473.878430348355</v>
      </c>
      <c r="CQ153" s="250">
        <f t="shared" ca="1" si="358"/>
        <v>51656.007497618688</v>
      </c>
      <c r="CR153" s="250">
        <f t="shared" ca="1" si="358"/>
        <v>51812.789869764114</v>
      </c>
      <c r="CS153" s="250">
        <f t="shared" ca="1" si="358"/>
        <v>51944.008505646838</v>
      </c>
      <c r="CT153" s="250">
        <f t="shared" ca="1" si="358"/>
        <v>52049.439124378674</v>
      </c>
      <c r="CU153" s="250">
        <f t="shared" ca="1" si="358"/>
        <v>52128.850089515276</v>
      </c>
      <c r="CV153" s="250">
        <f t="shared" ca="1" si="358"/>
        <v>52182.002290644465</v>
      </c>
      <c r="CW153" s="250">
        <f t="shared" ca="1" si="358"/>
        <v>52232.509159107824</v>
      </c>
      <c r="CX153" s="250">
        <f t="shared" ca="1" si="358"/>
        <v>52281.429054667831</v>
      </c>
      <c r="CY153" s="250">
        <f t="shared" ca="1" si="358"/>
        <v>52328.756208969149</v>
      </c>
      <c r="CZ153" s="250">
        <f t="shared" ca="1" si="358"/>
        <v>52374.484478578313</v>
      </c>
      <c r="DA153" s="250">
        <f t="shared" ca="1" si="358"/>
        <v>52418.607340079237</v>
      </c>
      <c r="DB153" s="250">
        <f t="shared" ref="DB153:DY153" ca="1" si="359">_RepossessedP3*_CapCostP3*(1-_Receivablewriteoffrate)</f>
        <v>52461.11788504479</v>
      </c>
      <c r="DC153" s="250">
        <f t="shared" ca="1" si="359"/>
        <v>52502.008814881912</v>
      </c>
      <c r="DD153" s="250">
        <f t="shared" ca="1" si="359"/>
        <v>52541.272435548308</v>
      </c>
      <c r="DE153" s="250">
        <f t="shared" ca="1" si="359"/>
        <v>52578.900652138233</v>
      </c>
      <c r="DF153" s="250">
        <f t="shared" ca="1" si="359"/>
        <v>52614.884963335047</v>
      </c>
      <c r="DG153" s="250">
        <f t="shared" ca="1" si="359"/>
        <v>52649.216455728172</v>
      </c>
      <c r="DH153" s="250">
        <f t="shared" ca="1" si="359"/>
        <v>52681.885797991781</v>
      </c>
      <c r="DI153" s="250">
        <f t="shared" ca="1" si="359"/>
        <v>52712.883234923058</v>
      </c>
      <c r="DJ153" s="250">
        <f t="shared" ca="1" si="359"/>
        <v>52742.19858133715</v>
      </c>
      <c r="DK153" s="250">
        <f t="shared" ca="1" si="359"/>
        <v>52769.821215816257</v>
      </c>
      <c r="DL153" s="250">
        <f t="shared" ca="1" si="359"/>
        <v>52795.740074310321</v>
      </c>
      <c r="DM153" s="250">
        <f t="shared" ca="1" si="359"/>
        <v>52819.943643586368</v>
      </c>
      <c r="DN153" s="250">
        <f t="shared" ca="1" si="359"/>
        <v>52842.419954523924</v>
      </c>
      <c r="DO153" s="250">
        <f t="shared" ca="1" si="359"/>
        <v>52863.156575253473</v>
      </c>
      <c r="DP153" s="250">
        <f t="shared" ca="1" si="359"/>
        <v>52882.140604135122</v>
      </c>
      <c r="DQ153" s="250">
        <f t="shared" ca="1" si="359"/>
        <v>52899.358662574523</v>
      </c>
      <c r="DR153" s="250">
        <f t="shared" ca="1" si="359"/>
        <v>52914.796887673037</v>
      </c>
      <c r="DS153" s="250">
        <f t="shared" ca="1" si="359"/>
        <v>52928.440924708942</v>
      </c>
      <c r="DT153" s="250">
        <f t="shared" ca="1" si="359"/>
        <v>52940.275919446634</v>
      </c>
      <c r="DU153" s="250">
        <f t="shared" ca="1" si="359"/>
        <v>52950.286510270533</v>
      </c>
      <c r="DV153" s="250">
        <f t="shared" ca="1" si="359"/>
        <v>52958.456820140455</v>
      </c>
      <c r="DW153" s="250">
        <f t="shared" ca="1" si="359"/>
        <v>52964.77044836503</v>
      </c>
      <c r="DX153" s="250">
        <f t="shared" ca="1" si="359"/>
        <v>52969.21046218976</v>
      </c>
      <c r="DY153" s="250">
        <f t="shared" ca="1" si="359"/>
        <v>52971.759388196318</v>
      </c>
    </row>
    <row r="154" spans="1:129" s="19" customFormat="1" outlineLevel="2">
      <c r="A154" s="20"/>
      <c r="B154" s="60"/>
      <c r="C154" s="9" t="str">
        <f>'Model Assumptions'!$J$24&amp;" - COGS reduction related to repossessed systems"</f>
        <v>Product 4 - COGS reduction related to repossessed systems</v>
      </c>
      <c r="D154" s="9"/>
      <c r="E154" s="30"/>
      <c r="F154" s="5"/>
      <c r="G154" s="274" t="s">
        <v>625</v>
      </c>
      <c r="H154" s="14"/>
      <c r="I154" s="14"/>
      <c r="J154" s="250">
        <f t="shared" ref="J154:AO154" si="360">_RepossessedP4*_CapCostP4*(1-_Receivablewriteoffrate)</f>
        <v>2911.4999999999995</v>
      </c>
      <c r="K154" s="250">
        <f t="shared" ca="1" si="360"/>
        <v>2994.5856784889911</v>
      </c>
      <c r="L154" s="250">
        <f t="shared" ca="1" si="360"/>
        <v>3080.8001401930928</v>
      </c>
      <c r="M154" s="250">
        <f t="shared" ca="1" si="360"/>
        <v>3170.1912900801531</v>
      </c>
      <c r="N154" s="250">
        <f t="shared" ca="1" si="360"/>
        <v>3262.8081379243431</v>
      </c>
      <c r="O154" s="250">
        <f t="shared" ca="1" si="360"/>
        <v>3358.7008189352118</v>
      </c>
      <c r="P154" s="250">
        <f t="shared" ca="1" si="360"/>
        <v>3457.9206148139938</v>
      </c>
      <c r="Q154" s="250">
        <f t="shared" ca="1" si="360"/>
        <v>3560.5199752455701</v>
      </c>
      <c r="R154" s="250">
        <f t="shared" ca="1" si="360"/>
        <v>3666.5525398346458</v>
      </c>
      <c r="S154" s="250">
        <f t="shared" ca="1" si="360"/>
        <v>3776.0731604948819</v>
      </c>
      <c r="T154" s="250">
        <f t="shared" ca="1" si="360"/>
        <v>3889.1379242999069</v>
      </c>
      <c r="U154" s="250">
        <f t="shared" ca="1" si="360"/>
        <v>4005.8041768053013</v>
      </c>
      <c r="V154" s="250">
        <f t="shared" ca="1" si="360"/>
        <v>6189.1958187762475</v>
      </c>
      <c r="W154" s="250">
        <f t="shared" ca="1" si="360"/>
        <v>6375.2654487785949</v>
      </c>
      <c r="X154" s="250">
        <f t="shared" ca="1" si="360"/>
        <v>6567.0070538900509</v>
      </c>
      <c r="Y154" s="250">
        <f t="shared" ca="1" si="360"/>
        <v>6764.5145677877081</v>
      </c>
      <c r="Z154" s="250">
        <f t="shared" ca="1" si="360"/>
        <v>6967.8839978804508</v>
      </c>
      <c r="AA154" s="250">
        <f t="shared" ca="1" si="360"/>
        <v>7177.2134648330084</v>
      </c>
      <c r="AB154" s="250">
        <f t="shared" ca="1" si="360"/>
        <v>7392.6032428999988</v>
      </c>
      <c r="AC154" s="250">
        <f t="shared" ca="1" si="360"/>
        <v>7614.1558010859553</v>
      </c>
      <c r="AD154" s="250">
        <f t="shared" ca="1" si="360"/>
        <v>7841.975845147681</v>
      </c>
      <c r="AE154" s="250">
        <f t="shared" ca="1" si="360"/>
        <v>8076.1703604555742</v>
      </c>
      <c r="AF154" s="250">
        <f t="shared" ca="1" si="360"/>
        <v>8316.8486557309025</v>
      </c>
      <c r="AG154" s="250">
        <f t="shared" ca="1" si="360"/>
        <v>8564.1224076764083</v>
      </c>
      <c r="AH154" s="250">
        <f t="shared" ca="1" si="360"/>
        <v>11757.474275357124</v>
      </c>
      <c r="AI154" s="250">
        <f t="shared" ca="1" si="360"/>
        <v>11983.313244402681</v>
      </c>
      <c r="AJ154" s="250">
        <f t="shared" ca="1" si="360"/>
        <v>12214.031684030568</v>
      </c>
      <c r="AK154" s="250">
        <f t="shared" ca="1" si="360"/>
        <v>12449.723556740413</v>
      </c>
      <c r="AL154" s="250">
        <f t="shared" ca="1" si="360"/>
        <v>12690.484740550972</v>
      </c>
      <c r="AM154" s="250">
        <f t="shared" ca="1" si="360"/>
        <v>12936.413066947784</v>
      </c>
      <c r="AN154" s="250">
        <f t="shared" ca="1" si="360"/>
        <v>13187.608359593476</v>
      </c>
      <c r="AO154" s="250">
        <f t="shared" ca="1" si="360"/>
        <v>13444.172473815821</v>
      </c>
      <c r="AP154" s="250">
        <f t="shared" ref="AP154:BU154" ca="1" si="361">_RepossessedP4*_CapCostP4*(1-_Receivablewriteoffrate)</f>
        <v>13706.209336889111</v>
      </c>
      <c r="AQ154" s="250">
        <f t="shared" ca="1" si="361"/>
        <v>13973.824989124696</v>
      </c>
      <c r="AR154" s="250">
        <f t="shared" ca="1" si="361"/>
        <v>14247.127625786823</v>
      </c>
      <c r="AS154" s="250">
        <f t="shared" ca="1" si="361"/>
        <v>14526.227639850194</v>
      </c>
      <c r="AT154" s="250">
        <f t="shared" ca="1" si="361"/>
        <v>18514.047082020203</v>
      </c>
      <c r="AU154" s="250">
        <f t="shared" ca="1" si="361"/>
        <v>18877.840779005703</v>
      </c>
      <c r="AV154" s="250">
        <f t="shared" ca="1" si="361"/>
        <v>19249.31220492347</v>
      </c>
      <c r="AW154" s="250">
        <f t="shared" ca="1" si="361"/>
        <v>19628.610895802216</v>
      </c>
      <c r="AX154" s="250">
        <f t="shared" ca="1" si="361"/>
        <v>20015.889418576735</v>
      </c>
      <c r="AY154" s="250">
        <f t="shared" ca="1" si="361"/>
        <v>20411.303431304164</v>
      </c>
      <c r="AZ154" s="250">
        <f t="shared" ca="1" si="361"/>
        <v>20815.011744588595</v>
      </c>
      <c r="BA154" s="250">
        <f t="shared" ca="1" si="361"/>
        <v>21227.17638423813</v>
      </c>
      <c r="BB154" s="250">
        <f t="shared" ca="1" si="361"/>
        <v>21647.962655179075</v>
      </c>
      <c r="BC154" s="250">
        <f t="shared" ca="1" si="361"/>
        <v>22077.539206652284</v>
      </c>
      <c r="BD154" s="250">
        <f t="shared" ca="1" si="361"/>
        <v>22516.078098717266</v>
      </c>
      <c r="BE154" s="250">
        <f t="shared" ca="1" si="361"/>
        <v>22963.754870090233</v>
      </c>
      <c r="BF154" s="250">
        <f t="shared" ca="1" si="361"/>
        <v>23420.748607342673</v>
      </c>
      <c r="BG154" s="250">
        <f t="shared" ca="1" si="361"/>
        <v>23875.269567932799</v>
      </c>
      <c r="BH154" s="250">
        <f t="shared" ca="1" si="361"/>
        <v>24339.046363832324</v>
      </c>
      <c r="BI154" s="250">
        <f t="shared" ca="1" si="361"/>
        <v>24812.262457586443</v>
      </c>
      <c r="BJ154" s="250">
        <f t="shared" ca="1" si="361"/>
        <v>25295.104997532893</v>
      </c>
      <c r="BK154" s="250">
        <f t="shared" ca="1" si="361"/>
        <v>25787.764891352355</v>
      </c>
      <c r="BL154" s="250">
        <f t="shared" ca="1" si="361"/>
        <v>26290.436881091533</v>
      </c>
      <c r="BM154" s="250">
        <f t="shared" ca="1" si="361"/>
        <v>26803.319619688402</v>
      </c>
      <c r="BN154" s="250">
        <f t="shared" ca="1" si="361"/>
        <v>27326.615749029483</v>
      </c>
      <c r="BO154" s="250">
        <f t="shared" ca="1" si="361"/>
        <v>27860.531979569932</v>
      </c>
      <c r="BP154" s="250">
        <f t="shared" ca="1" si="361"/>
        <v>28405.279171547612</v>
      </c>
      <c r="BQ154" s="250">
        <f t="shared" ca="1" si="361"/>
        <v>28961.072417823005</v>
      </c>
      <c r="BR154" s="250">
        <f t="shared" ca="1" si="361"/>
        <v>29528.131128377488</v>
      </c>
      <c r="BS154" s="250">
        <f t="shared" ca="1" si="361"/>
        <v>30074.836712702021</v>
      </c>
      <c r="BT154" s="250">
        <f t="shared" ca="1" si="361"/>
        <v>30601.099051276404</v>
      </c>
      <c r="BU154" s="250">
        <f t="shared" ca="1" si="361"/>
        <v>31106.823052760021</v>
      </c>
      <c r="BV154" s="250">
        <f t="shared" ref="BV154:DA154" ca="1" si="362">_RepossessedP4*_CapCostP4*(1-_Receivablewriteoffrate)</f>
        <v>31591.908586249658</v>
      </c>
      <c r="BW154" s="250">
        <f t="shared" ca="1" si="362"/>
        <v>32056.25041186568</v>
      </c>
      <c r="BX154" s="250">
        <f t="shared" ca="1" si="362"/>
        <v>32499.738109636051</v>
      </c>
      <c r="BY154" s="250">
        <f t="shared" ca="1" si="362"/>
        <v>32922.256006647433</v>
      </c>
      <c r="BZ154" s="250">
        <f t="shared" ca="1" si="362"/>
        <v>33323.683102431794</v>
      </c>
      <c r="CA154" s="250">
        <f t="shared" ca="1" si="362"/>
        <v>33703.892992556262</v>
      </c>
      <c r="CB154" s="250">
        <f t="shared" ca="1" si="362"/>
        <v>34062.753790383402</v>
      </c>
      <c r="CC154" s="250">
        <f t="shared" ca="1" si="362"/>
        <v>34400.128046968253</v>
      </c>
      <c r="CD154" s="250">
        <f t="shared" ca="1" si="362"/>
        <v>34715.872669057972</v>
      </c>
      <c r="CE154" s="250">
        <f t="shared" ca="1" si="362"/>
        <v>35008.898186125334</v>
      </c>
      <c r="CF154" s="250">
        <f t="shared" ca="1" si="362"/>
        <v>35279.956809256131</v>
      </c>
      <c r="CG154" s="250">
        <f t="shared" ca="1" si="362"/>
        <v>35528.887474614407</v>
      </c>
      <c r="CH154" s="250">
        <f t="shared" ca="1" si="362"/>
        <v>35755.523114347066</v>
      </c>
      <c r="CI154" s="250">
        <f t="shared" ca="1" si="362"/>
        <v>35959.690564330907</v>
      </c>
      <c r="CJ154" s="250">
        <f t="shared" ca="1" si="362"/>
        <v>36141.210469796424</v>
      </c>
      <c r="CK154" s="250">
        <f t="shared" ca="1" si="362"/>
        <v>36299.897188788396</v>
      </c>
      <c r="CL154" s="250">
        <f t="shared" ca="1" si="362"/>
        <v>36435.558693423191</v>
      </c>
      <c r="CM154" s="250">
        <f t="shared" ca="1" si="362"/>
        <v>36547.996468901052</v>
      </c>
      <c r="CN154" s="250">
        <f t="shared" ca="1" si="362"/>
        <v>36637.005410231308</v>
      </c>
      <c r="CO154" s="250">
        <f t="shared" ca="1" si="362"/>
        <v>36702.373716627611</v>
      </c>
      <c r="CP154" s="250">
        <f t="shared" ca="1" si="362"/>
        <v>36743.882783528854</v>
      </c>
      <c r="CQ154" s="250">
        <f t="shared" ca="1" si="362"/>
        <v>36783.823184756933</v>
      </c>
      <c r="CR154" s="250">
        <f t="shared" ca="1" si="362"/>
        <v>36822.187535468482</v>
      </c>
      <c r="CS154" s="250">
        <f t="shared" ca="1" si="362"/>
        <v>36858.968063238593</v>
      </c>
      <c r="CT154" s="250">
        <f t="shared" ca="1" si="362"/>
        <v>36894.156602707975</v>
      </c>
      <c r="CU154" s="250">
        <f t="shared" ca="1" si="362"/>
        <v>36927.744590099202</v>
      </c>
      <c r="CV154" s="250">
        <f t="shared" ca="1" si="362"/>
        <v>36959.723057599367</v>
      </c>
      <c r="CW154" s="250">
        <f t="shared" ca="1" si="362"/>
        <v>36990.082627607051</v>
      </c>
      <c r="CX154" s="250">
        <f t="shared" ca="1" si="362"/>
        <v>37018.813506840808</v>
      </c>
      <c r="CY154" s="250">
        <f t="shared" ca="1" si="362"/>
        <v>37045.90548030693</v>
      </c>
      <c r="CZ154" s="250">
        <f t="shared" ca="1" si="362"/>
        <v>37071.347905123563</v>
      </c>
      <c r="DA154" s="250">
        <f t="shared" ca="1" si="362"/>
        <v>37095.129704198909</v>
      </c>
      <c r="DB154" s="250">
        <f t="shared" ref="DB154:DY154" ca="1" si="363">_RepossessedP4*_CapCostP4*(1-_Receivablewriteoffrate)</f>
        <v>37117.239359760533</v>
      </c>
      <c r="DC154" s="250">
        <f t="shared" ca="1" si="363"/>
        <v>37137.591001994711</v>
      </c>
      <c r="DD154" s="250">
        <f t="shared" ca="1" si="363"/>
        <v>37156.243460711274</v>
      </c>
      <c r="DE154" s="250">
        <f t="shared" ca="1" si="363"/>
        <v>37173.183814403485</v>
      </c>
      <c r="DF154" s="250">
        <f t="shared" ca="1" si="363"/>
        <v>37188.398672512842</v>
      </c>
      <c r="DG154" s="250">
        <f t="shared" ca="1" si="363"/>
        <v>37201.874168154245</v>
      </c>
      <c r="DH154" s="250">
        <f t="shared" ca="1" si="363"/>
        <v>37213.595950674659</v>
      </c>
      <c r="DI154" s="250">
        <f t="shared" ca="1" si="363"/>
        <v>37223.549178041991</v>
      </c>
      <c r="DJ154" s="250">
        <f t="shared" ca="1" si="363"/>
        <v>37231.718509061218</v>
      </c>
      <c r="DK154" s="250">
        <f t="shared" ca="1" si="363"/>
        <v>37238.088095414329</v>
      </c>
      <c r="DL154" s="250">
        <f t="shared" ca="1" si="363"/>
        <v>37242.641573520865</v>
      </c>
      <c r="DM154" s="250">
        <f t="shared" ca="1" si="363"/>
        <v>37245.362056215636</v>
      </c>
      <c r="DN154" s="250">
        <f t="shared" ca="1" si="363"/>
        <v>37246.232124240138</v>
      </c>
      <c r="DO154" s="250">
        <f t="shared" ca="1" si="363"/>
        <v>37247.002857717933</v>
      </c>
      <c r="DP154" s="250">
        <f t="shared" ca="1" si="363"/>
        <v>37247.673437317178</v>
      </c>
      <c r="DQ154" s="250">
        <f t="shared" ca="1" si="363"/>
        <v>37248.243015645763</v>
      </c>
      <c r="DR154" s="250">
        <f t="shared" ca="1" si="363"/>
        <v>37248.710716806912</v>
      </c>
      <c r="DS154" s="250">
        <f t="shared" ca="1" si="363"/>
        <v>37249.075635944617</v>
      </c>
      <c r="DT154" s="250">
        <f t="shared" ca="1" si="363"/>
        <v>37249.336838778865</v>
      </c>
      <c r="DU154" s="250">
        <f t="shared" ca="1" si="363"/>
        <v>37249.493361130459</v>
      </c>
      <c r="DV154" s="250">
        <f t="shared" ca="1" si="363"/>
        <v>37249.544208435138</v>
      </c>
      <c r="DW154" s="250">
        <f t="shared" ca="1" si="363"/>
        <v>37249.488355246896</v>
      </c>
      <c r="DX154" s="250">
        <f t="shared" ca="1" si="363"/>
        <v>37249.324744730286</v>
      </c>
      <c r="DY154" s="250">
        <f t="shared" ca="1" si="363"/>
        <v>37249.052288141364</v>
      </c>
    </row>
    <row r="155" spans="1:129" s="19" customFormat="1" outlineLevel="2">
      <c r="A155" s="20"/>
      <c r="B155" s="60"/>
      <c r="C155" s="9" t="str">
        <f>'Model Assumptions'!$K$24&amp;" - COGS reduction related to repossessed systems"</f>
        <v>Product 5 - COGS reduction related to repossessed systems</v>
      </c>
      <c r="D155" s="9"/>
      <c r="E155" s="30"/>
      <c r="F155" s="5"/>
      <c r="G155" s="274" t="s">
        <v>625</v>
      </c>
      <c r="H155" s="14"/>
      <c r="I155" s="14"/>
      <c r="J155" s="250">
        <f t="shared" ref="J155:AO155" si="364">_RepossessedP5*_CapCostP5*(1-_Receivablewriteoffrate)</f>
        <v>97.049999999999983</v>
      </c>
      <c r="K155" s="250">
        <f t="shared" ca="1" si="364"/>
        <v>192.21112261629966</v>
      </c>
      <c r="L155" s="250">
        <f t="shared" ca="1" si="364"/>
        <v>288.40045400643641</v>
      </c>
      <c r="M155" s="250">
        <f t="shared" ca="1" si="364"/>
        <v>385.64730848267169</v>
      </c>
      <c r="N155" s="250">
        <f t="shared" ca="1" si="364"/>
        <v>483.98149914214474</v>
      </c>
      <c r="O155" s="250">
        <f t="shared" ca="1" si="364"/>
        <v>583.43334871758316</v>
      </c>
      <c r="P155" s="250">
        <f t="shared" ca="1" si="364"/>
        <v>684.03370063627824</v>
      </c>
      <c r="Q155" s="250">
        <f t="shared" ca="1" si="364"/>
        <v>785.81393029157789</v>
      </c>
      <c r="R155" s="250">
        <f t="shared" ca="1" si="364"/>
        <v>888.80595653123157</v>
      </c>
      <c r="S155" s="250">
        <f t="shared" ca="1" si="364"/>
        <v>993.04225336701415</v>
      </c>
      <c r="T155" s="250">
        <f t="shared" ca="1" si="364"/>
        <v>1098.5558619101348</v>
      </c>
      <c r="U155" s="250">
        <f t="shared" ca="1" si="364"/>
        <v>1205.3804025370341</v>
      </c>
      <c r="V155" s="250">
        <f t="shared" ca="1" si="364"/>
        <v>1970.3251309353886</v>
      </c>
      <c r="W155" s="250">
        <f t="shared" ca="1" si="364"/>
        <v>2134.6495987787953</v>
      </c>
      <c r="X155" s="250">
        <f t="shared" ca="1" si="364"/>
        <v>2301.0971576483348</v>
      </c>
      <c r="Y155" s="250">
        <f t="shared" ca="1" si="364"/>
        <v>2469.7219033478359</v>
      </c>
      <c r="Z155" s="250">
        <f t="shared" ca="1" si="364"/>
        <v>2640.5788972573728</v>
      </c>
      <c r="AA155" s="250">
        <f t="shared" ca="1" si="364"/>
        <v>2813.724186808186</v>
      </c>
      <c r="AB155" s="250">
        <f t="shared" ca="1" si="364"/>
        <v>2989.21482635547</v>
      </c>
      <c r="AC155" s="250">
        <f t="shared" ca="1" si="364"/>
        <v>3167.1088984570993</v>
      </c>
      <c r="AD155" s="250">
        <f t="shared" ca="1" si="364"/>
        <v>3347.4655355665273</v>
      </c>
      <c r="AE155" s="250">
        <f t="shared" ca="1" si="364"/>
        <v>3530.3449421482528</v>
      </c>
      <c r="AF155" s="250">
        <f t="shared" ca="1" si="364"/>
        <v>3715.8084172244189</v>
      </c>
      <c r="AG155" s="250">
        <f t="shared" ca="1" si="364"/>
        <v>3903.9183773612867</v>
      </c>
      <c r="AH155" s="250">
        <f t="shared" ca="1" si="364"/>
        <v>5459.65117347264</v>
      </c>
      <c r="AI155" s="250">
        <f t="shared" ca="1" si="364"/>
        <v>5583.0518584962119</v>
      </c>
      <c r="AJ155" s="250">
        <f t="shared" ca="1" si="364"/>
        <v>5708.787466805944</v>
      </c>
      <c r="AK155" s="250">
        <f t="shared" ca="1" si="364"/>
        <v>5836.9060277716999</v>
      </c>
      <c r="AL155" s="250">
        <f t="shared" ca="1" si="364"/>
        <v>5967.4565180416994</v>
      </c>
      <c r="AM155" s="250">
        <f t="shared" ca="1" si="364"/>
        <v>6100.488880621182</v>
      </c>
      <c r="AN155" s="250">
        <f t="shared" ca="1" si="364"/>
        <v>6236.054044331293</v>
      </c>
      <c r="AO155" s="250">
        <f t="shared" ca="1" si="364"/>
        <v>6374.2039436558543</v>
      </c>
      <c r="AP155" s="250">
        <f t="shared" ref="AP155:BU155" ca="1" si="365">_RepossessedP5*_CapCostP5*(1-_Receivablewriteoffrate)</f>
        <v>6514.9915389837561</v>
      </c>
      <c r="AQ155" s="250">
        <f t="shared" ca="1" si="365"/>
        <v>6658.4708372548939</v>
      </c>
      <c r="AR155" s="250">
        <f t="shared" ca="1" si="365"/>
        <v>6804.6969130177677</v>
      </c>
      <c r="AS155" s="250">
        <f t="shared" ca="1" si="365"/>
        <v>6953.7259299069474</v>
      </c>
      <c r="AT155" s="250">
        <f t="shared" ca="1" si="365"/>
        <v>8882.0189531860633</v>
      </c>
      <c r="AU155" s="250">
        <f t="shared" ca="1" si="365"/>
        <v>9075.5287736304745</v>
      </c>
      <c r="AV155" s="250">
        <f t="shared" ca="1" si="365"/>
        <v>9272.7613288215016</v>
      </c>
      <c r="AW155" s="250">
        <f t="shared" ca="1" si="365"/>
        <v>9473.7925480706981</v>
      </c>
      <c r="AX155" s="250">
        <f t="shared" ca="1" si="365"/>
        <v>9678.6998645296826</v>
      </c>
      <c r="AY155" s="250">
        <f t="shared" ca="1" si="365"/>
        <v>9887.5622454144068</v>
      </c>
      <c r="AZ155" s="250">
        <f t="shared" ca="1" si="365"/>
        <v>10100.460222832417</v>
      </c>
      <c r="BA155" s="250">
        <f t="shared" ca="1" si="365"/>
        <v>10317.475925225224</v>
      </c>
      <c r="BB155" s="250">
        <f t="shared" ca="1" si="365"/>
        <v>10538.693109438058</v>
      </c>
      <c r="BC155" s="250">
        <f t="shared" ca="1" si="365"/>
        <v>10764.197193429602</v>
      </c>
      <c r="BD155" s="250">
        <f t="shared" ca="1" si="365"/>
        <v>10994.07528963448</v>
      </c>
      <c r="BE155" s="250">
        <f t="shared" ca="1" si="365"/>
        <v>11228.416238991629</v>
      </c>
      <c r="BF155" s="250">
        <f t="shared" ca="1" si="365"/>
        <v>11467.310645651809</v>
      </c>
      <c r="BG155" s="250">
        <f t="shared" ca="1" si="365"/>
        <v>11697.619535440934</v>
      </c>
      <c r="BH155" s="250">
        <f t="shared" ca="1" si="365"/>
        <v>11932.525858789817</v>
      </c>
      <c r="BI155" s="250">
        <f t="shared" ca="1" si="365"/>
        <v>12172.121651812007</v>
      </c>
      <c r="BJ155" s="250">
        <f t="shared" ca="1" si="365"/>
        <v>12416.500790468914</v>
      </c>
      <c r="BK155" s="250">
        <f t="shared" ca="1" si="365"/>
        <v>12665.759027375487</v>
      </c>
      <c r="BL155" s="250">
        <f t="shared" ca="1" si="365"/>
        <v>12919.994029341953</v>
      </c>
      <c r="BM155" s="250">
        <f t="shared" ca="1" si="365"/>
        <v>13179.305415666293</v>
      </c>
      <c r="BN155" s="250">
        <f t="shared" ca="1" si="365"/>
        <v>13443.79479719248</v>
      </c>
      <c r="BO155" s="250">
        <f t="shared" ca="1" si="365"/>
        <v>13713.565816149796</v>
      </c>
      <c r="BP155" s="250">
        <f t="shared" ca="1" si="365"/>
        <v>13988.724186788857</v>
      </c>
      <c r="BQ155" s="250">
        <f t="shared" ca="1" si="365"/>
        <v>14269.377736830271</v>
      </c>
      <c r="BR155" s="250">
        <f t="shared" ca="1" si="365"/>
        <v>14555.636449742191</v>
      </c>
      <c r="BS155" s="250">
        <f t="shared" ca="1" si="365"/>
        <v>14831.691305962788</v>
      </c>
      <c r="BT155" s="250">
        <f t="shared" ca="1" si="365"/>
        <v>15097.497518667731</v>
      </c>
      <c r="BU155" s="250">
        <f t="shared" ca="1" si="365"/>
        <v>15353.007812393107</v>
      </c>
      <c r="BV155" s="250">
        <f t="shared" ref="BV155:DA155" ca="1" si="366">_RepossessedP5*_CapCostP5*(1-_Receivablewriteoffrate)</f>
        <v>15598.172389191664</v>
      </c>
      <c r="BW155" s="250">
        <f t="shared" ca="1" si="366"/>
        <v>15832.938893952873</v>
      </c>
      <c r="BX155" s="250">
        <f t="shared" ca="1" si="366"/>
        <v>16057.252378871721</v>
      </c>
      <c r="BY155" s="250">
        <f t="shared" ca="1" si="366"/>
        <v>16271.055267050744</v>
      </c>
      <c r="BZ155" s="250">
        <f t="shared" ca="1" si="366"/>
        <v>16474.287315219517</v>
      </c>
      <c r="CA155" s="250">
        <f t="shared" ca="1" si="366"/>
        <v>16666.885575555581</v>
      </c>
      <c r="CB155" s="250">
        <f t="shared" ca="1" si="366"/>
        <v>16848.78435659024</v>
      </c>
      <c r="CC155" s="250">
        <f t="shared" ca="1" si="366"/>
        <v>17019.915183182551</v>
      </c>
      <c r="CD155" s="250">
        <f t="shared" ca="1" si="366"/>
        <v>17180.206755544295</v>
      </c>
      <c r="CE155" s="250">
        <f t="shared" ca="1" si="366"/>
        <v>17328.545346935258</v>
      </c>
      <c r="CF155" s="250">
        <f t="shared" ca="1" si="366"/>
        <v>17465.88223302937</v>
      </c>
      <c r="CG155" s="250">
        <f t="shared" ca="1" si="366"/>
        <v>17592.137064491937</v>
      </c>
      <c r="CH155" s="250">
        <f t="shared" ca="1" si="366"/>
        <v>17707.226488153858</v>
      </c>
      <c r="CI155" s="250">
        <f t="shared" ca="1" si="366"/>
        <v>17811.064100903419</v>
      </c>
      <c r="CJ155" s="250">
        <f t="shared" ca="1" si="366"/>
        <v>17903.560402516236</v>
      </c>
      <c r="CK155" s="250">
        <f t="shared" ca="1" si="366"/>
        <v>17984.622747403482</v>
      </c>
      <c r="CL155" s="250">
        <f t="shared" ca="1" si="366"/>
        <v>18054.155295258228</v>
      </c>
      <c r="CM155" s="250">
        <f t="shared" ca="1" si="366"/>
        <v>18112.058960579128</v>
      </c>
      <c r="CN155" s="250">
        <f t="shared" ca="1" si="366"/>
        <v>18158.231361050417</v>
      </c>
      <c r="CO155" s="250">
        <f t="shared" ca="1" si="366"/>
        <v>18192.566764756652</v>
      </c>
      <c r="CP155" s="250">
        <f t="shared" ca="1" si="366"/>
        <v>18214.956036210289</v>
      </c>
      <c r="CQ155" s="250">
        <f t="shared" ca="1" si="366"/>
        <v>18236.544627447307</v>
      </c>
      <c r="CR155" s="250">
        <f t="shared" ca="1" si="366"/>
        <v>18257.329009519839</v>
      </c>
      <c r="CS155" s="250">
        <f t="shared" ca="1" si="366"/>
        <v>18277.305458054481</v>
      </c>
      <c r="CT155" s="250">
        <f t="shared" ca="1" si="366"/>
        <v>18296.470050592266</v>
      </c>
      <c r="CU155" s="250">
        <f t="shared" ca="1" si="366"/>
        <v>18314.818663862934</v>
      </c>
      <c r="CV155" s="250">
        <f t="shared" ca="1" si="366"/>
        <v>18332.34697099233</v>
      </c>
      <c r="CW155" s="250">
        <f t="shared" ca="1" si="366"/>
        <v>18349.050438641683</v>
      </c>
      <c r="CX155" s="250">
        <f t="shared" ca="1" si="366"/>
        <v>18364.924324077623</v>
      </c>
      <c r="CY155" s="250">
        <f t="shared" ca="1" si="366"/>
        <v>18379.963672171551</v>
      </c>
      <c r="CZ155" s="250">
        <f t="shared" ca="1" si="366"/>
        <v>18394.163312327128</v>
      </c>
      <c r="DA155" s="250">
        <f t="shared" ca="1" si="366"/>
        <v>18407.517855334594</v>
      </c>
      <c r="DB155" s="250">
        <f t="shared" ref="DB155:DY155" ca="1" si="367">_RepossessedP5*_CapCostP5*(1-_Receivablewriteoffrate)</f>
        <v>18420.02169015049</v>
      </c>
      <c r="DC155" s="250">
        <f t="shared" ca="1" si="367"/>
        <v>18431.587304616169</v>
      </c>
      <c r="DD155" s="250">
        <f t="shared" ca="1" si="367"/>
        <v>18442.289429389552</v>
      </c>
      <c r="DE155" s="250">
        <f t="shared" ca="1" si="367"/>
        <v>18452.121742696607</v>
      </c>
      <c r="DF155" s="250">
        <f t="shared" ca="1" si="367"/>
        <v>18461.077686847628</v>
      </c>
      <c r="DG155" s="250">
        <f t="shared" ca="1" si="367"/>
        <v>18469.150464613715</v>
      </c>
      <c r="DH155" s="250">
        <f t="shared" ca="1" si="367"/>
        <v>18476.333035519845</v>
      </c>
      <c r="DI155" s="250">
        <f t="shared" ca="1" si="367"/>
        <v>18482.618112052976</v>
      </c>
      <c r="DJ155" s="250">
        <f t="shared" ca="1" si="367"/>
        <v>18487.998155783564</v>
      </c>
      <c r="DK155" s="250">
        <f t="shared" ca="1" si="367"/>
        <v>18492.465373398878</v>
      </c>
      <c r="DL155" s="250">
        <f t="shared" ca="1" si="367"/>
        <v>18496.011712646523</v>
      </c>
      <c r="DM155" s="250">
        <f t="shared" ca="1" si="367"/>
        <v>18498.628858186334</v>
      </c>
      <c r="DN155" s="250">
        <f t="shared" ca="1" si="367"/>
        <v>18500.308227349087</v>
      </c>
      <c r="DO155" s="250">
        <f t="shared" ca="1" si="367"/>
        <v>18501.925485886994</v>
      </c>
      <c r="DP155" s="250">
        <f t="shared" ca="1" si="367"/>
        <v>18503.480348567624</v>
      </c>
      <c r="DQ155" s="250">
        <f t="shared" ca="1" si="367"/>
        <v>18504.972514884117</v>
      </c>
      <c r="DR155" s="250">
        <f t="shared" ca="1" si="367"/>
        <v>18506.401668845367</v>
      </c>
      <c r="DS155" s="250">
        <f t="shared" ca="1" si="367"/>
        <v>18507.767478761092</v>
      </c>
      <c r="DT155" s="250">
        <f t="shared" ca="1" si="367"/>
        <v>18509.069597021622</v>
      </c>
      <c r="DU155" s="250">
        <f t="shared" ca="1" si="367"/>
        <v>18510.307659872389</v>
      </c>
      <c r="DV155" s="250">
        <f t="shared" ca="1" si="367"/>
        <v>18511.481287182953</v>
      </c>
      <c r="DW155" s="250">
        <f t="shared" ca="1" si="367"/>
        <v>18512.590082210467</v>
      </c>
      <c r="DX155" s="250">
        <f t="shared" ca="1" si="367"/>
        <v>18513.633631357578</v>
      </c>
      <c r="DY155" s="250">
        <f t="shared" ca="1" si="367"/>
        <v>18514.611503924483</v>
      </c>
    </row>
    <row r="156" spans="1:129" s="19" customFormat="1" outlineLevel="2">
      <c r="A156" s="20"/>
      <c r="B156" s="60"/>
      <c r="C156" s="9" t="s">
        <v>614</v>
      </c>
      <c r="D156" s="9"/>
      <c r="E156" s="30"/>
      <c r="F156" s="5"/>
      <c r="G156" s="287" t="s">
        <v>627</v>
      </c>
      <c r="H156" s="14"/>
      <c r="I156" s="14"/>
      <c r="J156" s="249">
        <f ca="1">IF('Model Assumptions'!$D$41="USD",SUM(J146:J155)*_currencyeffect-SUM(J146:J155),0)</f>
        <v>0</v>
      </c>
      <c r="K156" s="249">
        <f ca="1">IF('Model Assumptions'!$D$41="USD",SUM(K146:K155)*_currencyeffect-SUM(K146:K155),0)</f>
        <v>0</v>
      </c>
      <c r="L156" s="249">
        <f ca="1">IF('Model Assumptions'!$D$41="USD",SUM(L146:L155)*_currencyeffect-SUM(L146:L155),0)</f>
        <v>0</v>
      </c>
      <c r="M156" s="249">
        <f ca="1">IF('Model Assumptions'!$D$41="USD",SUM(M146:M155)*_currencyeffect-SUM(M146:M155),0)</f>
        <v>0</v>
      </c>
      <c r="N156" s="249">
        <f ca="1">IF('Model Assumptions'!$D$41="USD",SUM(N146:N155)*_currencyeffect-SUM(N146:N155),0)</f>
        <v>0</v>
      </c>
      <c r="O156" s="249">
        <f ca="1">IF('Model Assumptions'!$D$41="USD",SUM(O146:O155)*_currencyeffect-SUM(O146:O155),0)</f>
        <v>0</v>
      </c>
      <c r="P156" s="249">
        <f ca="1">IF('Model Assumptions'!$D$41="USD",SUM(P146:P155)*_currencyeffect-SUM(P146:P155),0)</f>
        <v>0</v>
      </c>
      <c r="Q156" s="249">
        <f ca="1">IF('Model Assumptions'!$D$41="USD",SUM(Q146:Q155)*_currencyeffect-SUM(Q146:Q155),0)</f>
        <v>0</v>
      </c>
      <c r="R156" s="249">
        <f ca="1">IF('Model Assumptions'!$D$41="USD",SUM(R146:R155)*_currencyeffect-SUM(R146:R155),0)</f>
        <v>0</v>
      </c>
      <c r="S156" s="249">
        <f ca="1">IF('Model Assumptions'!$D$41="USD",SUM(S146:S155)*_currencyeffect-SUM(S146:S155),0)</f>
        <v>0</v>
      </c>
      <c r="T156" s="249">
        <f ca="1">IF('Model Assumptions'!$D$41="USD",SUM(T146:T155)*_currencyeffect-SUM(T146:T155),0)</f>
        <v>0</v>
      </c>
      <c r="U156" s="249">
        <f ca="1">IF('Model Assumptions'!$D$41="USD",SUM(U146:U155)*_currencyeffect-SUM(U146:U155),0)</f>
        <v>0</v>
      </c>
      <c r="V156" s="249">
        <f ca="1">IF('Model Assumptions'!$D$41="USD",SUM(V146:V155)*_currencyeffect-SUM(V146:V155),0)</f>
        <v>0</v>
      </c>
      <c r="W156" s="249">
        <f ca="1">IF('Model Assumptions'!$D$41="USD",SUM(W146:W155)*_currencyeffect-SUM(W146:W155),0)</f>
        <v>0</v>
      </c>
      <c r="X156" s="249">
        <f ca="1">IF('Model Assumptions'!$D$41="USD",SUM(X146:X155)*_currencyeffect-SUM(X146:X155),0)</f>
        <v>0</v>
      </c>
      <c r="Y156" s="249">
        <f ca="1">IF('Model Assumptions'!$D$41="USD",SUM(Y146:Y155)*_currencyeffect-SUM(Y146:Y155),0)</f>
        <v>0</v>
      </c>
      <c r="Z156" s="249">
        <f ca="1">IF('Model Assumptions'!$D$41="USD",SUM(Z146:Z155)*_currencyeffect-SUM(Z146:Z155),0)</f>
        <v>0</v>
      </c>
      <c r="AA156" s="249">
        <f ca="1">IF('Model Assumptions'!$D$41="USD",SUM(AA146:AA155)*_currencyeffect-SUM(AA146:AA155),0)</f>
        <v>0</v>
      </c>
      <c r="AB156" s="249">
        <f ca="1">IF('Model Assumptions'!$D$41="USD",SUM(AB146:AB155)*_currencyeffect-SUM(AB146:AB155),0)</f>
        <v>0</v>
      </c>
      <c r="AC156" s="249">
        <f ca="1">IF('Model Assumptions'!$D$41="USD",SUM(AC146:AC155)*_currencyeffect-SUM(AC146:AC155),0)</f>
        <v>0</v>
      </c>
      <c r="AD156" s="249">
        <f ca="1">IF('Model Assumptions'!$D$41="USD",SUM(AD146:AD155)*_currencyeffect-SUM(AD146:AD155),0)</f>
        <v>0</v>
      </c>
      <c r="AE156" s="249">
        <f ca="1">IF('Model Assumptions'!$D$41="USD",SUM(AE146:AE155)*_currencyeffect-SUM(AE146:AE155),0)</f>
        <v>0</v>
      </c>
      <c r="AF156" s="249">
        <f ca="1">IF('Model Assumptions'!$D$41="USD",SUM(AF146:AF155)*_currencyeffect-SUM(AF146:AF155),0)</f>
        <v>0</v>
      </c>
      <c r="AG156" s="249">
        <f ca="1">IF('Model Assumptions'!$D$41="USD",SUM(AG146:AG155)*_currencyeffect-SUM(AG146:AG155),0)</f>
        <v>0</v>
      </c>
      <c r="AH156" s="249">
        <f ca="1">IF('Model Assumptions'!$D$41="USD",SUM(AH146:AH155)*_currencyeffect-SUM(AH146:AH155),0)</f>
        <v>0</v>
      </c>
      <c r="AI156" s="249">
        <f ca="1">IF('Model Assumptions'!$D$41="USD",SUM(AI146:AI155)*_currencyeffect-SUM(AI146:AI155),0)</f>
        <v>0</v>
      </c>
      <c r="AJ156" s="249">
        <f ca="1">IF('Model Assumptions'!$D$41="USD",SUM(AJ146:AJ155)*_currencyeffect-SUM(AJ146:AJ155),0)</f>
        <v>0</v>
      </c>
      <c r="AK156" s="249">
        <f ca="1">IF('Model Assumptions'!$D$41="USD",SUM(AK146:AK155)*_currencyeffect-SUM(AK146:AK155),0)</f>
        <v>0</v>
      </c>
      <c r="AL156" s="249">
        <f ca="1">IF('Model Assumptions'!$D$41="USD",SUM(AL146:AL155)*_currencyeffect-SUM(AL146:AL155),0)</f>
        <v>0</v>
      </c>
      <c r="AM156" s="249">
        <f ca="1">IF('Model Assumptions'!$D$41="USD",SUM(AM146:AM155)*_currencyeffect-SUM(AM146:AM155),0)</f>
        <v>0</v>
      </c>
      <c r="AN156" s="249">
        <f ca="1">IF('Model Assumptions'!$D$41="USD",SUM(AN146:AN155)*_currencyeffect-SUM(AN146:AN155),0)</f>
        <v>0</v>
      </c>
      <c r="AO156" s="249">
        <f ca="1">IF('Model Assumptions'!$D$41="USD",SUM(AO146:AO155)*_currencyeffect-SUM(AO146:AO155),0)</f>
        <v>0</v>
      </c>
      <c r="AP156" s="249">
        <f ca="1">IF('Model Assumptions'!$D$41="USD",SUM(AP146:AP155)*_currencyeffect-SUM(AP146:AP155),0)</f>
        <v>0</v>
      </c>
      <c r="AQ156" s="249">
        <f ca="1">IF('Model Assumptions'!$D$41="USD",SUM(AQ146:AQ155)*_currencyeffect-SUM(AQ146:AQ155),0)</f>
        <v>0</v>
      </c>
      <c r="AR156" s="249">
        <f ca="1">IF('Model Assumptions'!$D$41="USD",SUM(AR146:AR155)*_currencyeffect-SUM(AR146:AR155),0)</f>
        <v>0</v>
      </c>
      <c r="AS156" s="249">
        <f ca="1">IF('Model Assumptions'!$D$41="USD",SUM(AS146:AS155)*_currencyeffect-SUM(AS146:AS155),0)</f>
        <v>0</v>
      </c>
      <c r="AT156" s="249">
        <f ca="1">IF('Model Assumptions'!$D$41="USD",SUM(AT146:AT155)*_currencyeffect-SUM(AT146:AT155),0)</f>
        <v>0</v>
      </c>
      <c r="AU156" s="249">
        <f ca="1">IF('Model Assumptions'!$D$41="USD",SUM(AU146:AU155)*_currencyeffect-SUM(AU146:AU155),0)</f>
        <v>0</v>
      </c>
      <c r="AV156" s="249">
        <f ca="1">IF('Model Assumptions'!$D$41="USD",SUM(AV146:AV155)*_currencyeffect-SUM(AV146:AV155),0)</f>
        <v>0</v>
      </c>
      <c r="AW156" s="249">
        <f ca="1">IF('Model Assumptions'!$D$41="USD",SUM(AW146:AW155)*_currencyeffect-SUM(AW146:AW155),0)</f>
        <v>0</v>
      </c>
      <c r="AX156" s="249">
        <f ca="1">IF('Model Assumptions'!$D$41="USD",SUM(AX146:AX155)*_currencyeffect-SUM(AX146:AX155),0)</f>
        <v>0</v>
      </c>
      <c r="AY156" s="249">
        <f ca="1">IF('Model Assumptions'!$D$41="USD",SUM(AY146:AY155)*_currencyeffect-SUM(AY146:AY155),0)</f>
        <v>0</v>
      </c>
      <c r="AZ156" s="249">
        <f ca="1">IF('Model Assumptions'!$D$41="USD",SUM(AZ146:AZ155)*_currencyeffect-SUM(AZ146:AZ155),0)</f>
        <v>0</v>
      </c>
      <c r="BA156" s="249">
        <f ca="1">IF('Model Assumptions'!$D$41="USD",SUM(BA146:BA155)*_currencyeffect-SUM(BA146:BA155),0)</f>
        <v>0</v>
      </c>
      <c r="BB156" s="249">
        <f ca="1">IF('Model Assumptions'!$D$41="USD",SUM(BB146:BB155)*_currencyeffect-SUM(BB146:BB155),0)</f>
        <v>0</v>
      </c>
      <c r="BC156" s="249">
        <f ca="1">IF('Model Assumptions'!$D$41="USD",SUM(BC146:BC155)*_currencyeffect-SUM(BC146:BC155),0)</f>
        <v>0</v>
      </c>
      <c r="BD156" s="249">
        <f ca="1">IF('Model Assumptions'!$D$41="USD",SUM(BD146:BD155)*_currencyeffect-SUM(BD146:BD155),0)</f>
        <v>0</v>
      </c>
      <c r="BE156" s="249">
        <f ca="1">IF('Model Assumptions'!$D$41="USD",SUM(BE146:BE155)*_currencyeffect-SUM(BE146:BE155),0)</f>
        <v>0</v>
      </c>
      <c r="BF156" s="249">
        <f ca="1">IF('Model Assumptions'!$D$41="USD",SUM(BF146:BF155)*_currencyeffect-SUM(BF146:BF155),0)</f>
        <v>0</v>
      </c>
      <c r="BG156" s="249">
        <f ca="1">IF('Model Assumptions'!$D$41="USD",SUM(BG146:BG155)*_currencyeffect-SUM(BG146:BG155),0)</f>
        <v>0</v>
      </c>
      <c r="BH156" s="249">
        <f ca="1">IF('Model Assumptions'!$D$41="USD",SUM(BH146:BH155)*_currencyeffect-SUM(BH146:BH155),0)</f>
        <v>0</v>
      </c>
      <c r="BI156" s="249">
        <f ca="1">IF('Model Assumptions'!$D$41="USD",SUM(BI146:BI155)*_currencyeffect-SUM(BI146:BI155),0)</f>
        <v>0</v>
      </c>
      <c r="BJ156" s="249">
        <f ca="1">IF('Model Assumptions'!$D$41="USD",SUM(BJ146:BJ155)*_currencyeffect-SUM(BJ146:BJ155),0)</f>
        <v>0</v>
      </c>
      <c r="BK156" s="249">
        <f ca="1">IF('Model Assumptions'!$D$41="USD",SUM(BK146:BK155)*_currencyeffect-SUM(BK146:BK155),0)</f>
        <v>0</v>
      </c>
      <c r="BL156" s="249">
        <f ca="1">IF('Model Assumptions'!$D$41="USD",SUM(BL146:BL155)*_currencyeffect-SUM(BL146:BL155),0)</f>
        <v>0</v>
      </c>
      <c r="BM156" s="249">
        <f ca="1">IF('Model Assumptions'!$D$41="USD",SUM(BM146:BM155)*_currencyeffect-SUM(BM146:BM155),0)</f>
        <v>0</v>
      </c>
      <c r="BN156" s="249">
        <f ca="1">IF('Model Assumptions'!$D$41="USD",SUM(BN146:BN155)*_currencyeffect-SUM(BN146:BN155),0)</f>
        <v>0</v>
      </c>
      <c r="BO156" s="249">
        <f ca="1">IF('Model Assumptions'!$D$41="USD",SUM(BO146:BO155)*_currencyeffect-SUM(BO146:BO155),0)</f>
        <v>0</v>
      </c>
      <c r="BP156" s="249">
        <f ca="1">IF('Model Assumptions'!$D$41="USD",SUM(BP146:BP155)*_currencyeffect-SUM(BP146:BP155),0)</f>
        <v>0</v>
      </c>
      <c r="BQ156" s="249">
        <f ca="1">IF('Model Assumptions'!$D$41="USD",SUM(BQ146:BQ155)*_currencyeffect-SUM(BQ146:BQ155),0)</f>
        <v>0</v>
      </c>
      <c r="BR156" s="249">
        <f ca="1">IF('Model Assumptions'!$D$41="USD",SUM(BR146:BR155)*_currencyeffect-SUM(BR146:BR155),0)</f>
        <v>0</v>
      </c>
      <c r="BS156" s="249">
        <f ca="1">IF('Model Assumptions'!$D$41="USD",SUM(BS146:BS155)*_currencyeffect-SUM(BS146:BS155),0)</f>
        <v>0</v>
      </c>
      <c r="BT156" s="249">
        <f ca="1">IF('Model Assumptions'!$D$41="USD",SUM(BT146:BT155)*_currencyeffect-SUM(BT146:BT155),0)</f>
        <v>0</v>
      </c>
      <c r="BU156" s="249">
        <f ca="1">IF('Model Assumptions'!$D$41="USD",SUM(BU146:BU155)*_currencyeffect-SUM(BU146:BU155),0)</f>
        <v>0</v>
      </c>
      <c r="BV156" s="249">
        <f ca="1">IF('Model Assumptions'!$D$41="USD",SUM(BV146:BV155)*_currencyeffect-SUM(BV146:BV155),0)</f>
        <v>0</v>
      </c>
      <c r="BW156" s="249">
        <f ca="1">IF('Model Assumptions'!$D$41="USD",SUM(BW146:BW155)*_currencyeffect-SUM(BW146:BW155),0)</f>
        <v>0</v>
      </c>
      <c r="BX156" s="249">
        <f ca="1">IF('Model Assumptions'!$D$41="USD",SUM(BX146:BX155)*_currencyeffect-SUM(BX146:BX155),0)</f>
        <v>0</v>
      </c>
      <c r="BY156" s="249">
        <f ca="1">IF('Model Assumptions'!$D$41="USD",SUM(BY146:BY155)*_currencyeffect-SUM(BY146:BY155),0)</f>
        <v>0</v>
      </c>
      <c r="BZ156" s="249">
        <f ca="1">IF('Model Assumptions'!$D$41="USD",SUM(BZ146:BZ155)*_currencyeffect-SUM(BZ146:BZ155),0)</f>
        <v>0</v>
      </c>
      <c r="CA156" s="249">
        <f ca="1">IF('Model Assumptions'!$D$41="USD",SUM(CA146:CA155)*_currencyeffect-SUM(CA146:CA155),0)</f>
        <v>0</v>
      </c>
      <c r="CB156" s="249">
        <f ca="1">IF('Model Assumptions'!$D$41="USD",SUM(CB146:CB155)*_currencyeffect-SUM(CB146:CB155),0)</f>
        <v>0</v>
      </c>
      <c r="CC156" s="249">
        <f ca="1">IF('Model Assumptions'!$D$41="USD",SUM(CC146:CC155)*_currencyeffect-SUM(CC146:CC155),0)</f>
        <v>0</v>
      </c>
      <c r="CD156" s="249">
        <f ca="1">IF('Model Assumptions'!$D$41="USD",SUM(CD146:CD155)*_currencyeffect-SUM(CD146:CD155),0)</f>
        <v>0</v>
      </c>
      <c r="CE156" s="249">
        <f ca="1">IF('Model Assumptions'!$D$41="USD",SUM(CE146:CE155)*_currencyeffect-SUM(CE146:CE155),0)</f>
        <v>0</v>
      </c>
      <c r="CF156" s="249">
        <f ca="1">IF('Model Assumptions'!$D$41="USD",SUM(CF146:CF155)*_currencyeffect-SUM(CF146:CF155),0)</f>
        <v>0</v>
      </c>
      <c r="CG156" s="249">
        <f ca="1">IF('Model Assumptions'!$D$41="USD",SUM(CG146:CG155)*_currencyeffect-SUM(CG146:CG155),0)</f>
        <v>0</v>
      </c>
      <c r="CH156" s="249">
        <f ca="1">IF('Model Assumptions'!$D$41="USD",SUM(CH146:CH155)*_currencyeffect-SUM(CH146:CH155),0)</f>
        <v>0</v>
      </c>
      <c r="CI156" s="249">
        <f ca="1">IF('Model Assumptions'!$D$41="USD",SUM(CI146:CI155)*_currencyeffect-SUM(CI146:CI155),0)</f>
        <v>0</v>
      </c>
      <c r="CJ156" s="249">
        <f ca="1">IF('Model Assumptions'!$D$41="USD",SUM(CJ146:CJ155)*_currencyeffect-SUM(CJ146:CJ155),0)</f>
        <v>0</v>
      </c>
      <c r="CK156" s="249">
        <f ca="1">IF('Model Assumptions'!$D$41="USD",SUM(CK146:CK155)*_currencyeffect-SUM(CK146:CK155),0)</f>
        <v>0</v>
      </c>
      <c r="CL156" s="249">
        <f ca="1">IF('Model Assumptions'!$D$41="USD",SUM(CL146:CL155)*_currencyeffect-SUM(CL146:CL155),0)</f>
        <v>0</v>
      </c>
      <c r="CM156" s="249">
        <f ca="1">IF('Model Assumptions'!$D$41="USD",SUM(CM146:CM155)*_currencyeffect-SUM(CM146:CM155),0)</f>
        <v>0</v>
      </c>
      <c r="CN156" s="249">
        <f ca="1">IF('Model Assumptions'!$D$41="USD",SUM(CN146:CN155)*_currencyeffect-SUM(CN146:CN155),0)</f>
        <v>0</v>
      </c>
      <c r="CO156" s="249">
        <f ca="1">IF('Model Assumptions'!$D$41="USD",SUM(CO146:CO155)*_currencyeffect-SUM(CO146:CO155),0)</f>
        <v>0</v>
      </c>
      <c r="CP156" s="249">
        <f ca="1">IF('Model Assumptions'!$D$41="USD",SUM(CP146:CP155)*_currencyeffect-SUM(CP146:CP155),0)</f>
        <v>0</v>
      </c>
      <c r="CQ156" s="249">
        <f ca="1">IF('Model Assumptions'!$D$41="USD",SUM(CQ146:CQ155)*_currencyeffect-SUM(CQ146:CQ155),0)</f>
        <v>0</v>
      </c>
      <c r="CR156" s="249">
        <f ca="1">IF('Model Assumptions'!$D$41="USD",SUM(CR146:CR155)*_currencyeffect-SUM(CR146:CR155),0)</f>
        <v>0</v>
      </c>
      <c r="CS156" s="249">
        <f ca="1">IF('Model Assumptions'!$D$41="USD",SUM(CS146:CS155)*_currencyeffect-SUM(CS146:CS155),0)</f>
        <v>0</v>
      </c>
      <c r="CT156" s="249">
        <f ca="1">IF('Model Assumptions'!$D$41="USD",SUM(CT146:CT155)*_currencyeffect-SUM(CT146:CT155),0)</f>
        <v>0</v>
      </c>
      <c r="CU156" s="249">
        <f ca="1">IF('Model Assumptions'!$D$41="USD",SUM(CU146:CU155)*_currencyeffect-SUM(CU146:CU155),0)</f>
        <v>0</v>
      </c>
      <c r="CV156" s="249">
        <f ca="1">IF('Model Assumptions'!$D$41="USD",SUM(CV146:CV155)*_currencyeffect-SUM(CV146:CV155),0)</f>
        <v>0</v>
      </c>
      <c r="CW156" s="249">
        <f ca="1">IF('Model Assumptions'!$D$41="USD",SUM(CW146:CW155)*_currencyeffect-SUM(CW146:CW155),0)</f>
        <v>0</v>
      </c>
      <c r="CX156" s="249">
        <f ca="1">IF('Model Assumptions'!$D$41="USD",SUM(CX146:CX155)*_currencyeffect-SUM(CX146:CX155),0)</f>
        <v>0</v>
      </c>
      <c r="CY156" s="249">
        <f ca="1">IF('Model Assumptions'!$D$41="USD",SUM(CY146:CY155)*_currencyeffect-SUM(CY146:CY155),0)</f>
        <v>0</v>
      </c>
      <c r="CZ156" s="249">
        <f ca="1">IF('Model Assumptions'!$D$41="USD",SUM(CZ146:CZ155)*_currencyeffect-SUM(CZ146:CZ155),0)</f>
        <v>0</v>
      </c>
      <c r="DA156" s="249">
        <f ca="1">IF('Model Assumptions'!$D$41="USD",SUM(DA146:DA155)*_currencyeffect-SUM(DA146:DA155),0)</f>
        <v>0</v>
      </c>
      <c r="DB156" s="249">
        <f ca="1">IF('Model Assumptions'!$D$41="USD",SUM(DB146:DB155)*_currencyeffect-SUM(DB146:DB155),0)</f>
        <v>0</v>
      </c>
      <c r="DC156" s="249">
        <f ca="1">IF('Model Assumptions'!$D$41="USD",SUM(DC146:DC155)*_currencyeffect-SUM(DC146:DC155),0)</f>
        <v>0</v>
      </c>
      <c r="DD156" s="249">
        <f ca="1">IF('Model Assumptions'!$D$41="USD",SUM(DD146:DD155)*_currencyeffect-SUM(DD146:DD155),0)</f>
        <v>0</v>
      </c>
      <c r="DE156" s="249">
        <f ca="1">IF('Model Assumptions'!$D$41="USD",SUM(DE146:DE155)*_currencyeffect-SUM(DE146:DE155),0)</f>
        <v>0</v>
      </c>
      <c r="DF156" s="249">
        <f ca="1">IF('Model Assumptions'!$D$41="USD",SUM(DF146:DF155)*_currencyeffect-SUM(DF146:DF155),0)</f>
        <v>0</v>
      </c>
      <c r="DG156" s="249">
        <f ca="1">IF('Model Assumptions'!$D$41="USD",SUM(DG146:DG155)*_currencyeffect-SUM(DG146:DG155),0)</f>
        <v>0</v>
      </c>
      <c r="DH156" s="249">
        <f ca="1">IF('Model Assumptions'!$D$41="USD",SUM(DH146:DH155)*_currencyeffect-SUM(DH146:DH155),0)</f>
        <v>0</v>
      </c>
      <c r="DI156" s="249">
        <f ca="1">IF('Model Assumptions'!$D$41="USD",SUM(DI146:DI155)*_currencyeffect-SUM(DI146:DI155),0)</f>
        <v>0</v>
      </c>
      <c r="DJ156" s="249">
        <f ca="1">IF('Model Assumptions'!$D$41="USD",SUM(DJ146:DJ155)*_currencyeffect-SUM(DJ146:DJ155),0)</f>
        <v>0</v>
      </c>
      <c r="DK156" s="249">
        <f ca="1">IF('Model Assumptions'!$D$41="USD",SUM(DK146:DK155)*_currencyeffect-SUM(DK146:DK155),0)</f>
        <v>0</v>
      </c>
      <c r="DL156" s="249">
        <f ca="1">IF('Model Assumptions'!$D$41="USD",SUM(DL146:DL155)*_currencyeffect-SUM(DL146:DL155),0)</f>
        <v>0</v>
      </c>
      <c r="DM156" s="249">
        <f ca="1">IF('Model Assumptions'!$D$41="USD",SUM(DM146:DM155)*_currencyeffect-SUM(DM146:DM155),0)</f>
        <v>0</v>
      </c>
      <c r="DN156" s="249">
        <f ca="1">IF('Model Assumptions'!$D$41="USD",SUM(DN146:DN155)*_currencyeffect-SUM(DN146:DN155),0)</f>
        <v>0</v>
      </c>
      <c r="DO156" s="249">
        <f ca="1">IF('Model Assumptions'!$D$41="USD",SUM(DO146:DO155)*_currencyeffect-SUM(DO146:DO155),0)</f>
        <v>0</v>
      </c>
      <c r="DP156" s="249">
        <f ca="1">IF('Model Assumptions'!$D$41="USD",SUM(DP146:DP155)*_currencyeffect-SUM(DP146:DP155),0)</f>
        <v>0</v>
      </c>
      <c r="DQ156" s="249">
        <f ca="1">IF('Model Assumptions'!$D$41="USD",SUM(DQ146:DQ155)*_currencyeffect-SUM(DQ146:DQ155),0)</f>
        <v>0</v>
      </c>
      <c r="DR156" s="249">
        <f ca="1">IF('Model Assumptions'!$D$41="USD",SUM(DR146:DR155)*_currencyeffect-SUM(DR146:DR155),0)</f>
        <v>0</v>
      </c>
      <c r="DS156" s="249">
        <f ca="1">IF('Model Assumptions'!$D$41="USD",SUM(DS146:DS155)*_currencyeffect-SUM(DS146:DS155),0)</f>
        <v>0</v>
      </c>
      <c r="DT156" s="249">
        <f ca="1">IF('Model Assumptions'!$D$41="USD",SUM(DT146:DT155)*_currencyeffect-SUM(DT146:DT155),0)</f>
        <v>0</v>
      </c>
      <c r="DU156" s="249">
        <f ca="1">IF('Model Assumptions'!$D$41="USD",SUM(DU146:DU155)*_currencyeffect-SUM(DU146:DU155),0)</f>
        <v>0</v>
      </c>
      <c r="DV156" s="249">
        <f ca="1">IF('Model Assumptions'!$D$41="USD",SUM(DV146:DV155)*_currencyeffect-SUM(DV146:DV155),0)</f>
        <v>0</v>
      </c>
      <c r="DW156" s="249">
        <f ca="1">IF('Model Assumptions'!$D$41="USD",SUM(DW146:DW155)*_currencyeffect-SUM(DW146:DW155),0)</f>
        <v>0</v>
      </c>
      <c r="DX156" s="249">
        <f ca="1">IF('Model Assumptions'!$D$41="USD",SUM(DX146:DX155)*_currencyeffect-SUM(DX146:DX155),0)</f>
        <v>0</v>
      </c>
      <c r="DY156" s="249">
        <f ca="1">IF('Model Assumptions'!$D$41="USD",SUM(DY146:DY155)*_currencyeffect-SUM(DY146:DY155),0)</f>
        <v>0</v>
      </c>
    </row>
    <row r="157" spans="1:129" s="19" customFormat="1" outlineLevel="1">
      <c r="A157" s="20"/>
      <c r="B157" s="60"/>
      <c r="C157" s="76" t="s">
        <v>108</v>
      </c>
      <c r="D157" s="65"/>
      <c r="E157" s="65"/>
      <c r="F157" s="56" t="s">
        <v>145</v>
      </c>
      <c r="G157" s="66"/>
      <c r="H157" s="66"/>
      <c r="I157" s="66"/>
      <c r="J157" s="262">
        <f ca="1">SUM(J146:J156)</f>
        <v>-884957.10763504088</v>
      </c>
      <c r="K157" s="262">
        <f t="shared" ref="K157:AO157" ca="1" si="368">SUM(K146:K156)</f>
        <v>-901575.44821349962</v>
      </c>
      <c r="L157" s="262">
        <f t="shared" ca="1" si="368"/>
        <v>-918518.35900617333</v>
      </c>
      <c r="M157" s="262">
        <f t="shared" ca="1" si="368"/>
        <v>-935792.40938332048</v>
      </c>
      <c r="N157" s="262">
        <f t="shared" ca="1" si="368"/>
        <v>-953404.29932294425</v>
      </c>
      <c r="O157" s="262">
        <f t="shared" ca="1" si="368"/>
        <v>-971360.86203074444</v>
      </c>
      <c r="P157" s="262">
        <f t="shared" ca="1" si="368"/>
        <v>-989669.06661239115</v>
      </c>
      <c r="Q157" s="262">
        <f t="shared" ca="1" si="368"/>
        <v>-1008336.0207991647</v>
      </c>
      <c r="R157" s="262">
        <f t="shared" ca="1" si="368"/>
        <v>-1027368.9737280319</v>
      </c>
      <c r="S157" s="262">
        <f t="shared" ca="1" si="368"/>
        <v>-1046775.3187772516</v>
      </c>
      <c r="T157" s="262">
        <f t="shared" ca="1" si="368"/>
        <v>-1066562.5964586127</v>
      </c>
      <c r="U157" s="262">
        <f t="shared" ca="1" si="368"/>
        <v>-1086738.4973674468</v>
      </c>
      <c r="V157" s="262">
        <f t="shared" ca="1" si="368"/>
        <v>-1107648.3437664297</v>
      </c>
      <c r="W157" s="262">
        <f t="shared" ca="1" si="368"/>
        <v>-1129170.0058216807</v>
      </c>
      <c r="X157" s="262">
        <f t="shared" ca="1" si="368"/>
        <v>-1151118.8301117453</v>
      </c>
      <c r="Y157" s="262">
        <f t="shared" ca="1" si="368"/>
        <v>-1173503.3925913826</v>
      </c>
      <c r="Z157" s="262">
        <f t="shared" ca="1" si="368"/>
        <v>-1196332.4404073474</v>
      </c>
      <c r="AA157" s="262">
        <f t="shared" ca="1" si="368"/>
        <v>-1219614.8953254977</v>
      </c>
      <c r="AB157" s="262">
        <f t="shared" ca="1" si="368"/>
        <v>-1243359.8572264186</v>
      </c>
      <c r="AC157" s="262">
        <f t="shared" ca="1" si="368"/>
        <v>-1267576.6076709221</v>
      </c>
      <c r="AD157" s="262">
        <f t="shared" ca="1" si="368"/>
        <v>-1292274.613536824</v>
      </c>
      <c r="AE157" s="262">
        <f t="shared" ca="1" si="368"/>
        <v>-1317463.5307284265</v>
      </c>
      <c r="AF157" s="262">
        <f t="shared" ca="1" si="368"/>
        <v>-1343153.2079601604</v>
      </c>
      <c r="AG157" s="262">
        <f t="shared" ca="1" si="368"/>
        <v>-1369353.6906158656</v>
      </c>
      <c r="AH157" s="262">
        <f t="shared" ca="1" si="368"/>
        <v>-1396426.7721762331</v>
      </c>
      <c r="AI157" s="262">
        <f t="shared" ca="1" si="368"/>
        <v>-1424058.0553613105</v>
      </c>
      <c r="AJ157" s="262">
        <f t="shared" ca="1" si="368"/>
        <v>-1452239.6376533322</v>
      </c>
      <c r="AK157" s="262">
        <f t="shared" ca="1" si="368"/>
        <v>-1480982.5483000057</v>
      </c>
      <c r="AL157" s="262">
        <f t="shared" ca="1" si="368"/>
        <v>-1510298.0369013357</v>
      </c>
      <c r="AM157" s="262">
        <f t="shared" ca="1" si="368"/>
        <v>-1540197.5778189977</v>
      </c>
      <c r="AN157" s="262">
        <f t="shared" ca="1" si="368"/>
        <v>-1578103.1427537049</v>
      </c>
      <c r="AO157" s="262">
        <f t="shared" ca="1" si="368"/>
        <v>-1609653.5251264677</v>
      </c>
      <c r="AP157" s="262">
        <f t="shared" ref="AP157:BU157" ca="1" si="369">SUM(AP146:AP156)</f>
        <v>-1641834.1292209355</v>
      </c>
      <c r="AQ157" s="262">
        <f t="shared" ca="1" si="369"/>
        <v>-1674657.5673308002</v>
      </c>
      <c r="AR157" s="262">
        <f t="shared" ca="1" si="369"/>
        <v>-1708136.7039170335</v>
      </c>
      <c r="AS157" s="262">
        <f t="shared" ca="1" si="369"/>
        <v>-1742284.6606520216</v>
      </c>
      <c r="AT157" s="262">
        <f t="shared" ca="1" si="369"/>
        <v>-1761328.0158121192</v>
      </c>
      <c r="AU157" s="262">
        <f t="shared" ca="1" si="369"/>
        <v>-1796547.4453521082</v>
      </c>
      <c r="AV157" s="262">
        <f t="shared" ca="1" si="369"/>
        <v>-1832470.4314747313</v>
      </c>
      <c r="AW157" s="262">
        <f t="shared" ca="1" si="369"/>
        <v>-1869111.0536317227</v>
      </c>
      <c r="AX157" s="262">
        <f t="shared" ca="1" si="369"/>
        <v>-1906483.6727806507</v>
      </c>
      <c r="AY157" s="262">
        <f t="shared" ca="1" si="369"/>
        <v>-1944602.9370158666</v>
      </c>
      <c r="AZ157" s="262">
        <f t="shared" ca="1" si="369"/>
        <v>-1983483.7873120625</v>
      </c>
      <c r="BA157" s="262">
        <f t="shared" ca="1" si="369"/>
        <v>-2023141.4633826942</v>
      </c>
      <c r="BB157" s="262">
        <f t="shared" ca="1" si="369"/>
        <v>-2063591.5096555674</v>
      </c>
      <c r="BC157" s="262">
        <f t="shared" ca="1" si="369"/>
        <v>-2104849.7813679175</v>
      </c>
      <c r="BD157" s="262">
        <f t="shared" ca="1" si="369"/>
        <v>-2146932.4507833943</v>
      </c>
      <c r="BE157" s="262">
        <f t="shared" ca="1" si="369"/>
        <v>-2189856.013533371</v>
      </c>
      <c r="BF157" s="262">
        <f t="shared" ca="1" si="369"/>
        <v>-2234577.0848158966</v>
      </c>
      <c r="BG157" s="262">
        <f t="shared" ca="1" si="369"/>
        <v>-2279289.6689299066</v>
      </c>
      <c r="BH157" s="262">
        <f t="shared" ca="1" si="369"/>
        <v>-2324895.84430057</v>
      </c>
      <c r="BI157" s="262">
        <f t="shared" ca="1" si="369"/>
        <v>-2371413.4893572768</v>
      </c>
      <c r="BJ157" s="262">
        <f t="shared" ca="1" si="369"/>
        <v>-2418860.840031961</v>
      </c>
      <c r="BK157" s="262">
        <f t="shared" ca="1" si="369"/>
        <v>-2467256.4969098135</v>
      </c>
      <c r="BL157" s="262">
        <f t="shared" ca="1" si="369"/>
        <v>-2516619.4325230015</v>
      </c>
      <c r="BM157" s="262">
        <f t="shared" ca="1" si="369"/>
        <v>-2566968.9987902534</v>
      </c>
      <c r="BN157" s="262">
        <f t="shared" ca="1" si="369"/>
        <v>-2618324.934605232</v>
      </c>
      <c r="BO157" s="262">
        <f t="shared" ca="1" si="369"/>
        <v>-2670707.3735766695</v>
      </c>
      <c r="BP157" s="262">
        <f t="shared" ca="1" si="369"/>
        <v>-2724136.851923292</v>
      </c>
      <c r="BQ157" s="262">
        <f t="shared" ca="1" si="369"/>
        <v>-2778634.3165266463</v>
      </c>
      <c r="BR157" s="262">
        <f t="shared" ca="1" si="369"/>
        <v>-2779982.3583195568</v>
      </c>
      <c r="BS157" s="262">
        <f t="shared" ca="1" si="369"/>
        <v>-2780995.7570191519</v>
      </c>
      <c r="BT157" s="262">
        <f t="shared" ca="1" si="369"/>
        <v>-2782189.8897962109</v>
      </c>
      <c r="BU157" s="262">
        <f t="shared" ca="1" si="369"/>
        <v>-2783566.7666712468</v>
      </c>
      <c r="BV157" s="262">
        <f t="shared" ref="BV157:DA157" ca="1" si="370">SUM(BV146:BV156)</f>
        <v>-2785128.4539117953</v>
      </c>
      <c r="BW157" s="262">
        <f t="shared" ca="1" si="370"/>
        <v>-2786877.0749968863</v>
      </c>
      <c r="BX157" s="262">
        <f t="shared" ca="1" si="370"/>
        <v>-2788814.8116024141</v>
      </c>
      <c r="BY157" s="262">
        <f t="shared" ca="1" si="370"/>
        <v>-2790943.9046077989</v>
      </c>
      <c r="BZ157" s="262">
        <f t="shared" ca="1" si="370"/>
        <v>-2793266.6551243616</v>
      </c>
      <c r="CA157" s="262">
        <f t="shared" ca="1" si="370"/>
        <v>-2795785.4255458135</v>
      </c>
      <c r="CB157" s="262">
        <f t="shared" ca="1" si="370"/>
        <v>-2798502.6406213096</v>
      </c>
      <c r="CC157" s="262">
        <f t="shared" ca="1" si="370"/>
        <v>-2801420.7885514717</v>
      </c>
      <c r="CD157" s="262">
        <f t="shared" ca="1" si="370"/>
        <v>-2802331.9593306873</v>
      </c>
      <c r="CE157" s="262">
        <f t="shared" ca="1" si="370"/>
        <v>-2803272.888328874</v>
      </c>
      <c r="CF157" s="262">
        <f t="shared" ca="1" si="370"/>
        <v>-2804313.8287016815</v>
      </c>
      <c r="CG157" s="262">
        <f t="shared" ca="1" si="370"/>
        <v>-2805455.9687486552</v>
      </c>
      <c r="CH157" s="262">
        <f t="shared" ca="1" si="370"/>
        <v>-2806700.5286546098</v>
      </c>
      <c r="CI157" s="262">
        <f t="shared" ca="1" si="370"/>
        <v>-2808048.7610461465</v>
      </c>
      <c r="CJ157" s="262">
        <f t="shared" ca="1" si="370"/>
        <v>-2809501.9515601015</v>
      </c>
      <c r="CK157" s="262">
        <f t="shared" ca="1" si="370"/>
        <v>-2811061.4194241771</v>
      </c>
      <c r="CL157" s="262">
        <f t="shared" ca="1" si="370"/>
        <v>-2812728.5180499773</v>
      </c>
      <c r="CM157" s="262">
        <f t="shared" ca="1" si="370"/>
        <v>-2814504.6356386929</v>
      </c>
      <c r="CN157" s="262">
        <f t="shared" ca="1" si="370"/>
        <v>-2816391.195799679</v>
      </c>
      <c r="CO157" s="262">
        <f t="shared" ca="1" si="370"/>
        <v>-2818389.658182173</v>
      </c>
      <c r="CP157" s="262">
        <f t="shared" ca="1" si="370"/>
        <v>-2819048.1921698875</v>
      </c>
      <c r="CQ157" s="262">
        <f t="shared" ca="1" si="370"/>
        <v>-2819753.3478834322</v>
      </c>
      <c r="CR157" s="262">
        <f t="shared" ca="1" si="370"/>
        <v>-2820505.7272349214</v>
      </c>
      <c r="CS157" s="262">
        <f t="shared" ca="1" si="370"/>
        <v>-2821305.9434918761</v>
      </c>
      <c r="CT157" s="262">
        <f t="shared" ca="1" si="370"/>
        <v>-2822154.625499222</v>
      </c>
      <c r="CU157" s="262">
        <f t="shared" ca="1" si="370"/>
        <v>-2823052.4179577152</v>
      </c>
      <c r="CV157" s="262">
        <f t="shared" ca="1" si="370"/>
        <v>-2823116.2729383181</v>
      </c>
      <c r="CW157" s="262">
        <f t="shared" ca="1" si="370"/>
        <v>-2823149.2576276525</v>
      </c>
      <c r="CX157" s="262">
        <f t="shared" ca="1" si="370"/>
        <v>-2823189.3886082796</v>
      </c>
      <c r="CY157" s="262">
        <f t="shared" ca="1" si="370"/>
        <v>-2823236.7439400502</v>
      </c>
      <c r="CZ157" s="262">
        <f t="shared" ca="1" si="370"/>
        <v>-2823291.4038926726</v>
      </c>
      <c r="DA157" s="262">
        <f t="shared" ca="1" si="370"/>
        <v>-2823353.4509834219</v>
      </c>
      <c r="DB157" s="262">
        <f t="shared" ref="DB157:DY157" ca="1" si="371">SUM(DB146:DB156)</f>
        <v>-2823410.7889169417</v>
      </c>
      <c r="DC157" s="262">
        <f t="shared" ca="1" si="371"/>
        <v>-2823469.4241492436</v>
      </c>
      <c r="DD157" s="262">
        <f t="shared" ca="1" si="371"/>
        <v>-2823534.8598781968</v>
      </c>
      <c r="DE157" s="262">
        <f t="shared" ca="1" si="371"/>
        <v>-2823607.1758358101</v>
      </c>
      <c r="DF157" s="262">
        <f t="shared" ca="1" si="371"/>
        <v>-2823686.4539115187</v>
      </c>
      <c r="DG157" s="262">
        <f t="shared" ca="1" si="371"/>
        <v>-2823772.7781896926</v>
      </c>
      <c r="DH157" s="262">
        <f t="shared" ca="1" si="371"/>
        <v>-2823866.2349879751</v>
      </c>
      <c r="DI157" s="262">
        <f t="shared" ca="1" si="371"/>
        <v>-2823966.9128964203</v>
      </c>
      <c r="DJ157" s="262">
        <f t="shared" ca="1" si="371"/>
        <v>-2824074.90281749</v>
      </c>
      <c r="DK157" s="262">
        <f t="shared" ca="1" si="371"/>
        <v>-2824190.2980068917</v>
      </c>
      <c r="DL157" s="262">
        <f t="shared" ca="1" si="371"/>
        <v>-2824313.1941152941</v>
      </c>
      <c r="DM157" s="262">
        <f t="shared" ca="1" si="371"/>
        <v>-2824443.6892309245</v>
      </c>
      <c r="DN157" s="262">
        <f t="shared" ca="1" si="371"/>
        <v>-2824482.0134422248</v>
      </c>
      <c r="DO157" s="262">
        <f t="shared" ca="1" si="371"/>
        <v>-2824523.4463796983</v>
      </c>
      <c r="DP157" s="262">
        <f t="shared" ca="1" si="371"/>
        <v>-2824568.0268267835</v>
      </c>
      <c r="DQ157" s="262">
        <f t="shared" ca="1" si="371"/>
        <v>-2824615.7945451625</v>
      </c>
      <c r="DR157" s="262">
        <f t="shared" ca="1" si="371"/>
        <v>-2824666.790323637</v>
      </c>
      <c r="DS157" s="262">
        <f t="shared" ca="1" si="371"/>
        <v>-2824721.0559963528</v>
      </c>
      <c r="DT157" s="262">
        <f t="shared" ca="1" si="371"/>
        <v>-2824778.6344614075</v>
      </c>
      <c r="DU157" s="262">
        <f t="shared" ca="1" si="371"/>
        <v>-2824839.5696998592</v>
      </c>
      <c r="DV157" s="262">
        <f t="shared" ca="1" si="371"/>
        <v>-2824903.9067951352</v>
      </c>
      <c r="DW157" s="262">
        <f t="shared" ca="1" si="371"/>
        <v>-2824971.6919528511</v>
      </c>
      <c r="DX157" s="262">
        <f t="shared" ca="1" si="371"/>
        <v>-2825042.9725210504</v>
      </c>
      <c r="DY157" s="262">
        <f t="shared" ca="1" si="371"/>
        <v>-2825117.7970108693</v>
      </c>
    </row>
    <row r="158" spans="1:129" s="19" customFormat="1" outlineLevel="1">
      <c r="A158" s="20"/>
      <c r="B158" s="60"/>
      <c r="C158" s="61"/>
      <c r="D158" s="30"/>
      <c r="E158" s="30"/>
      <c r="F158" s="30"/>
      <c r="G158" s="14"/>
      <c r="H158" s="14"/>
      <c r="I158" s="14"/>
      <c r="J158" s="106"/>
      <c r="K158" s="58"/>
      <c r="L158" s="106"/>
      <c r="M158" s="135"/>
      <c r="N158" s="106"/>
      <c r="O158" s="58"/>
      <c r="P158" s="106"/>
      <c r="Q158" s="106"/>
      <c r="R158" s="58"/>
      <c r="S158" s="58"/>
      <c r="T158" s="58"/>
      <c r="U158" s="58"/>
      <c r="V158" s="58"/>
      <c r="W158" s="58"/>
      <c r="X158" s="101"/>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row>
    <row r="159" spans="1:129" outlineLevel="2">
      <c r="C159" s="9" t="str">
        <f>'Model Assumptions'!$G$24</f>
        <v>Product 1</v>
      </c>
      <c r="D159" s="9"/>
      <c r="J159" s="92">
        <f>-(_NewSalesP1+_RetainedSalesP1)*_OpexP1-_RepossessedP1*_ReposessionP1-_activeinstallationsBoPP1*_MaintenanceP1</f>
        <v>-525.29999999999995</v>
      </c>
      <c r="K159" s="92">
        <f t="shared" ref="K159:AO159" ca="1" si="372">-(_NewSalesP1+_RetainedSalesP1)*_OpexP1-_RepossessedP1*_ReposessionP1-_activeinstallationsBoPP1*_MaintenanceP1</f>
        <v>-535.80600000000004</v>
      </c>
      <c r="L159" s="92">
        <f t="shared" ca="1" si="372"/>
        <v>-546.52212000000009</v>
      </c>
      <c r="M159" s="92">
        <f t="shared" ca="1" si="372"/>
        <v>-557.45256240000003</v>
      </c>
      <c r="N159" s="92">
        <f t="shared" ca="1" si="372"/>
        <v>-568.60161364800001</v>
      </c>
      <c r="O159" s="92">
        <f t="shared" ca="1" si="372"/>
        <v>-579.97364592096005</v>
      </c>
      <c r="P159" s="92">
        <f t="shared" ca="1" si="372"/>
        <v>-591.57311883937928</v>
      </c>
      <c r="Q159" s="92">
        <f t="shared" ca="1" si="372"/>
        <v>-603.40458121616678</v>
      </c>
      <c r="R159" s="92">
        <f t="shared" ca="1" si="372"/>
        <v>-615.47267284049019</v>
      </c>
      <c r="S159" s="92">
        <f t="shared" ca="1" si="372"/>
        <v>-627.78212629730001</v>
      </c>
      <c r="T159" s="92">
        <f t="shared" ca="1" si="372"/>
        <v>-640.33776882324605</v>
      </c>
      <c r="U159" s="92">
        <f t="shared" ca="1" si="372"/>
        <v>-653.14452419971087</v>
      </c>
      <c r="V159" s="92">
        <f t="shared" ca="1" si="372"/>
        <v>-666.20741468370511</v>
      </c>
      <c r="W159" s="92">
        <f t="shared" ca="1" si="372"/>
        <v>-679.53156297737917</v>
      </c>
      <c r="X159" s="92">
        <f t="shared" ca="1" si="372"/>
        <v>-693.12219423692682</v>
      </c>
      <c r="Y159" s="92">
        <f t="shared" ca="1" si="372"/>
        <v>-706.9846381216654</v>
      </c>
      <c r="Z159" s="92">
        <f t="shared" ca="1" si="372"/>
        <v>-721.12433088409875</v>
      </c>
      <c r="AA159" s="92">
        <f t="shared" ca="1" si="372"/>
        <v>-735.54681750178077</v>
      </c>
      <c r="AB159" s="92">
        <f t="shared" ca="1" si="372"/>
        <v>-750.25775385181635</v>
      </c>
      <c r="AC159" s="92">
        <f t="shared" ca="1" si="372"/>
        <v>-765.26290892885265</v>
      </c>
      <c r="AD159" s="92">
        <f t="shared" ca="1" si="372"/>
        <v>-780.56816710742964</v>
      </c>
      <c r="AE159" s="92">
        <f t="shared" ca="1" si="372"/>
        <v>-796.17953044957824</v>
      </c>
      <c r="AF159" s="92">
        <f t="shared" ca="1" si="372"/>
        <v>-812.10312105856985</v>
      </c>
      <c r="AG159" s="92">
        <f t="shared" ca="1" si="372"/>
        <v>-828.34518347974131</v>
      </c>
      <c r="AH159" s="92">
        <f t="shared" ca="1" si="372"/>
        <v>-844.91208714933612</v>
      </c>
      <c r="AI159" s="92">
        <f t="shared" ca="1" si="372"/>
        <v>-861.8103288923229</v>
      </c>
      <c r="AJ159" s="92">
        <f t="shared" ca="1" si="372"/>
        <v>-879.04653547016937</v>
      </c>
      <c r="AK159" s="92">
        <f t="shared" ca="1" si="372"/>
        <v>-896.62746617957282</v>
      </c>
      <c r="AL159" s="92">
        <f t="shared" ca="1" si="372"/>
        <v>-914.56001550316432</v>
      </c>
      <c r="AM159" s="92">
        <f t="shared" ca="1" si="372"/>
        <v>-932.85121581322767</v>
      </c>
      <c r="AN159" s="92">
        <f t="shared" ca="1" si="372"/>
        <v>-951.50824012949226</v>
      </c>
      <c r="AO159" s="92">
        <f t="shared" ca="1" si="372"/>
        <v>-970.53840493208202</v>
      </c>
      <c r="AP159" s="92">
        <f t="shared" ref="AP159:BU159" ca="1" si="373">-(_NewSalesP1+_RetainedSalesP1)*_OpexP1-_RepossessedP1*_ReposessionP1-_activeinstallationsBoPP1*_MaintenanceP1</f>
        <v>-989.94917303072361</v>
      </c>
      <c r="AQ159" s="92">
        <f t="shared" ca="1" si="373"/>
        <v>-1009.7481564913381</v>
      </c>
      <c r="AR159" s="92">
        <f t="shared" ca="1" si="373"/>
        <v>-1029.9431196211649</v>
      </c>
      <c r="AS159" s="92">
        <f t="shared" ca="1" si="373"/>
        <v>-1050.5419820135883</v>
      </c>
      <c r="AT159" s="92">
        <f t="shared" ca="1" si="373"/>
        <v>-1071.5528216538601</v>
      </c>
      <c r="AU159" s="92">
        <f t="shared" ca="1" si="373"/>
        <v>-1092.9838780869372</v>
      </c>
      <c r="AV159" s="92">
        <f t="shared" ca="1" si="373"/>
        <v>-1114.8435556486759</v>
      </c>
      <c r="AW159" s="92">
        <f t="shared" ca="1" si="373"/>
        <v>-1137.1404267616495</v>
      </c>
      <c r="AX159" s="92">
        <f t="shared" ca="1" si="373"/>
        <v>-1159.8832352968825</v>
      </c>
      <c r="AY159" s="92">
        <f t="shared" ca="1" si="373"/>
        <v>-1183.0809000028203</v>
      </c>
      <c r="AZ159" s="92">
        <f t="shared" ca="1" si="373"/>
        <v>-1206.7425180028765</v>
      </c>
      <c r="BA159" s="92">
        <f t="shared" ca="1" si="373"/>
        <v>-1230.877368362934</v>
      </c>
      <c r="BB159" s="92">
        <f t="shared" ca="1" si="373"/>
        <v>-1255.4949157301928</v>
      </c>
      <c r="BC159" s="92">
        <f t="shared" ca="1" si="373"/>
        <v>-1280.6048140447965</v>
      </c>
      <c r="BD159" s="92">
        <f t="shared" ca="1" si="373"/>
        <v>-1306.2169103256924</v>
      </c>
      <c r="BE159" s="92">
        <f t="shared" ca="1" si="373"/>
        <v>-1332.3412485322065</v>
      </c>
      <c r="BF159" s="92">
        <f t="shared" ca="1" si="373"/>
        <v>-1358.9880735028505</v>
      </c>
      <c r="BG159" s="92">
        <f t="shared" ca="1" si="373"/>
        <v>-1386.1678349729075</v>
      </c>
      <c r="BH159" s="92">
        <f t="shared" ca="1" si="373"/>
        <v>-1413.8911916723657</v>
      </c>
      <c r="BI159" s="92">
        <f t="shared" ca="1" si="373"/>
        <v>-1442.1690155058131</v>
      </c>
      <c r="BJ159" s="92">
        <f t="shared" ca="1" si="373"/>
        <v>-1471.0123958159295</v>
      </c>
      <c r="BK159" s="92">
        <f t="shared" ca="1" si="373"/>
        <v>-1500.4326437322479</v>
      </c>
      <c r="BL159" s="92">
        <f t="shared" ca="1" si="373"/>
        <v>-1530.4412966068928</v>
      </c>
      <c r="BM159" s="92">
        <f t="shared" ca="1" si="373"/>
        <v>-1561.0501225390308</v>
      </c>
      <c r="BN159" s="92">
        <f t="shared" ca="1" si="373"/>
        <v>-1592.2711249898116</v>
      </c>
      <c r="BO159" s="92">
        <f t="shared" ca="1" si="373"/>
        <v>-1624.1165474896079</v>
      </c>
      <c r="BP159" s="92">
        <f t="shared" ca="1" si="373"/>
        <v>-1656.5988784394001</v>
      </c>
      <c r="BQ159" s="92">
        <f t="shared" ca="1" si="373"/>
        <v>-1689.7308560081883</v>
      </c>
      <c r="BR159" s="92">
        <f t="shared" ca="1" si="373"/>
        <v>-1689.7308560081883</v>
      </c>
      <c r="BS159" s="92">
        <f t="shared" ca="1" si="373"/>
        <v>-1689.7308560081883</v>
      </c>
      <c r="BT159" s="92">
        <f t="shared" ca="1" si="373"/>
        <v>-1689.7308560081883</v>
      </c>
      <c r="BU159" s="92">
        <f t="shared" ca="1" si="373"/>
        <v>-1689.7308560081883</v>
      </c>
      <c r="BV159" s="92">
        <f t="shared" ref="BV159:DY159" ca="1" si="374">-(_NewSalesP1+_RetainedSalesP1)*_OpexP1-_RepossessedP1*_ReposessionP1-_activeinstallationsBoPP1*_MaintenanceP1</f>
        <v>-1689.7308560081883</v>
      </c>
      <c r="BW159" s="92">
        <f t="shared" ca="1" si="374"/>
        <v>-1689.7308560081883</v>
      </c>
      <c r="BX159" s="92">
        <f t="shared" ca="1" si="374"/>
        <v>-1689.7308560081883</v>
      </c>
      <c r="BY159" s="92">
        <f t="shared" ca="1" si="374"/>
        <v>-1689.7308560081883</v>
      </c>
      <c r="BZ159" s="92">
        <f t="shared" ca="1" si="374"/>
        <v>-1689.7308560081883</v>
      </c>
      <c r="CA159" s="92">
        <f t="shared" ca="1" si="374"/>
        <v>-1689.7308560081883</v>
      </c>
      <c r="CB159" s="92">
        <f t="shared" ca="1" si="374"/>
        <v>-1689.7308560081883</v>
      </c>
      <c r="CC159" s="92">
        <f t="shared" ca="1" si="374"/>
        <v>-1689.7308560081883</v>
      </c>
      <c r="CD159" s="92">
        <f t="shared" ca="1" si="374"/>
        <v>-1689.7308560081883</v>
      </c>
      <c r="CE159" s="92">
        <f t="shared" ca="1" si="374"/>
        <v>-1689.7308560081883</v>
      </c>
      <c r="CF159" s="92">
        <f t="shared" ca="1" si="374"/>
        <v>-1689.7308560081883</v>
      </c>
      <c r="CG159" s="92">
        <f t="shared" ca="1" si="374"/>
        <v>-1689.7308560081883</v>
      </c>
      <c r="CH159" s="92">
        <f t="shared" ca="1" si="374"/>
        <v>-1689.7308560081883</v>
      </c>
      <c r="CI159" s="92">
        <f t="shared" ca="1" si="374"/>
        <v>-1689.7308560081883</v>
      </c>
      <c r="CJ159" s="92">
        <f t="shared" ca="1" si="374"/>
        <v>-1689.7308560081883</v>
      </c>
      <c r="CK159" s="92">
        <f t="shared" ca="1" si="374"/>
        <v>-1689.7308560081883</v>
      </c>
      <c r="CL159" s="92">
        <f t="shared" ca="1" si="374"/>
        <v>-1689.7308560081883</v>
      </c>
      <c r="CM159" s="92">
        <f t="shared" ca="1" si="374"/>
        <v>-1689.7308560081883</v>
      </c>
      <c r="CN159" s="92">
        <f t="shared" ca="1" si="374"/>
        <v>-1689.7308560081883</v>
      </c>
      <c r="CO159" s="92">
        <f t="shared" ca="1" si="374"/>
        <v>-1689.7308560081883</v>
      </c>
      <c r="CP159" s="92">
        <f t="shared" ca="1" si="374"/>
        <v>-1689.7308560081883</v>
      </c>
      <c r="CQ159" s="92">
        <f t="shared" ca="1" si="374"/>
        <v>-1689.7308560081883</v>
      </c>
      <c r="CR159" s="92">
        <f t="shared" ca="1" si="374"/>
        <v>-1689.7308560081883</v>
      </c>
      <c r="CS159" s="92">
        <f t="shared" ca="1" si="374"/>
        <v>-1689.7308560081883</v>
      </c>
      <c r="CT159" s="92">
        <f t="shared" ca="1" si="374"/>
        <v>-1689.7308560081883</v>
      </c>
      <c r="CU159" s="92">
        <f t="shared" ca="1" si="374"/>
        <v>-1689.7308560081883</v>
      </c>
      <c r="CV159" s="92">
        <f t="shared" ca="1" si="374"/>
        <v>-1689.7308560081883</v>
      </c>
      <c r="CW159" s="92">
        <f t="shared" ca="1" si="374"/>
        <v>-1689.7308560081883</v>
      </c>
      <c r="CX159" s="92">
        <f t="shared" ca="1" si="374"/>
        <v>-1689.7308560081883</v>
      </c>
      <c r="CY159" s="92">
        <f t="shared" ca="1" si="374"/>
        <v>-1689.7308560081883</v>
      </c>
      <c r="CZ159" s="92">
        <f t="shared" ca="1" si="374"/>
        <v>-1689.7308560081883</v>
      </c>
      <c r="DA159" s="92">
        <f t="shared" ca="1" si="374"/>
        <v>-1689.7308560081883</v>
      </c>
      <c r="DB159" s="92">
        <f t="shared" ca="1" si="374"/>
        <v>-1689.7308560081883</v>
      </c>
      <c r="DC159" s="92">
        <f t="shared" ca="1" si="374"/>
        <v>-1689.7308560081883</v>
      </c>
      <c r="DD159" s="92">
        <f t="shared" ca="1" si="374"/>
        <v>-1689.7308560081883</v>
      </c>
      <c r="DE159" s="92">
        <f t="shared" ca="1" si="374"/>
        <v>-1689.7308560081883</v>
      </c>
      <c r="DF159" s="92">
        <f t="shared" ca="1" si="374"/>
        <v>-1689.7308560081883</v>
      </c>
      <c r="DG159" s="92">
        <f t="shared" ca="1" si="374"/>
        <v>-1689.7308560081883</v>
      </c>
      <c r="DH159" s="92">
        <f t="shared" ca="1" si="374"/>
        <v>-1689.7308560081883</v>
      </c>
      <c r="DI159" s="92">
        <f t="shared" ca="1" si="374"/>
        <v>-1689.7308560081883</v>
      </c>
      <c r="DJ159" s="92">
        <f t="shared" ca="1" si="374"/>
        <v>-1689.7308560081883</v>
      </c>
      <c r="DK159" s="92">
        <f t="shared" ca="1" si="374"/>
        <v>-1689.7308560081883</v>
      </c>
      <c r="DL159" s="92">
        <f t="shared" ca="1" si="374"/>
        <v>-1689.7308560081883</v>
      </c>
      <c r="DM159" s="92">
        <f t="shared" ca="1" si="374"/>
        <v>-1689.7308560081883</v>
      </c>
      <c r="DN159" s="92">
        <f t="shared" ca="1" si="374"/>
        <v>-1689.7308560081883</v>
      </c>
      <c r="DO159" s="92">
        <f t="shared" ca="1" si="374"/>
        <v>-1689.7308560081883</v>
      </c>
      <c r="DP159" s="92">
        <f t="shared" ca="1" si="374"/>
        <v>-1689.7308560081883</v>
      </c>
      <c r="DQ159" s="92">
        <f t="shared" ca="1" si="374"/>
        <v>-1689.7308560081883</v>
      </c>
      <c r="DR159" s="92">
        <f t="shared" ca="1" si="374"/>
        <v>-1689.7308560081883</v>
      </c>
      <c r="DS159" s="92">
        <f t="shared" ca="1" si="374"/>
        <v>-1689.7308560081883</v>
      </c>
      <c r="DT159" s="92">
        <f t="shared" ca="1" si="374"/>
        <v>-1689.7308560081883</v>
      </c>
      <c r="DU159" s="92">
        <f t="shared" ca="1" si="374"/>
        <v>-1689.7308560081883</v>
      </c>
      <c r="DV159" s="92">
        <f t="shared" ca="1" si="374"/>
        <v>-1689.7308560081883</v>
      </c>
      <c r="DW159" s="92">
        <f t="shared" ca="1" si="374"/>
        <v>-1689.7308560081883</v>
      </c>
      <c r="DX159" s="92">
        <f t="shared" ca="1" si="374"/>
        <v>-1689.7308560081883</v>
      </c>
      <c r="DY159" s="92">
        <f t="shared" ca="1" si="374"/>
        <v>-1689.7308560081883</v>
      </c>
    </row>
    <row r="160" spans="1:129" outlineLevel="2">
      <c r="C160" s="9" t="str">
        <f>'Model Assumptions'!$H$24</f>
        <v>Product 2</v>
      </c>
      <c r="D160" s="9"/>
      <c r="J160" s="25">
        <f ca="1">-(_NewSalesP2+_RetainedSalesP2)*_OpexP2-_RepossessedP2*_ReposessionP2-_activeinstallationsBoPP2*_MaintenanceP2</f>
        <v>-43814.616239053765</v>
      </c>
      <c r="K160" s="25">
        <f t="shared" ref="K160:AO160" ca="1" si="375">-(_NewSalesP2+_RetainedSalesP2)*_OpexP2-_RepossessedP2*_ReposessionP2-_activeinstallationsBoPP2*_MaintenanceP2</f>
        <v>-44632.147507131041</v>
      </c>
      <c r="L160" s="25">
        <f t="shared" ca="1" si="375"/>
        <v>-45466.105862527547</v>
      </c>
      <c r="M160" s="25">
        <f t="shared" ca="1" si="375"/>
        <v>-46316.819082370086</v>
      </c>
      <c r="N160" s="25">
        <f t="shared" ca="1" si="375"/>
        <v>-47184.621506974203</v>
      </c>
      <c r="O160" s="25">
        <f t="shared" ca="1" si="375"/>
        <v>-48069.854171031475</v>
      </c>
      <c r="P160" s="25">
        <f t="shared" ca="1" si="375"/>
        <v>-48972.864937421356</v>
      </c>
      <c r="Q160" s="25">
        <f t="shared" ca="1" si="375"/>
        <v>-49894.008633699988</v>
      </c>
      <c r="R160" s="25">
        <f t="shared" ca="1" si="375"/>
        <v>-50833.647191319535</v>
      </c>
      <c r="S160" s="25">
        <f t="shared" ca="1" si="375"/>
        <v>-51792.149787632668</v>
      </c>
      <c r="T160" s="25">
        <f t="shared" ca="1" si="375"/>
        <v>-52769.892990737841</v>
      </c>
      <c r="U160" s="25">
        <f t="shared" ca="1" si="375"/>
        <v>-53767.260907222226</v>
      </c>
      <c r="V160" s="25">
        <f t="shared" ca="1" si="375"/>
        <v>-55708.372084010705</v>
      </c>
      <c r="W160" s="25">
        <f t="shared" ca="1" si="375"/>
        <v>-56817.254631895179</v>
      </c>
      <c r="X160" s="25">
        <f t="shared" ca="1" si="375"/>
        <v>-57948.322372235838</v>
      </c>
      <c r="Y160" s="25">
        <f t="shared" ca="1" si="375"/>
        <v>-59102.018933466854</v>
      </c>
      <c r="Z160" s="25">
        <f t="shared" ca="1" si="375"/>
        <v>-60278.796817345159</v>
      </c>
      <c r="AA160" s="25">
        <f t="shared" ca="1" si="375"/>
        <v>-61479.117576409495</v>
      </c>
      <c r="AB160" s="25">
        <f t="shared" ca="1" si="375"/>
        <v>-62703.451994988471</v>
      </c>
      <c r="AC160" s="25">
        <f t="shared" ca="1" si="375"/>
        <v>-63952.280273829092</v>
      </c>
      <c r="AD160" s="25">
        <f t="shared" ca="1" si="375"/>
        <v>-65226.092218417645</v>
      </c>
      <c r="AE160" s="25">
        <f t="shared" ca="1" si="375"/>
        <v>-66525.387431067385</v>
      </c>
      <c r="AF160" s="25">
        <f t="shared" ca="1" si="375"/>
        <v>-67850.675506847881</v>
      </c>
      <c r="AG160" s="25">
        <f t="shared" ca="1" si="375"/>
        <v>-69202.476233432913</v>
      </c>
      <c r="AH160" s="25">
        <f t="shared" ca="1" si="375"/>
        <v>-70663.197536727675</v>
      </c>
      <c r="AI160" s="25">
        <f t="shared" ca="1" si="375"/>
        <v>-72075.925320340422</v>
      </c>
      <c r="AJ160" s="25">
        <f t="shared" ca="1" si="375"/>
        <v>-73516.909005313762</v>
      </c>
      <c r="AK160" s="25">
        <f t="shared" ca="1" si="375"/>
        <v>-74986.713696218008</v>
      </c>
      <c r="AL160" s="25">
        <f t="shared" ca="1" si="375"/>
        <v>-76485.915799849463</v>
      </c>
      <c r="AM160" s="25">
        <f t="shared" ca="1" si="375"/>
        <v>-78015.103251273598</v>
      </c>
      <c r="AN160" s="25">
        <f t="shared" ca="1" si="375"/>
        <v>-79574.875744389064</v>
      </c>
      <c r="AO160" s="25">
        <f t="shared" ca="1" si="375"/>
        <v>-81165.844967103039</v>
      </c>
      <c r="AP160" s="25">
        <f t="shared" ref="AP160:BU160" ca="1" si="376">-(_NewSalesP2+_RetainedSalesP2)*_OpexP2-_RepossessedP2*_ReposessionP2-_activeinstallationsBoPP2*_MaintenanceP2</f>
        <v>-82788.634841210136</v>
      </c>
      <c r="AQ160" s="25">
        <f t="shared" ca="1" si="376"/>
        <v>-84443.88176706883</v>
      </c>
      <c r="AR160" s="25">
        <f t="shared" ca="1" si="376"/>
        <v>-86132.234873171474</v>
      </c>
      <c r="AS160" s="25">
        <f t="shared" ca="1" si="376"/>
        <v>-87854.356270705655</v>
      </c>
      <c r="AT160" s="25">
        <f t="shared" ca="1" si="376"/>
        <v>-89618.178832371515</v>
      </c>
      <c r="AU160" s="25">
        <f t="shared" ca="1" si="376"/>
        <v>-91410.434856104097</v>
      </c>
      <c r="AV160" s="25">
        <f t="shared" ca="1" si="376"/>
        <v>-93238.536719869837</v>
      </c>
      <c r="AW160" s="25">
        <f t="shared" ca="1" si="376"/>
        <v>-95103.201333273828</v>
      </c>
      <c r="AX160" s="25">
        <f t="shared" ca="1" si="376"/>
        <v>-97005.159944185172</v>
      </c>
      <c r="AY160" s="25">
        <f t="shared" ca="1" si="376"/>
        <v>-98945.158425501621</v>
      </c>
      <c r="AZ160" s="25">
        <f t="shared" ca="1" si="376"/>
        <v>-100923.95756764944</v>
      </c>
      <c r="BA160" s="25">
        <f t="shared" ca="1" si="376"/>
        <v>-102942.33337693318</v>
      </c>
      <c r="BB160" s="25">
        <f t="shared" ca="1" si="376"/>
        <v>-105001.07737985264</v>
      </c>
      <c r="BC160" s="25">
        <f t="shared" ca="1" si="376"/>
        <v>-107100.99693350605</v>
      </c>
      <c r="BD160" s="25">
        <f t="shared" ca="1" si="376"/>
        <v>-109242.91554220131</v>
      </c>
      <c r="BE160" s="25">
        <f t="shared" ca="1" si="376"/>
        <v>-111427.67318039955</v>
      </c>
      <c r="BF160" s="25">
        <f t="shared" ca="1" si="376"/>
        <v>-113656.76991763696</v>
      </c>
      <c r="BG160" s="25">
        <f t="shared" ca="1" si="376"/>
        <v>-115929.84257486415</v>
      </c>
      <c r="BH160" s="25">
        <f t="shared" ca="1" si="376"/>
        <v>-118248.37728109446</v>
      </c>
      <c r="BI160" s="25">
        <f t="shared" ca="1" si="376"/>
        <v>-120613.28327134931</v>
      </c>
      <c r="BJ160" s="25">
        <f t="shared" ca="1" si="376"/>
        <v>-123025.48796541026</v>
      </c>
      <c r="BK160" s="25">
        <f t="shared" ca="1" si="376"/>
        <v>-125485.93733151339</v>
      </c>
      <c r="BL160" s="25">
        <f t="shared" ca="1" si="376"/>
        <v>-127995.59625731794</v>
      </c>
      <c r="BM160" s="25">
        <f t="shared" ca="1" si="376"/>
        <v>-130555.44892829414</v>
      </c>
      <c r="BN160" s="25">
        <f t="shared" ca="1" si="376"/>
        <v>-133166.49921367885</v>
      </c>
      <c r="BO160" s="25">
        <f t="shared" ca="1" si="376"/>
        <v>-135829.77106015035</v>
      </c>
      <c r="BP160" s="25">
        <f t="shared" ca="1" si="376"/>
        <v>-138546.30889337664</v>
      </c>
      <c r="BQ160" s="25">
        <f t="shared" ca="1" si="376"/>
        <v>-141317.17802759443</v>
      </c>
      <c r="BR160" s="25">
        <f t="shared" ca="1" si="376"/>
        <v>-141518.69747342975</v>
      </c>
      <c r="BS160" s="25">
        <f t="shared" ca="1" si="376"/>
        <v>-141723.80034464589</v>
      </c>
      <c r="BT160" s="25">
        <f t="shared" ca="1" si="376"/>
        <v>-141932.61601127055</v>
      </c>
      <c r="BU160" s="25">
        <f t="shared" ca="1" si="376"/>
        <v>-142145.22262183207</v>
      </c>
      <c r="BV160" s="25">
        <f t="shared" ref="BV160:DY160" ca="1" si="377">-(_NewSalesP2+_RetainedSalesP2)*_OpexP2-_RepossessedP2*_ReposessionP2-_activeinstallationsBoPP2*_MaintenanceP2</f>
        <v>-142361.69984890311</v>
      </c>
      <c r="BW160" s="25">
        <f t="shared" ca="1" si="377"/>
        <v>-142582.12891997097</v>
      </c>
      <c r="BX160" s="25">
        <f t="shared" ca="1" si="377"/>
        <v>-142806.59264892095</v>
      </c>
      <c r="BY160" s="25">
        <f t="shared" ca="1" si="377"/>
        <v>-143035.17546814613</v>
      </c>
      <c r="BZ160" s="25">
        <f t="shared" ca="1" si="377"/>
        <v>-143267.963461295</v>
      </c>
      <c r="CA160" s="25">
        <f t="shared" ca="1" si="377"/>
        <v>-143505.04439667071</v>
      </c>
      <c r="CB160" s="25">
        <f t="shared" ca="1" si="377"/>
        <v>-143746.50776129411</v>
      </c>
      <c r="CC160" s="25">
        <f t="shared" ca="1" si="377"/>
        <v>-143992.44479564478</v>
      </c>
      <c r="CD160" s="25">
        <f t="shared" ca="1" si="377"/>
        <v>-144010.29309896982</v>
      </c>
      <c r="CE160" s="25">
        <f t="shared" ca="1" si="377"/>
        <v>-144028.45917245437</v>
      </c>
      <c r="CF160" s="25">
        <f t="shared" ca="1" si="377"/>
        <v>-144046.95448185451</v>
      </c>
      <c r="CG160" s="25">
        <f t="shared" ca="1" si="377"/>
        <v>-144065.78595274402</v>
      </c>
      <c r="CH160" s="25">
        <f t="shared" ca="1" si="377"/>
        <v>-144084.9606457997</v>
      </c>
      <c r="CI160" s="25">
        <f t="shared" ca="1" si="377"/>
        <v>-144104.48575953735</v>
      </c>
      <c r="CJ160" s="25">
        <f t="shared" ca="1" si="377"/>
        <v>-144124.36863310245</v>
      </c>
      <c r="CK160" s="25">
        <f t="shared" ca="1" si="377"/>
        <v>-144144.61674911599</v>
      </c>
      <c r="CL160" s="25">
        <f t="shared" ca="1" si="377"/>
        <v>-144165.23773657723</v>
      </c>
      <c r="CM160" s="25">
        <f t="shared" ca="1" si="377"/>
        <v>-144186.23937382374</v>
      </c>
      <c r="CN160" s="25">
        <f t="shared" ca="1" si="377"/>
        <v>-144207.62959155097</v>
      </c>
      <c r="CO160" s="25">
        <f t="shared" ca="1" si="377"/>
        <v>-144229.41647589111</v>
      </c>
      <c r="CP160" s="25">
        <f t="shared" ca="1" si="377"/>
        <v>-144230.9860461955</v>
      </c>
      <c r="CQ160" s="25">
        <f t="shared" ca="1" si="377"/>
        <v>-144232.5839079291</v>
      </c>
      <c r="CR160" s="25">
        <f t="shared" ca="1" si="377"/>
        <v>-144234.21107615155</v>
      </c>
      <c r="CS160" s="25">
        <f t="shared" ca="1" si="377"/>
        <v>-144235.8681635001</v>
      </c>
      <c r="CT160" s="25">
        <f t="shared" ca="1" si="377"/>
        <v>-144237.55579459964</v>
      </c>
      <c r="CU160" s="25">
        <f t="shared" ca="1" si="377"/>
        <v>-144239.2746063052</v>
      </c>
      <c r="CV160" s="25">
        <f t="shared" ca="1" si="377"/>
        <v>-144241.02524794894</v>
      </c>
      <c r="CW160" s="25">
        <f t="shared" ca="1" si="377"/>
        <v>-144242.80838159271</v>
      </c>
      <c r="CX160" s="25">
        <f t="shared" ca="1" si="377"/>
        <v>-144244.62468228478</v>
      </c>
      <c r="CY160" s="25">
        <f t="shared" ca="1" si="377"/>
        <v>-144246.47483832235</v>
      </c>
      <c r="CZ160" s="25">
        <f t="shared" ca="1" si="377"/>
        <v>-144248.35955151907</v>
      </c>
      <c r="DA160" s="25">
        <f t="shared" ca="1" si="377"/>
        <v>-144250.27953747765</v>
      </c>
      <c r="DB160" s="25">
        <f t="shared" ca="1" si="377"/>
        <v>-144250.40760301056</v>
      </c>
      <c r="DC160" s="25">
        <f t="shared" ca="1" si="377"/>
        <v>-144250.53828684095</v>
      </c>
      <c r="DD160" s="25">
        <f t="shared" ca="1" si="377"/>
        <v>-144250.67167783639</v>
      </c>
      <c r="DE160" s="25">
        <f t="shared" ca="1" si="377"/>
        <v>-144250.80782920524</v>
      </c>
      <c r="DF160" s="25">
        <f t="shared" ca="1" si="377"/>
        <v>-144250.94679522942</v>
      </c>
      <c r="DG160" s="25">
        <f t="shared" ca="1" si="377"/>
        <v>-144251.08863128576</v>
      </c>
      <c r="DH160" s="25">
        <f t="shared" ca="1" si="377"/>
        <v>-144251.23339386785</v>
      </c>
      <c r="DI160" s="25">
        <f t="shared" ca="1" si="377"/>
        <v>-144251.38114060811</v>
      </c>
      <c r="DJ160" s="25">
        <f t="shared" ca="1" si="377"/>
        <v>-144251.53193030061</v>
      </c>
      <c r="DK160" s="25">
        <f t="shared" ca="1" si="377"/>
        <v>-144251.68582292425</v>
      </c>
      <c r="DL160" s="25">
        <f t="shared" ca="1" si="377"/>
        <v>-144251.84287966631</v>
      </c>
      <c r="DM160" s="25">
        <f t="shared" ca="1" si="377"/>
        <v>-144252.00316294646</v>
      </c>
      <c r="DN160" s="25">
        <f t="shared" ca="1" si="377"/>
        <v>-144252.00471212462</v>
      </c>
      <c r="DO160" s="25">
        <f t="shared" ca="1" si="377"/>
        <v>-144252.00659140831</v>
      </c>
      <c r="DP160" s="25">
        <f t="shared" ca="1" si="377"/>
        <v>-144252.00880769434</v>
      </c>
      <c r="DQ160" s="25">
        <f t="shared" ca="1" si="377"/>
        <v>-144252.01136472856</v>
      </c>
      <c r="DR160" s="25">
        <f t="shared" ca="1" si="377"/>
        <v>-144252.01426636177</v>
      </c>
      <c r="DS160" s="25">
        <f t="shared" ca="1" si="377"/>
        <v>-144252.01751655134</v>
      </c>
      <c r="DT160" s="25">
        <f t="shared" ca="1" si="377"/>
        <v>-144252.02111936317</v>
      </c>
      <c r="DU160" s="25">
        <f t="shared" ca="1" si="377"/>
        <v>-144252.0250789735</v>
      </c>
      <c r="DV160" s="25">
        <f t="shared" ca="1" si="377"/>
        <v>-144252.02939967089</v>
      </c>
      <c r="DW160" s="25">
        <f t="shared" ca="1" si="377"/>
        <v>-144252.03408585815</v>
      </c>
      <c r="DX160" s="25">
        <f t="shared" ca="1" si="377"/>
        <v>-144252.03914205424</v>
      </c>
      <c r="DY160" s="25">
        <f t="shared" ca="1" si="377"/>
        <v>-144252.04457289664</v>
      </c>
    </row>
    <row r="161" spans="3:129" outlineLevel="2">
      <c r="C161" s="9" t="str">
        <f>'Model Assumptions'!$I$24</f>
        <v>Product 3</v>
      </c>
      <c r="D161" s="9"/>
      <c r="J161" s="25">
        <f ca="1">-(_NewSalesP3+_RetainedSalesP3)*_OpexP3-_RepossessedP3*_ReposessionP3-_activeinstallationsBoPP3*_MaintenanceP3</f>
        <v>-15939.760298710624</v>
      </c>
      <c r="K161" s="25">
        <f t="shared" ref="K161:AO161" ca="1" si="378">-(_NewSalesP3+_RetainedSalesP3)*_OpexP3-_RepossessedP3*_ReposessionP3-_activeinstallationsBoPP3*_MaintenanceP3</f>
        <v>-16247.275130172944</v>
      </c>
      <c r="L161" s="25">
        <f t="shared" ca="1" si="378"/>
        <v>-16560.956013320643</v>
      </c>
      <c r="M161" s="25">
        <f t="shared" ca="1" si="378"/>
        <v>-16880.926111636862</v>
      </c>
      <c r="N161" s="25">
        <f t="shared" ca="1" si="378"/>
        <v>-17207.311053449925</v>
      </c>
      <c r="O161" s="25">
        <f t="shared" ca="1" si="378"/>
        <v>-17540.23898121445</v>
      </c>
      <c r="P161" s="25">
        <f t="shared" ca="1" si="378"/>
        <v>-17879.840601778324</v>
      </c>
      <c r="Q161" s="25">
        <f t="shared" ca="1" si="378"/>
        <v>-18226.249237655094</v>
      </c>
      <c r="R161" s="25">
        <f t="shared" ca="1" si="378"/>
        <v>-18579.600879321995</v>
      </c>
      <c r="S161" s="25">
        <f t="shared" ca="1" si="378"/>
        <v>-18940.034238564112</v>
      </c>
      <c r="T161" s="25">
        <f t="shared" ca="1" si="378"/>
        <v>-19307.690802885521</v>
      </c>
      <c r="U161" s="25">
        <f t="shared" ca="1" si="378"/>
        <v>-19682.714891008873</v>
      </c>
      <c r="V161" s="25">
        <f t="shared" ca="1" si="378"/>
        <v>-20065.253709485045</v>
      </c>
      <c r="W161" s="25">
        <f t="shared" ca="1" si="378"/>
        <v>-20455.457410435189</v>
      </c>
      <c r="X161" s="25">
        <f t="shared" ca="1" si="378"/>
        <v>-20853.479150447747</v>
      </c>
      <c r="Y161" s="25">
        <f t="shared" ca="1" si="378"/>
        <v>-21259.475150653529</v>
      </c>
      <c r="Z161" s="25">
        <f t="shared" ca="1" si="378"/>
        <v>-21673.604758002471</v>
      </c>
      <c r="AA161" s="25">
        <f t="shared" ca="1" si="378"/>
        <v>-22096.030507766041</v>
      </c>
      <c r="AB161" s="25">
        <f t="shared" ca="1" si="378"/>
        <v>-22526.918187289859</v>
      </c>
      <c r="AC161" s="25">
        <f t="shared" ca="1" si="378"/>
        <v>-22966.436901021487</v>
      </c>
      <c r="AD161" s="25">
        <f t="shared" ca="1" si="378"/>
        <v>-23414.759136838893</v>
      </c>
      <c r="AE161" s="25">
        <f t="shared" ca="1" si="378"/>
        <v>-23872.060833705691</v>
      </c>
      <c r="AF161" s="25">
        <f t="shared" ca="1" si="378"/>
        <v>-24338.521450679531</v>
      </c>
      <c r="AG161" s="25">
        <f t="shared" ca="1" si="378"/>
        <v>-24814.324037300867</v>
      </c>
      <c r="AH161" s="25">
        <f t="shared" ca="1" si="378"/>
        <v>-25299.655305389562</v>
      </c>
      <c r="AI161" s="25">
        <f t="shared" ca="1" si="378"/>
        <v>-25794.705702277621</v>
      </c>
      <c r="AJ161" s="25">
        <f t="shared" ca="1" si="378"/>
        <v>-26299.669485506642</v>
      </c>
      <c r="AK161" s="25">
        <f t="shared" ca="1" si="378"/>
        <v>-26814.744799019423</v>
      </c>
      <c r="AL161" s="25">
        <f t="shared" ca="1" si="378"/>
        <v>-27340.133750875448</v>
      </c>
      <c r="AM161" s="25">
        <f t="shared" ca="1" si="378"/>
        <v>-27876.042492520846</v>
      </c>
      <c r="AN161" s="25">
        <f t="shared" ca="1" si="378"/>
        <v>-29006.43510360859</v>
      </c>
      <c r="AO161" s="25">
        <f t="shared" ca="1" si="378"/>
        <v>-29585.602533190915</v>
      </c>
      <c r="AP161" s="25">
        <f t="shared" ref="AP161:BU161" ca="1" si="379">-(_NewSalesP3+_RetainedSalesP3)*_OpexP3-_RepossessedP3*_ReposessionP3-_activeinstallationsBoPP3*_MaintenanceP3</f>
        <v>-30176.355745394649</v>
      </c>
      <c r="AQ161" s="25">
        <f t="shared" ca="1" si="379"/>
        <v>-30778.926431531901</v>
      </c>
      <c r="AR161" s="25">
        <f t="shared" ca="1" si="379"/>
        <v>-31393.550916984459</v>
      </c>
      <c r="AS161" s="25">
        <f t="shared" ca="1" si="379"/>
        <v>-32020.470253882697</v>
      </c>
      <c r="AT161" s="25">
        <f t="shared" ca="1" si="379"/>
        <v>-32659.930315638168</v>
      </c>
      <c r="AU161" s="25">
        <f t="shared" ca="1" si="379"/>
        <v>-33312.181893366826</v>
      </c>
      <c r="AV161" s="25">
        <f t="shared" ca="1" si="379"/>
        <v>-33977.480794240742</v>
      </c>
      <c r="AW161" s="25">
        <f t="shared" ca="1" si="379"/>
        <v>-34656.087941806938</v>
      </c>
      <c r="AX161" s="25">
        <f t="shared" ca="1" si="379"/>
        <v>-35348.269478312483</v>
      </c>
      <c r="AY161" s="25">
        <f t="shared" ca="1" si="379"/>
        <v>-36054.296869076301</v>
      </c>
      <c r="AZ161" s="25">
        <f t="shared" ca="1" si="379"/>
        <v>-36774.447008948271</v>
      </c>
      <c r="BA161" s="25">
        <f t="shared" ca="1" si="379"/>
        <v>-37509.002330897616</v>
      </c>
      <c r="BB161" s="25">
        <f t="shared" ca="1" si="379"/>
        <v>-38258.250916773111</v>
      </c>
      <c r="BC161" s="25">
        <f t="shared" ca="1" si="379"/>
        <v>-39022.486610278393</v>
      </c>
      <c r="BD161" s="25">
        <f t="shared" ca="1" si="379"/>
        <v>-39802.009132206927</v>
      </c>
      <c r="BE161" s="25">
        <f t="shared" ca="1" si="379"/>
        <v>-40597.124197981655</v>
      </c>
      <c r="BF161" s="25">
        <f t="shared" ca="1" si="379"/>
        <v>-41408.143637545414</v>
      </c>
      <c r="BG161" s="25">
        <f t="shared" ca="1" si="379"/>
        <v>-42235.385517649273</v>
      </c>
      <c r="BH161" s="25">
        <f t="shared" ca="1" si="379"/>
        <v>-43079.174266586524</v>
      </c>
      <c r="BI161" s="25">
        <f t="shared" ca="1" si="379"/>
        <v>-43939.840801421538</v>
      </c>
      <c r="BJ161" s="25">
        <f t="shared" ca="1" si="379"/>
        <v>-44817.722657763072</v>
      </c>
      <c r="BK161" s="25">
        <f t="shared" ca="1" si="379"/>
        <v>-45713.164122133145</v>
      </c>
      <c r="BL161" s="25">
        <f t="shared" ca="1" si="379"/>
        <v>-46626.516366983335</v>
      </c>
      <c r="BM161" s="25">
        <f t="shared" ca="1" si="379"/>
        <v>-47558.1375884113</v>
      </c>
      <c r="BN161" s="25">
        <f t="shared" ca="1" si="379"/>
        <v>-48508.393146631803</v>
      </c>
      <c r="BO161" s="25">
        <f t="shared" ca="1" si="379"/>
        <v>-49477.655709257022</v>
      </c>
      <c r="BP161" s="25">
        <f t="shared" ca="1" si="379"/>
        <v>-50466.305397442688</v>
      </c>
      <c r="BQ161" s="25">
        <f t="shared" ca="1" si="379"/>
        <v>-51474.729934956915</v>
      </c>
      <c r="BR161" s="25">
        <f t="shared" ca="1" si="379"/>
        <v>-51562.195854396952</v>
      </c>
      <c r="BS161" s="25">
        <f t="shared" ca="1" si="379"/>
        <v>-51608.768727330607</v>
      </c>
      <c r="BT161" s="25">
        <f t="shared" ca="1" si="379"/>
        <v>-51656.079282943749</v>
      </c>
      <c r="BU161" s="25">
        <f t="shared" ca="1" si="379"/>
        <v>-51704.144212637737</v>
      </c>
      <c r="BV161" s="25">
        <f t="shared" ref="BV161:DY161" ca="1" si="380">-(_NewSalesP3+_RetainedSalesP3)*_OpexP3-_RepossessedP3*_ReposessionP3-_activeinstallationsBoPP3*_MaintenanceP3</f>
        <v>-51752.980522264501</v>
      </c>
      <c r="BW161" s="25">
        <f t="shared" ca="1" si="380"/>
        <v>-51802.605538609321</v>
      </c>
      <c r="BX161" s="25">
        <f t="shared" ca="1" si="380"/>
        <v>-51853.0369160013</v>
      </c>
      <c r="BY161" s="25">
        <f t="shared" ca="1" si="380"/>
        <v>-51904.292643054163</v>
      </c>
      <c r="BZ161" s="25">
        <f t="shared" ca="1" si="380"/>
        <v>-51956.391049540005</v>
      </c>
      <c r="CA161" s="25">
        <f t="shared" ca="1" si="380"/>
        <v>-52009.350813398582</v>
      </c>
      <c r="CB161" s="25">
        <f t="shared" ca="1" si="380"/>
        <v>-52063.190967884904</v>
      </c>
      <c r="CC161" s="25">
        <f t="shared" ca="1" si="380"/>
        <v>-52117.930908858019</v>
      </c>
      <c r="CD161" s="25">
        <f t="shared" ca="1" si="380"/>
        <v>-52173.590402213704</v>
      </c>
      <c r="CE161" s="25">
        <f t="shared" ca="1" si="380"/>
        <v>-52230.189591463968</v>
      </c>
      <c r="CF161" s="25">
        <f t="shared" ca="1" si="380"/>
        <v>-52287.749005466423</v>
      </c>
      <c r="CG161" s="25">
        <f t="shared" ca="1" si="380"/>
        <v>-52346.289566306463</v>
      </c>
      <c r="CH161" s="25">
        <f t="shared" ca="1" si="380"/>
        <v>-52405.83259733524</v>
      </c>
      <c r="CI161" s="25">
        <f t="shared" ca="1" si="380"/>
        <v>-52466.39983136682</v>
      </c>
      <c r="CJ161" s="25">
        <f t="shared" ca="1" si="380"/>
        <v>-52528.01341903743</v>
      </c>
      <c r="CK161" s="25">
        <f t="shared" ca="1" si="380"/>
        <v>-52590.695937330289</v>
      </c>
      <c r="CL161" s="25">
        <f t="shared" ca="1" si="380"/>
        <v>-52654.470398269121</v>
      </c>
      <c r="CM161" s="25">
        <f t="shared" ca="1" si="380"/>
        <v>-52719.360257784079</v>
      </c>
      <c r="CN161" s="25">
        <f t="shared" ca="1" si="380"/>
        <v>-52785.389424753084</v>
      </c>
      <c r="CO161" s="25">
        <f t="shared" ca="1" si="380"/>
        <v>-52852.582270222585</v>
      </c>
      <c r="CP161" s="25">
        <f t="shared" ca="1" si="380"/>
        <v>-52920.963636810993</v>
      </c>
      <c r="CQ161" s="25">
        <f t="shared" ca="1" si="380"/>
        <v>-52990.558848298584</v>
      </c>
      <c r="CR161" s="25">
        <f t="shared" ca="1" si="380"/>
        <v>-53061.393719407672</v>
      </c>
      <c r="CS161" s="25">
        <f t="shared" ca="1" si="380"/>
        <v>-53133.494565776738</v>
      </c>
      <c r="CT161" s="25">
        <f t="shared" ca="1" si="380"/>
        <v>-53206.888214132661</v>
      </c>
      <c r="CU161" s="25">
        <f t="shared" ca="1" si="380"/>
        <v>-53281.602012664531</v>
      </c>
      <c r="CV161" s="25">
        <f t="shared" ca="1" si="380"/>
        <v>-53288.048498339849</v>
      </c>
      <c r="CW161" s="25">
        <f t="shared" ca="1" si="380"/>
        <v>-53291.470357554703</v>
      </c>
      <c r="CX161" s="25">
        <f t="shared" ca="1" si="380"/>
        <v>-53294.947014564241</v>
      </c>
      <c r="CY161" s="25">
        <f t="shared" ca="1" si="380"/>
        <v>-53298.479701718272</v>
      </c>
      <c r="CZ161" s="25">
        <f t="shared" ca="1" si="380"/>
        <v>-53302.069674649632</v>
      </c>
      <c r="DA161" s="25">
        <f t="shared" ca="1" si="380"/>
        <v>-53305.718212753527</v>
      </c>
      <c r="DB161" s="25">
        <f t="shared" ca="1" si="380"/>
        <v>-53309.426619676269</v>
      </c>
      <c r="DC161" s="25">
        <f t="shared" ca="1" si="380"/>
        <v>-53313.196223813669</v>
      </c>
      <c r="DD161" s="25">
        <f t="shared" ca="1" si="380"/>
        <v>-53317.028378819254</v>
      </c>
      <c r="DE161" s="25">
        <f t="shared" ca="1" si="380"/>
        <v>-53320.924464122545</v>
      </c>
      <c r="DF161" s="25">
        <f t="shared" ca="1" si="380"/>
        <v>-53324.885885457501</v>
      </c>
      <c r="DG161" s="25">
        <f t="shared" ca="1" si="380"/>
        <v>-53328.914075401517</v>
      </c>
      <c r="DH161" s="25">
        <f t="shared" ca="1" si="380"/>
        <v>-53333.010493924936</v>
      </c>
      <c r="DI161" s="25">
        <f t="shared" ca="1" si="380"/>
        <v>-53337.176628951558</v>
      </c>
      <c r="DJ161" s="25">
        <f t="shared" ca="1" si="380"/>
        <v>-53341.41399693011</v>
      </c>
      <c r="DK161" s="25">
        <f t="shared" ca="1" si="380"/>
        <v>-53345.724143417101</v>
      </c>
      <c r="DL161" s="25">
        <f t="shared" ca="1" si="380"/>
        <v>-53350.108643671236</v>
      </c>
      <c r="DM161" s="25">
        <f t="shared" ca="1" si="380"/>
        <v>-53354.56910325947</v>
      </c>
      <c r="DN161" s="25">
        <f t="shared" ca="1" si="380"/>
        <v>-53359.1071586752</v>
      </c>
      <c r="DO161" s="25">
        <f t="shared" ca="1" si="380"/>
        <v>-53363.724477968623</v>
      </c>
      <c r="DP161" s="25">
        <f t="shared" ca="1" si="380"/>
        <v>-53368.422761389593</v>
      </c>
      <c r="DQ161" s="25">
        <f t="shared" ca="1" si="380"/>
        <v>-53373.203742043246</v>
      </c>
      <c r="DR161" s="25">
        <f t="shared" ca="1" si="380"/>
        <v>-53378.069186558583</v>
      </c>
      <c r="DS161" s="25">
        <f t="shared" ca="1" si="380"/>
        <v>-53383.020895770365</v>
      </c>
      <c r="DT161" s="25">
        <f t="shared" ca="1" si="380"/>
        <v>-53388.060705414457</v>
      </c>
      <c r="DU161" s="25">
        <f t="shared" ca="1" si="380"/>
        <v>-53393.190486837026</v>
      </c>
      <c r="DV161" s="25">
        <f t="shared" ca="1" si="380"/>
        <v>-53398.412147717776</v>
      </c>
      <c r="DW161" s="25">
        <f t="shared" ca="1" si="380"/>
        <v>-53403.727632807575</v>
      </c>
      <c r="DX161" s="25">
        <f t="shared" ca="1" si="380"/>
        <v>-53409.138924680694</v>
      </c>
      <c r="DY161" s="25">
        <f t="shared" ca="1" si="380"/>
        <v>-53414.648044501992</v>
      </c>
    </row>
    <row r="162" spans="3:129" outlineLevel="2">
      <c r="C162" s="9" t="str">
        <f>'Model Assumptions'!$J$24</f>
        <v>Product 4</v>
      </c>
      <c r="D162" s="9"/>
      <c r="J162" s="25">
        <f ca="1">-(_NewSalesP4+_RetainedSalesP4)*_OpexP4-_RepossessedP4*_ReposessionP4-_activeinstallationsBoPP4*_MaintenanceP4</f>
        <v>-42944.195352018047</v>
      </c>
      <c r="K162" s="25">
        <f t="shared" ref="K162:AO162" ca="1" si="381">-(_NewSalesP4+_RetainedSalesP4)*_OpexP4-_RepossessedP4*_ReposessionP4-_activeinstallationsBoPP4*_MaintenanceP4</f>
        <v>-43765.332024567608</v>
      </c>
      <c r="L162" s="25">
        <f t="shared" ca="1" si="381"/>
        <v>-44602.982130391654</v>
      </c>
      <c r="M162" s="25">
        <f t="shared" ca="1" si="381"/>
        <v>-45457.475031157475</v>
      </c>
      <c r="N162" s="25">
        <f t="shared" ca="1" si="381"/>
        <v>-46329.146684835629</v>
      </c>
      <c r="O162" s="25">
        <f t="shared" ca="1" si="381"/>
        <v>-47218.33977753541</v>
      </c>
      <c r="P162" s="25">
        <f t="shared" ca="1" si="381"/>
        <v>-48125.403857977748</v>
      </c>
      <c r="Q162" s="25">
        <f t="shared" ca="1" si="381"/>
        <v>-49050.695474658634</v>
      </c>
      <c r="R162" s="25">
        <f t="shared" ca="1" si="381"/>
        <v>-49994.578315756517</v>
      </c>
      <c r="S162" s="25">
        <f t="shared" ca="1" si="381"/>
        <v>-50957.42335183893</v>
      </c>
      <c r="T162" s="25">
        <f t="shared" ca="1" si="381"/>
        <v>-51939.608981423917</v>
      </c>
      <c r="U162" s="25">
        <f t="shared" ca="1" si="381"/>
        <v>-52941.521179453739</v>
      </c>
      <c r="V162" s="25">
        <f t="shared" ca="1" si="381"/>
        <v>-53963.553648738736</v>
      </c>
      <c r="W162" s="25">
        <f t="shared" ca="1" si="381"/>
        <v>-55006.107974431077</v>
      </c>
      <c r="X162" s="25">
        <f t="shared" ca="1" si="381"/>
        <v>-56069.593781588701</v>
      </c>
      <c r="Y162" s="25">
        <f t="shared" ca="1" si="381"/>
        <v>-57154.428895891404</v>
      </c>
      <c r="Z162" s="25">
        <f t="shared" ca="1" si="381"/>
        <v>-58261.039507572044</v>
      </c>
      <c r="AA162" s="25">
        <f t="shared" ca="1" si="381"/>
        <v>-59389.860338627281</v>
      </c>
      <c r="AB162" s="25">
        <f t="shared" ca="1" si="381"/>
        <v>-60541.334813373178</v>
      </c>
      <c r="AC162" s="25">
        <f t="shared" ca="1" si="381"/>
        <v>-61715.915232412874</v>
      </c>
      <c r="AD162" s="25">
        <f t="shared" ca="1" si="381"/>
        <v>-62914.062950084248</v>
      </c>
      <c r="AE162" s="25">
        <f t="shared" ca="1" si="381"/>
        <v>-64136.248555457416</v>
      </c>
      <c r="AF162" s="25">
        <f t="shared" ca="1" si="381"/>
        <v>-65382.952056952934</v>
      </c>
      <c r="AG162" s="25">
        <f t="shared" ca="1" si="381"/>
        <v>-66654.663070653114</v>
      </c>
      <c r="AH162" s="25">
        <f t="shared" ca="1" si="381"/>
        <v>-69347.57501009127</v>
      </c>
      <c r="AI162" s="25">
        <f t="shared" ca="1" si="381"/>
        <v>-70731.152253824504</v>
      </c>
      <c r="AJ162" s="25">
        <f t="shared" ca="1" si="381"/>
        <v>-72142.41225390695</v>
      </c>
      <c r="AK162" s="25">
        <f t="shared" ca="1" si="381"/>
        <v>-73581.908553350819</v>
      </c>
      <c r="AL162" s="25">
        <f t="shared" ca="1" si="381"/>
        <v>-75050.20576714979</v>
      </c>
      <c r="AM162" s="25">
        <f t="shared" ca="1" si="381"/>
        <v>-76547.879803707256</v>
      </c>
      <c r="AN162" s="25">
        <f t="shared" ca="1" si="381"/>
        <v>-78075.518090693586</v>
      </c>
      <c r="AO162" s="25">
        <f t="shared" ca="1" si="381"/>
        <v>-79633.719805420391</v>
      </c>
      <c r="AP162" s="25">
        <f t="shared" ref="AP162:BU162" ca="1" si="382">-(_NewSalesP4+_RetainedSalesP4)*_OpexP4-_RepossessedP4*_ReposessionP4-_activeinstallationsBoPP4*_MaintenanceP4</f>
        <v>-81223.096109822451</v>
      </c>
      <c r="AQ162" s="25">
        <f t="shared" ca="1" si="382"/>
        <v>-82844.270390139471</v>
      </c>
      <c r="AR162" s="25">
        <f t="shared" ca="1" si="382"/>
        <v>-84497.878501391489</v>
      </c>
      <c r="AS162" s="25">
        <f t="shared" ca="1" si="382"/>
        <v>-86184.569016743888</v>
      </c>
      <c r="AT162" s="25">
        <f t="shared" ca="1" si="382"/>
        <v>-87905.003481859967</v>
      </c>
      <c r="AU162" s="25">
        <f t="shared" ca="1" si="382"/>
        <v>-89659.856674340394</v>
      </c>
      <c r="AV162" s="25">
        <f t="shared" ca="1" si="382"/>
        <v>-91449.81686835186</v>
      </c>
      <c r="AW162" s="25">
        <f t="shared" ca="1" si="382"/>
        <v>-93275.586104548172</v>
      </c>
      <c r="AX162" s="25">
        <f t="shared" ca="1" si="382"/>
        <v>-95137.880465389972</v>
      </c>
      <c r="AY162" s="25">
        <f t="shared" ca="1" si="382"/>
        <v>-97037.430355970951</v>
      </c>
      <c r="AZ162" s="25">
        <f t="shared" ca="1" si="382"/>
        <v>-98974.980790460671</v>
      </c>
      <c r="BA162" s="25">
        <f t="shared" ca="1" si="382"/>
        <v>-100951.29168427634</v>
      </c>
      <c r="BB162" s="25">
        <f t="shared" ca="1" si="382"/>
        <v>-102967.13815209811</v>
      </c>
      <c r="BC162" s="25">
        <f t="shared" ca="1" si="382"/>
        <v>-105023.3108118448</v>
      </c>
      <c r="BD162" s="25">
        <f t="shared" ca="1" si="382"/>
        <v>-107120.61609472927</v>
      </c>
      <c r="BE162" s="25">
        <f t="shared" ca="1" si="382"/>
        <v>-109259.87656151476</v>
      </c>
      <c r="BF162" s="25">
        <f t="shared" ca="1" si="382"/>
        <v>-111551.58785162267</v>
      </c>
      <c r="BG162" s="25">
        <f t="shared" ca="1" si="382"/>
        <v>-113782.03352072126</v>
      </c>
      <c r="BH162" s="25">
        <f t="shared" ca="1" si="382"/>
        <v>-116057.0921938627</v>
      </c>
      <c r="BI162" s="25">
        <f t="shared" ca="1" si="382"/>
        <v>-118377.65609022118</v>
      </c>
      <c r="BJ162" s="25">
        <f t="shared" ca="1" si="382"/>
        <v>-120744.63527376355</v>
      </c>
      <c r="BK162" s="25">
        <f t="shared" ca="1" si="382"/>
        <v>-123158.95801014085</v>
      </c>
      <c r="BL162" s="25">
        <f t="shared" ca="1" si="382"/>
        <v>-125621.57113071819</v>
      </c>
      <c r="BM162" s="25">
        <f t="shared" ca="1" si="382"/>
        <v>-128133.44040388483</v>
      </c>
      <c r="BN162" s="25">
        <f t="shared" ca="1" si="382"/>
        <v>-130695.55091379078</v>
      </c>
      <c r="BO162" s="25">
        <f t="shared" ca="1" si="382"/>
        <v>-133308.90744665804</v>
      </c>
      <c r="BP162" s="25">
        <f t="shared" ca="1" si="382"/>
        <v>-135974.53488481828</v>
      </c>
      <c r="BQ162" s="25">
        <f t="shared" ca="1" si="382"/>
        <v>-138693.47860863089</v>
      </c>
      <c r="BR162" s="25">
        <f t="shared" ca="1" si="382"/>
        <v>-138841.9802757478</v>
      </c>
      <c r="BS162" s="25">
        <f t="shared" ca="1" si="382"/>
        <v>-138992.66819134293</v>
      </c>
      <c r="BT162" s="25">
        <f t="shared" ca="1" si="382"/>
        <v>-139145.59391823455</v>
      </c>
      <c r="BU162" s="25">
        <f t="shared" ca="1" si="382"/>
        <v>-139300.80997211873</v>
      </c>
      <c r="BV162" s="25">
        <f t="shared" ref="BV162:DY162" ca="1" si="383">-(_NewSalesP4+_RetainedSalesP4)*_OpexP4-_RepossessedP4*_ReposessionP4-_activeinstallationsBoPP4*_MaintenanceP4</f>
        <v>-139458.36984141078</v>
      </c>
      <c r="BW162" s="25">
        <f t="shared" ca="1" si="383"/>
        <v>-139618.32800747553</v>
      </c>
      <c r="BX162" s="25">
        <f t="shared" ca="1" si="383"/>
        <v>-139780.73996525456</v>
      </c>
      <c r="BY162" s="25">
        <f t="shared" ca="1" si="383"/>
        <v>-139945.66224429826</v>
      </c>
      <c r="BZ162" s="25">
        <f t="shared" ca="1" si="383"/>
        <v>-140113.15243021082</v>
      </c>
      <c r="CA162" s="25">
        <f t="shared" ca="1" si="383"/>
        <v>-140283.26918651673</v>
      </c>
      <c r="CB162" s="25">
        <f t="shared" ca="1" si="383"/>
        <v>-140456.07227695707</v>
      </c>
      <c r="CC162" s="25">
        <f t="shared" ca="1" si="383"/>
        <v>-140631.62258822456</v>
      </c>
      <c r="CD162" s="25">
        <f t="shared" ca="1" si="383"/>
        <v>-140818.59763459099</v>
      </c>
      <c r="CE162" s="25">
        <f t="shared" ca="1" si="383"/>
        <v>-141000.20214692235</v>
      </c>
      <c r="CF162" s="25">
        <f t="shared" ca="1" si="383"/>
        <v>-141184.75059112557</v>
      </c>
      <c r="CG162" s="25">
        <f t="shared" ca="1" si="383"/>
        <v>-141372.30872742191</v>
      </c>
      <c r="CH162" s="25">
        <f t="shared" ca="1" si="383"/>
        <v>-141562.9435624211</v>
      </c>
      <c r="CI162" s="25">
        <f t="shared" ca="1" si="383"/>
        <v>-141756.72337473746</v>
      </c>
      <c r="CJ162" s="25">
        <f t="shared" ca="1" si="383"/>
        <v>-141953.71774111112</v>
      </c>
      <c r="CK162" s="25">
        <f t="shared" ca="1" si="383"/>
        <v>-142153.99756304512</v>
      </c>
      <c r="CL162" s="25">
        <f t="shared" ca="1" si="383"/>
        <v>-142357.63509396836</v>
      </c>
      <c r="CM162" s="25">
        <f t="shared" ca="1" si="383"/>
        <v>-142564.70396693511</v>
      </c>
      <c r="CN162" s="25">
        <f t="shared" ca="1" si="383"/>
        <v>-142775.27922287202</v>
      </c>
      <c r="CO162" s="25">
        <f t="shared" ca="1" si="383"/>
        <v>-142989.43733938329</v>
      </c>
      <c r="CP162" s="25">
        <f t="shared" ca="1" si="383"/>
        <v>-143001.02952654727</v>
      </c>
      <c r="CQ162" s="25">
        <f t="shared" ca="1" si="383"/>
        <v>-143012.79423511727</v>
      </c>
      <c r="CR162" s="25">
        <f t="shared" ca="1" si="383"/>
        <v>-143024.73550874481</v>
      </c>
      <c r="CS162" s="25">
        <f t="shared" ca="1" si="383"/>
        <v>-143036.85746602222</v>
      </c>
      <c r="CT162" s="25">
        <f t="shared" ca="1" si="383"/>
        <v>-143049.16430204071</v>
      </c>
      <c r="CU162" s="25">
        <f t="shared" ca="1" si="383"/>
        <v>-143061.6602899791</v>
      </c>
      <c r="CV162" s="25">
        <f t="shared" ca="1" si="383"/>
        <v>-143074.34978272385</v>
      </c>
      <c r="CW162" s="25">
        <f t="shared" ca="1" si="383"/>
        <v>-143087.23721452057</v>
      </c>
      <c r="CX162" s="25">
        <f t="shared" ca="1" si="383"/>
        <v>-143100.32710265837</v>
      </c>
      <c r="CY162" s="25">
        <f t="shared" ca="1" si="383"/>
        <v>-143113.624049187</v>
      </c>
      <c r="CZ162" s="25">
        <f t="shared" ca="1" si="383"/>
        <v>-143127.13274266798</v>
      </c>
      <c r="DA162" s="25">
        <f t="shared" ca="1" si="383"/>
        <v>-143140.85795996015</v>
      </c>
      <c r="DB162" s="25">
        <f t="shared" ca="1" si="383"/>
        <v>-143155.48146758476</v>
      </c>
      <c r="DC162" s="25">
        <f t="shared" ca="1" si="383"/>
        <v>-143169.68369122036</v>
      </c>
      <c r="DD162" s="25">
        <f t="shared" ca="1" si="383"/>
        <v>-143184.11787360717</v>
      </c>
      <c r="DE162" s="25">
        <f t="shared" ca="1" si="383"/>
        <v>-143198.78917477746</v>
      </c>
      <c r="DF162" s="25">
        <f t="shared" ca="1" si="383"/>
        <v>-143213.70285275555</v>
      </c>
      <c r="DG162" s="25">
        <f t="shared" ca="1" si="383"/>
        <v>-143228.86426556972</v>
      </c>
      <c r="DH162" s="25">
        <f t="shared" ca="1" si="383"/>
        <v>-143244.27887330393</v>
      </c>
      <c r="DI162" s="25">
        <f t="shared" ca="1" si="383"/>
        <v>-143259.95224018997</v>
      </c>
      <c r="DJ162" s="25">
        <f t="shared" ca="1" si="383"/>
        <v>-143275.89003674092</v>
      </c>
      <c r="DK162" s="25">
        <f t="shared" ca="1" si="383"/>
        <v>-143292.09804192674</v>
      </c>
      <c r="DL162" s="25">
        <f t="shared" ca="1" si="383"/>
        <v>-143308.58214539313</v>
      </c>
      <c r="DM162" s="25">
        <f t="shared" ca="1" si="383"/>
        <v>-143325.34834972394</v>
      </c>
      <c r="DN162" s="25">
        <f t="shared" ca="1" si="383"/>
        <v>-143326.19998908619</v>
      </c>
      <c r="DO162" s="25">
        <f t="shared" ca="1" si="383"/>
        <v>-143327.06577441265</v>
      </c>
      <c r="DP162" s="25">
        <f t="shared" ca="1" si="383"/>
        <v>-143327.94601749082</v>
      </c>
      <c r="DQ162" s="25">
        <f t="shared" ca="1" si="383"/>
        <v>-143328.84103605527</v>
      </c>
      <c r="DR162" s="25">
        <f t="shared" ca="1" si="383"/>
        <v>-143329.75115390948</v>
      </c>
      <c r="DS162" s="25">
        <f t="shared" ca="1" si="383"/>
        <v>-143330.67670105011</v>
      </c>
      <c r="DT162" s="25">
        <f t="shared" ca="1" si="383"/>
        <v>-143331.61801379352</v>
      </c>
      <c r="DU162" s="25">
        <f t="shared" ca="1" si="383"/>
        <v>-143332.57543490519</v>
      </c>
      <c r="DV162" s="25">
        <f t="shared" ca="1" si="383"/>
        <v>-143333.54931373138</v>
      </c>
      <c r="DW162" s="25">
        <f t="shared" ca="1" si="383"/>
        <v>-143334.54000633341</v>
      </c>
      <c r="DX162" s="25">
        <f t="shared" ca="1" si="383"/>
        <v>-143335.54787562488</v>
      </c>
      <c r="DY162" s="25">
        <f t="shared" ca="1" si="383"/>
        <v>-143336.5732915111</v>
      </c>
    </row>
    <row r="163" spans="3:129" outlineLevel="2">
      <c r="C163" s="9" t="str">
        <f>'Model Assumptions'!$K$24</f>
        <v>Product 5</v>
      </c>
      <c r="D163" s="9"/>
      <c r="J163" s="25">
        <f t="shared" ref="J163:AO163" ca="1" si="384">-(_NewSalesP5+_RetainedSalesP5)*_OpexP5-_RepossessedP5*_ReposessionP5-_activeinstallationsBoPP5*_MaintenanceP5</f>
        <v>-20471.4731784006</v>
      </c>
      <c r="K163" s="25">
        <f t="shared" ca="1" si="384"/>
        <v>-20885.356400818917</v>
      </c>
      <c r="L163" s="25">
        <f t="shared" ca="1" si="384"/>
        <v>-21307.463191013052</v>
      </c>
      <c r="M163" s="25">
        <f t="shared" ca="1" si="384"/>
        <v>-21737.958561305248</v>
      </c>
      <c r="N163" s="25">
        <f t="shared" ca="1" si="384"/>
        <v>-22177.01081885452</v>
      </c>
      <c r="O163" s="25">
        <f t="shared" ca="1" si="384"/>
        <v>-22624.791631607502</v>
      </c>
      <c r="P163" s="25">
        <f t="shared" ca="1" si="384"/>
        <v>-23081.47609556773</v>
      </c>
      <c r="Q163" s="25">
        <f t="shared" ca="1" si="384"/>
        <v>-23547.242803409845</v>
      </c>
      <c r="R163" s="25">
        <f t="shared" ca="1" si="384"/>
        <v>-24022.273914465444</v>
      </c>
      <c r="S163" s="25">
        <f t="shared" ca="1" si="384"/>
        <v>-24506.755226108235</v>
      </c>
      <c r="T163" s="25">
        <f t="shared" ca="1" si="384"/>
        <v>-25000.876246566302</v>
      </c>
      <c r="U163" s="25">
        <f t="shared" ca="1" si="384"/>
        <v>-25504.830269190123</v>
      </c>
      <c r="V163" s="25">
        <f t="shared" ca="1" si="384"/>
        <v>-26018.814448205452</v>
      </c>
      <c r="W163" s="25">
        <f t="shared" ca="1" si="384"/>
        <v>-26543.029875980723</v>
      </c>
      <c r="X163" s="25">
        <f t="shared" ca="1" si="384"/>
        <v>-27077.681661839339</v>
      </c>
      <c r="Y163" s="25">
        <f t="shared" ca="1" si="384"/>
        <v>-27622.979012447693</v>
      </c>
      <c r="Z163" s="25">
        <f t="shared" ca="1" si="384"/>
        <v>-28179.135313810461</v>
      </c>
      <c r="AA163" s="25">
        <f t="shared" ca="1" si="384"/>
        <v>-28746.368214905287</v>
      </c>
      <c r="AB163" s="25">
        <f t="shared" ca="1" si="384"/>
        <v>-29324.899712989776</v>
      </c>
      <c r="AC163" s="25">
        <f t="shared" ca="1" si="384"/>
        <v>-29914.956240614058</v>
      </c>
      <c r="AD163" s="25">
        <f t="shared" ca="1" si="384"/>
        <v>-30516.768754373123</v>
      </c>
      <c r="AE163" s="25">
        <f t="shared" ca="1" si="384"/>
        <v>-31130.572825433857</v>
      </c>
      <c r="AF163" s="25">
        <f t="shared" ca="1" si="384"/>
        <v>-31756.608731872024</v>
      </c>
      <c r="AG163" s="25">
        <f t="shared" ca="1" si="384"/>
        <v>-32395.121552855617</v>
      </c>
      <c r="AH163" s="25">
        <f t="shared" ca="1" si="384"/>
        <v>-34588.815578065347</v>
      </c>
      <c r="AI163" s="25">
        <f t="shared" ca="1" si="384"/>
        <v>-35280.928193765074</v>
      </c>
      <c r="AJ163" s="25">
        <f t="shared" ca="1" si="384"/>
        <v>-35986.87894770105</v>
      </c>
      <c r="AK163" s="25">
        <f t="shared" ca="1" si="384"/>
        <v>-36706.944643778814</v>
      </c>
      <c r="AL163" s="25">
        <f t="shared" ca="1" si="384"/>
        <v>-37441.407621570557</v>
      </c>
      <c r="AM163" s="25">
        <f t="shared" ca="1" si="384"/>
        <v>-38190.555867032635</v>
      </c>
      <c r="AN163" s="25">
        <f t="shared" ca="1" si="384"/>
        <v>-38954.68312543731</v>
      </c>
      <c r="AO163" s="25">
        <f t="shared" ca="1" si="384"/>
        <v>-39734.089016563106</v>
      </c>
      <c r="AP163" s="25">
        <f t="shared" ref="AP163:BU163" ca="1" si="385">-(_NewSalesP5+_RetainedSalesP5)*_OpexP5-_RepossessedP5*_ReposessionP5-_activeinstallationsBoPP5*_MaintenanceP5</f>
        <v>-40529.079152188904</v>
      </c>
      <c r="AQ163" s="25">
        <f t="shared" ca="1" si="385"/>
        <v>-41339.965255937932</v>
      </c>
      <c r="AR163" s="25">
        <f t="shared" ca="1" si="385"/>
        <v>-42167.065285518554</v>
      </c>
      <c r="AS163" s="25">
        <f t="shared" ca="1" si="385"/>
        <v>-43010.703557409826</v>
      </c>
      <c r="AT163" s="25">
        <f t="shared" ca="1" si="385"/>
        <v>-43871.210874040786</v>
      </c>
      <c r="AU163" s="25">
        <f t="shared" ca="1" si="385"/>
        <v>-44748.92465351319</v>
      </c>
      <c r="AV163" s="25">
        <f t="shared" ca="1" si="385"/>
        <v>-45644.189061918791</v>
      </c>
      <c r="AW163" s="25">
        <f t="shared" ca="1" si="385"/>
        <v>-46557.355148302813</v>
      </c>
      <c r="AX163" s="25">
        <f t="shared" ca="1" si="385"/>
        <v>-47488.780982326716</v>
      </c>
      <c r="AY163" s="25">
        <f t="shared" ca="1" si="385"/>
        <v>-48438.831794684193</v>
      </c>
      <c r="AZ163" s="25">
        <f t="shared" ca="1" si="385"/>
        <v>-49407.880120325361</v>
      </c>
      <c r="BA163" s="25">
        <f t="shared" ca="1" si="385"/>
        <v>-50396.305944545544</v>
      </c>
      <c r="BB163" s="25">
        <f t="shared" ca="1" si="385"/>
        <v>-51404.496851995653</v>
      </c>
      <c r="BC163" s="25">
        <f t="shared" ca="1" si="385"/>
        <v>-52432.84817867283</v>
      </c>
      <c r="BD163" s="25">
        <f t="shared" ca="1" si="385"/>
        <v>-53481.763166950848</v>
      </c>
      <c r="BE163" s="25">
        <f t="shared" ca="1" si="385"/>
        <v>-54551.653123711039</v>
      </c>
      <c r="BF163" s="25">
        <f t="shared" ca="1" si="385"/>
        <v>-55764.124845355487</v>
      </c>
      <c r="BG163" s="25">
        <f t="shared" ca="1" si="385"/>
        <v>-56879.423065610987</v>
      </c>
      <c r="BH163" s="25">
        <f t="shared" ca="1" si="385"/>
        <v>-58017.027034030827</v>
      </c>
      <c r="BI163" s="25">
        <f t="shared" ca="1" si="385"/>
        <v>-59177.382867740707</v>
      </c>
      <c r="BJ163" s="25">
        <f t="shared" ca="1" si="385"/>
        <v>-60360.945606187212</v>
      </c>
      <c r="BK163" s="25">
        <f t="shared" ca="1" si="385"/>
        <v>-61568.179389584438</v>
      </c>
      <c r="BL163" s="25">
        <f t="shared" ca="1" si="385"/>
        <v>-62799.557640929605</v>
      </c>
      <c r="BM163" s="25">
        <f t="shared" ca="1" si="385"/>
        <v>-64055.563251658852</v>
      </c>
      <c r="BN163" s="25">
        <f t="shared" ca="1" si="385"/>
        <v>-65336.688771016299</v>
      </c>
      <c r="BO163" s="25">
        <f t="shared" ca="1" si="385"/>
        <v>-66643.436599210356</v>
      </c>
      <c r="BP163" s="25">
        <f t="shared" ca="1" si="385"/>
        <v>-67976.319184433276</v>
      </c>
      <c r="BQ163" s="25">
        <f t="shared" ca="1" si="385"/>
        <v>-69335.859223820968</v>
      </c>
      <c r="BR163" s="25">
        <f t="shared" ca="1" si="385"/>
        <v>-69410.177553086003</v>
      </c>
      <c r="BS163" s="25">
        <f t="shared" ca="1" si="385"/>
        <v>-69485.588331633102</v>
      </c>
      <c r="BT163" s="25">
        <f t="shared" ca="1" si="385"/>
        <v>-69562.117347620922</v>
      </c>
      <c r="BU163" s="25">
        <f t="shared" ca="1" si="385"/>
        <v>-69639.790865579605</v>
      </c>
      <c r="BV163" s="25">
        <f t="shared" ref="BV163:DY163" ca="1" si="386">-(_NewSalesP5+_RetainedSalesP5)*_OpexP5-_RepossessedP5*_ReposessionP5-_activeinstallationsBoPP5*_MaintenanceP5</f>
        <v>-69718.635636332052</v>
      </c>
      <c r="BW163" s="25">
        <f t="shared" ca="1" si="386"/>
        <v>-69798.678907109788</v>
      </c>
      <c r="BX163" s="25">
        <f t="shared" ca="1" si="386"/>
        <v>-69879.948431867218</v>
      </c>
      <c r="BY163" s="25">
        <f t="shared" ca="1" si="386"/>
        <v>-69962.472481798293</v>
      </c>
      <c r="BZ163" s="25">
        <f t="shared" ca="1" si="386"/>
        <v>-70046.2798560597</v>
      </c>
      <c r="CA163" s="25">
        <f t="shared" ca="1" si="386"/>
        <v>-70131.399892704765</v>
      </c>
      <c r="CB163" s="25">
        <f t="shared" ca="1" si="386"/>
        <v>-70217.862479832111</v>
      </c>
      <c r="CC163" s="25">
        <f t="shared" ca="1" si="386"/>
        <v>-70305.698066953933</v>
      </c>
      <c r="CD163" s="25">
        <f t="shared" ca="1" si="386"/>
        <v>-70404.459094992446</v>
      </c>
      <c r="CE163" s="25">
        <f t="shared" ca="1" si="386"/>
        <v>-70495.306503129876</v>
      </c>
      <c r="CF163" s="25">
        <f t="shared" ca="1" si="386"/>
        <v>-70587.625425683509</v>
      </c>
      <c r="CG163" s="25">
        <f t="shared" ca="1" si="386"/>
        <v>-70681.448747279181</v>
      </c>
      <c r="CH163" s="25">
        <f t="shared" ca="1" si="386"/>
        <v>-70776.809975691809</v>
      </c>
      <c r="CI163" s="25">
        <f t="shared" ca="1" si="386"/>
        <v>-70873.743254653877</v>
      </c>
      <c r="CJ163" s="25">
        <f t="shared" ca="1" si="386"/>
        <v>-70972.283376916559</v>
      </c>
      <c r="CK163" s="25">
        <f t="shared" ca="1" si="386"/>
        <v>-71072.465797568671</v>
      </c>
      <c r="CL163" s="25">
        <f t="shared" ca="1" si="386"/>
        <v>-71174.326647618538</v>
      </c>
      <c r="CM163" s="25">
        <f t="shared" ca="1" si="386"/>
        <v>-71277.902747844273</v>
      </c>
      <c r="CN163" s="25">
        <f t="shared" ca="1" si="386"/>
        <v>-71383.231622917679</v>
      </c>
      <c r="CO163" s="25">
        <f t="shared" ca="1" si="386"/>
        <v>-71490.351515807211</v>
      </c>
      <c r="CP163" s="25">
        <f t="shared" ca="1" si="386"/>
        <v>-71496.188035676751</v>
      </c>
      <c r="CQ163" s="25">
        <f t="shared" ca="1" si="386"/>
        <v>-71502.110411986418</v>
      </c>
      <c r="CR163" s="25">
        <f t="shared" ca="1" si="386"/>
        <v>-71508.120670604651</v>
      </c>
      <c r="CS163" s="25">
        <f t="shared" ca="1" si="386"/>
        <v>-71514.220874829742</v>
      </c>
      <c r="CT163" s="25">
        <f t="shared" ca="1" si="386"/>
        <v>-71520.413126169486</v>
      </c>
      <c r="CU163" s="25">
        <f t="shared" ca="1" si="386"/>
        <v>-71526.699565135903</v>
      </c>
      <c r="CV163" s="25">
        <f t="shared" ca="1" si="386"/>
        <v>-71533.08237205552</v>
      </c>
      <c r="CW163" s="25">
        <f t="shared" ca="1" si="386"/>
        <v>-71539.56376789567</v>
      </c>
      <c r="CX163" s="25">
        <f t="shared" ca="1" si="386"/>
        <v>-71546.146015106933</v>
      </c>
      <c r="CY163" s="25">
        <f t="shared" ca="1" si="386"/>
        <v>-71552.831418482165</v>
      </c>
      <c r="CZ163" s="25">
        <f t="shared" ca="1" si="386"/>
        <v>-71559.622326032491</v>
      </c>
      <c r="DA163" s="25">
        <f t="shared" ca="1" si="386"/>
        <v>-71566.521129880304</v>
      </c>
      <c r="DB163" s="25">
        <f t="shared" ca="1" si="386"/>
        <v>-71574.278344201128</v>
      </c>
      <c r="DC163" s="25">
        <f t="shared" ca="1" si="386"/>
        <v>-71581.41382494253</v>
      </c>
      <c r="DD163" s="25">
        <f t="shared" ca="1" si="386"/>
        <v>-71588.664941370313</v>
      </c>
      <c r="DE163" s="25">
        <f t="shared" ca="1" si="386"/>
        <v>-71596.034276937498</v>
      </c>
      <c r="DF163" s="25">
        <f t="shared" ca="1" si="386"/>
        <v>-71603.524464058748</v>
      </c>
      <c r="DG163" s="25">
        <f t="shared" ca="1" si="386"/>
        <v>-71611.138185116724</v>
      </c>
      <c r="DH163" s="25">
        <f t="shared" ca="1" si="386"/>
        <v>-71618.878173488221</v>
      </c>
      <c r="DI163" s="25">
        <f t="shared" ca="1" si="386"/>
        <v>-71626.747214590563</v>
      </c>
      <c r="DJ163" s="25">
        <f t="shared" ca="1" si="386"/>
        <v>-71634.748146948783</v>
      </c>
      <c r="DK163" s="25">
        <f t="shared" ca="1" si="386"/>
        <v>-71642.883863283612</v>
      </c>
      <c r="DL163" s="25">
        <f t="shared" ca="1" si="386"/>
        <v>-71651.157311621311</v>
      </c>
      <c r="DM163" s="25">
        <f t="shared" ca="1" si="386"/>
        <v>-71659.571496425153</v>
      </c>
      <c r="DN163" s="25">
        <f t="shared" ca="1" si="386"/>
        <v>-71660.02808791837</v>
      </c>
      <c r="DO163" s="25">
        <f t="shared" ca="1" si="386"/>
        <v>-71660.491444675528</v>
      </c>
      <c r="DP163" s="25">
        <f t="shared" ca="1" si="386"/>
        <v>-71660.961725667628</v>
      </c>
      <c r="DQ163" s="25">
        <f t="shared" ca="1" si="386"/>
        <v>-71661.43909280833</v>
      </c>
      <c r="DR163" s="25">
        <f t="shared" ca="1" si="386"/>
        <v>-71661.923711015334</v>
      </c>
      <c r="DS163" s="25">
        <f t="shared" ca="1" si="386"/>
        <v>-71662.415748272746</v>
      </c>
      <c r="DT163" s="25">
        <f t="shared" ca="1" si="386"/>
        <v>-71662.915375694647</v>
      </c>
      <c r="DU163" s="25">
        <f t="shared" ca="1" si="386"/>
        <v>-71663.422767590222</v>
      </c>
      <c r="DV163" s="25">
        <f t="shared" ca="1" si="386"/>
        <v>-71663.938101529639</v>
      </c>
      <c r="DW163" s="25">
        <f t="shared" ca="1" si="386"/>
        <v>-71664.461558411727</v>
      </c>
      <c r="DX163" s="25">
        <f t="shared" ca="1" si="386"/>
        <v>-71664.993322532697</v>
      </c>
      <c r="DY163" s="25">
        <f t="shared" ca="1" si="386"/>
        <v>-71665.533581656302</v>
      </c>
    </row>
    <row r="164" spans="3:129" s="37" customFormat="1" outlineLevel="2" collapsed="1">
      <c r="C164" s="55" t="s">
        <v>415</v>
      </c>
      <c r="D164" s="69"/>
      <c r="E164" s="69"/>
      <c r="F164" s="55"/>
      <c r="G164" s="69"/>
      <c r="H164" s="69"/>
      <c r="I164" s="69"/>
      <c r="J164" s="235">
        <f ca="1">+SUM(J159:J163)</f>
        <v>-123695.34506818303</v>
      </c>
      <c r="K164" s="235">
        <f t="shared" ref="K164:BV164" ca="1" si="387">+SUM(K159:K163)</f>
        <v>-126065.91706269051</v>
      </c>
      <c r="L164" s="235">
        <f t="shared" ca="1" si="387"/>
        <v>-128484.02931725291</v>
      </c>
      <c r="M164" s="235">
        <f t="shared" ca="1" si="387"/>
        <v>-130950.63134886968</v>
      </c>
      <c r="N164" s="235">
        <f t="shared" ca="1" si="387"/>
        <v>-133466.69167776228</v>
      </c>
      <c r="O164" s="235">
        <f t="shared" ca="1" si="387"/>
        <v>-136033.19820730979</v>
      </c>
      <c r="P164" s="235">
        <f t="shared" ca="1" si="387"/>
        <v>-138651.15861158451</v>
      </c>
      <c r="Q164" s="235">
        <f t="shared" ca="1" si="387"/>
        <v>-141321.60073063971</v>
      </c>
      <c r="R164" s="235">
        <f t="shared" ca="1" si="387"/>
        <v>-144045.57297370399</v>
      </c>
      <c r="S164" s="235">
        <f t="shared" ca="1" si="387"/>
        <v>-146824.14473044124</v>
      </c>
      <c r="T164" s="235">
        <f t="shared" ca="1" si="387"/>
        <v>-149658.40679043683</v>
      </c>
      <c r="U164" s="235">
        <f t="shared" ca="1" si="387"/>
        <v>-152549.47177107469</v>
      </c>
      <c r="V164" s="235">
        <f t="shared" ca="1" si="387"/>
        <v>-156422.20130512366</v>
      </c>
      <c r="W164" s="235">
        <f t="shared" ca="1" si="387"/>
        <v>-159501.38145571953</v>
      </c>
      <c r="X164" s="235">
        <f t="shared" ca="1" si="387"/>
        <v>-162642.19916034854</v>
      </c>
      <c r="Y164" s="235">
        <f t="shared" ca="1" si="387"/>
        <v>-165845.88663058114</v>
      </c>
      <c r="Z164" s="235">
        <f t="shared" ca="1" si="387"/>
        <v>-169113.70072761425</v>
      </c>
      <c r="AA164" s="235">
        <f t="shared" ca="1" si="387"/>
        <v>-172446.92345520988</v>
      </c>
      <c r="AB164" s="235">
        <f t="shared" ca="1" si="387"/>
        <v>-175846.8624624931</v>
      </c>
      <c r="AC164" s="235">
        <f t="shared" ca="1" si="387"/>
        <v>-179314.85155680636</v>
      </c>
      <c r="AD164" s="235">
        <f t="shared" ca="1" si="387"/>
        <v>-182852.25122682133</v>
      </c>
      <c r="AE164" s="235">
        <f t="shared" ca="1" si="387"/>
        <v>-186460.44917611394</v>
      </c>
      <c r="AF164" s="235">
        <f t="shared" ca="1" si="387"/>
        <v>-190140.86086741093</v>
      </c>
      <c r="AG164" s="235">
        <f t="shared" ca="1" si="387"/>
        <v>-193894.93007772227</v>
      </c>
      <c r="AH164" s="235">
        <f t="shared" ca="1" si="387"/>
        <v>-200744.15551742318</v>
      </c>
      <c r="AI164" s="235">
        <f t="shared" ca="1" si="387"/>
        <v>-204744.52179909995</v>
      </c>
      <c r="AJ164" s="235">
        <f t="shared" ca="1" si="387"/>
        <v>-208824.91622789859</v>
      </c>
      <c r="AK164" s="235">
        <f t="shared" ca="1" si="387"/>
        <v>-212986.93915854665</v>
      </c>
      <c r="AL164" s="235">
        <f t="shared" ca="1" si="387"/>
        <v>-217232.22295494843</v>
      </c>
      <c r="AM164" s="235">
        <f t="shared" ca="1" si="387"/>
        <v>-221562.43263034758</v>
      </c>
      <c r="AN164" s="235">
        <f t="shared" ca="1" si="387"/>
        <v>-226563.02030425804</v>
      </c>
      <c r="AO164" s="235">
        <f t="shared" ca="1" si="387"/>
        <v>-231089.79472720955</v>
      </c>
      <c r="AP164" s="235">
        <f t="shared" ca="1" si="387"/>
        <v>-235707.11502164687</v>
      </c>
      <c r="AQ164" s="235">
        <f t="shared" ca="1" si="387"/>
        <v>-240416.79200116947</v>
      </c>
      <c r="AR164" s="235">
        <f t="shared" ca="1" si="387"/>
        <v>-245220.67269668714</v>
      </c>
      <c r="AS164" s="235">
        <f t="shared" ca="1" si="387"/>
        <v>-250120.64108075562</v>
      </c>
      <c r="AT164" s="235">
        <f t="shared" ca="1" si="387"/>
        <v>-255125.87632556428</v>
      </c>
      <c r="AU164" s="235">
        <f t="shared" ca="1" si="387"/>
        <v>-260224.38195541143</v>
      </c>
      <c r="AV164" s="235">
        <f t="shared" ca="1" si="387"/>
        <v>-265424.86700002989</v>
      </c>
      <c r="AW164" s="235">
        <f t="shared" ca="1" si="387"/>
        <v>-270729.37095469341</v>
      </c>
      <c r="AX164" s="235">
        <f t="shared" ca="1" si="387"/>
        <v>-276139.97410551121</v>
      </c>
      <c r="AY164" s="235">
        <f t="shared" ca="1" si="387"/>
        <v>-281658.79834523587</v>
      </c>
      <c r="AZ164" s="235">
        <f t="shared" ca="1" si="387"/>
        <v>-287288.00800538663</v>
      </c>
      <c r="BA164" s="235">
        <f t="shared" ca="1" si="387"/>
        <v>-293029.81070501561</v>
      </c>
      <c r="BB164" s="235">
        <f t="shared" ca="1" si="387"/>
        <v>-298886.45821644971</v>
      </c>
      <c r="BC164" s="235">
        <f t="shared" ca="1" si="387"/>
        <v>-304860.24734834686</v>
      </c>
      <c r="BD164" s="235">
        <f t="shared" ca="1" si="387"/>
        <v>-310953.52084641403</v>
      </c>
      <c r="BE164" s="235">
        <f t="shared" ca="1" si="387"/>
        <v>-317168.66831213923</v>
      </c>
      <c r="BF164" s="235">
        <f t="shared" ca="1" si="387"/>
        <v>-323739.61432566342</v>
      </c>
      <c r="BG164" s="235">
        <f t="shared" ca="1" si="387"/>
        <v>-330212.85251381859</v>
      </c>
      <c r="BH164" s="235">
        <f t="shared" ca="1" si="387"/>
        <v>-336815.56196724687</v>
      </c>
      <c r="BI164" s="235">
        <f t="shared" ca="1" si="387"/>
        <v>-343550.33204623853</v>
      </c>
      <c r="BJ164" s="235">
        <f t="shared" ca="1" si="387"/>
        <v>-350419.80389894004</v>
      </c>
      <c r="BK164" s="235">
        <f t="shared" ca="1" si="387"/>
        <v>-357426.67149710411</v>
      </c>
      <c r="BL164" s="235">
        <f t="shared" ca="1" si="387"/>
        <v>-364573.68269255594</v>
      </c>
      <c r="BM164" s="235">
        <f t="shared" ca="1" si="387"/>
        <v>-371863.64029478817</v>
      </c>
      <c r="BN164" s="235">
        <f t="shared" ca="1" si="387"/>
        <v>-379299.40317010757</v>
      </c>
      <c r="BO164" s="235">
        <f t="shared" ca="1" si="387"/>
        <v>-386883.88736276538</v>
      </c>
      <c r="BP164" s="235">
        <f t="shared" ca="1" si="387"/>
        <v>-394620.0672385103</v>
      </c>
      <c r="BQ164" s="235">
        <f t="shared" ca="1" si="387"/>
        <v>-402510.97665101138</v>
      </c>
      <c r="BR164" s="235">
        <f t="shared" ca="1" si="387"/>
        <v>-403022.78201266873</v>
      </c>
      <c r="BS164" s="235">
        <f t="shared" ca="1" si="387"/>
        <v>-403500.55645096069</v>
      </c>
      <c r="BT164" s="235">
        <f t="shared" ca="1" si="387"/>
        <v>-403986.13741607789</v>
      </c>
      <c r="BU164" s="235">
        <f t="shared" ca="1" si="387"/>
        <v>-404479.69852817635</v>
      </c>
      <c r="BV164" s="235">
        <f t="shared" ca="1" si="387"/>
        <v>-404981.41670491861</v>
      </c>
      <c r="BW164" s="235">
        <f t="shared" ref="BW164:CC164" ca="1" si="388">+SUM(BW159:BW163)</f>
        <v>-405491.47222917376</v>
      </c>
      <c r="BX164" s="235">
        <f t="shared" ca="1" si="388"/>
        <v>-406010.04881805222</v>
      </c>
      <c r="BY164" s="235">
        <f t="shared" ca="1" si="388"/>
        <v>-406537.33369330503</v>
      </c>
      <c r="BZ164" s="235">
        <f t="shared" ca="1" si="388"/>
        <v>-407073.5176531137</v>
      </c>
      <c r="CA164" s="235">
        <f t="shared" ca="1" si="388"/>
        <v>-407618.79514529894</v>
      </c>
      <c r="CB164" s="235">
        <f t="shared" ca="1" si="388"/>
        <v>-408173.36434197635</v>
      </c>
      <c r="CC164" s="235">
        <f t="shared" ca="1" si="388"/>
        <v>-408737.42721568944</v>
      </c>
      <c r="CD164" s="235">
        <f t="shared" ref="CD164:DY164" ca="1" si="389">+SUM(CD159:CD163)</f>
        <v>-409096.67108677514</v>
      </c>
      <c r="CE164" s="235">
        <f t="shared" ca="1" si="389"/>
        <v>-409443.88826997881</v>
      </c>
      <c r="CF164" s="235">
        <f t="shared" ca="1" si="389"/>
        <v>-409796.81036013819</v>
      </c>
      <c r="CG164" s="235">
        <f t="shared" ca="1" si="389"/>
        <v>-410155.56384975975</v>
      </c>
      <c r="CH164" s="235">
        <f t="shared" ca="1" si="389"/>
        <v>-410520.27763725608</v>
      </c>
      <c r="CI164" s="235">
        <f t="shared" ca="1" si="389"/>
        <v>-410891.08307630371</v>
      </c>
      <c r="CJ164" s="235">
        <f t="shared" ca="1" si="389"/>
        <v>-411268.1140261757</v>
      </c>
      <c r="CK164" s="235">
        <f t="shared" ca="1" si="389"/>
        <v>-411651.50690306828</v>
      </c>
      <c r="CL164" s="235">
        <f t="shared" ca="1" si="389"/>
        <v>-412041.40073244146</v>
      </c>
      <c r="CM164" s="235">
        <f t="shared" ca="1" si="389"/>
        <v>-412437.93720239541</v>
      </c>
      <c r="CN164" s="235">
        <f t="shared" ca="1" si="389"/>
        <v>-412841.26071810198</v>
      </c>
      <c r="CO164" s="235">
        <f t="shared" ca="1" si="389"/>
        <v>-413251.51845731237</v>
      </c>
      <c r="CP164" s="235">
        <f t="shared" ca="1" si="389"/>
        <v>-413338.89810123865</v>
      </c>
      <c r="CQ164" s="235">
        <f t="shared" ca="1" si="389"/>
        <v>-413427.77825933957</v>
      </c>
      <c r="CR164" s="235">
        <f t="shared" ca="1" si="389"/>
        <v>-413518.19183091685</v>
      </c>
      <c r="CS164" s="235">
        <f t="shared" ca="1" si="389"/>
        <v>-413610.171926137</v>
      </c>
      <c r="CT164" s="235">
        <f t="shared" ca="1" si="389"/>
        <v>-413703.75229295064</v>
      </c>
      <c r="CU164" s="235">
        <f t="shared" ca="1" si="389"/>
        <v>-413798.96733009291</v>
      </c>
      <c r="CV164" s="235">
        <f t="shared" ca="1" si="389"/>
        <v>-413826.23675707635</v>
      </c>
      <c r="CW164" s="235">
        <f t="shared" ca="1" si="389"/>
        <v>-413850.81057757186</v>
      </c>
      <c r="CX164" s="235">
        <f t="shared" ca="1" si="389"/>
        <v>-413875.77567062248</v>
      </c>
      <c r="CY164" s="235">
        <f t="shared" ca="1" si="389"/>
        <v>-413901.140863718</v>
      </c>
      <c r="CZ164" s="235">
        <f t="shared" ca="1" si="389"/>
        <v>-413926.91515087732</v>
      </c>
      <c r="DA164" s="235">
        <f t="shared" ca="1" si="389"/>
        <v>-413953.10769607988</v>
      </c>
      <c r="DB164" s="235">
        <f t="shared" ca="1" si="389"/>
        <v>-413979.32489048096</v>
      </c>
      <c r="DC164" s="235">
        <f t="shared" ca="1" si="389"/>
        <v>-414004.56288282573</v>
      </c>
      <c r="DD164" s="235">
        <f t="shared" ca="1" si="389"/>
        <v>-414030.21372764133</v>
      </c>
      <c r="DE164" s="235">
        <f t="shared" ca="1" si="389"/>
        <v>-414056.28660105087</v>
      </c>
      <c r="DF164" s="235">
        <f t="shared" ca="1" si="389"/>
        <v>-414082.79085350939</v>
      </c>
      <c r="DG164" s="235">
        <f t="shared" ca="1" si="389"/>
        <v>-414109.73601338186</v>
      </c>
      <c r="DH164" s="235">
        <f t="shared" ca="1" si="389"/>
        <v>-414137.13179059315</v>
      </c>
      <c r="DI164" s="235">
        <f t="shared" ca="1" si="389"/>
        <v>-414164.98808034835</v>
      </c>
      <c r="DJ164" s="235">
        <f t="shared" ca="1" si="389"/>
        <v>-414193.31496692856</v>
      </c>
      <c r="DK164" s="235">
        <f t="shared" ca="1" si="389"/>
        <v>-414222.12272755988</v>
      </c>
      <c r="DL164" s="235">
        <f t="shared" ca="1" si="389"/>
        <v>-414251.42183636018</v>
      </c>
      <c r="DM164" s="235">
        <f t="shared" ca="1" si="389"/>
        <v>-414281.2229683632</v>
      </c>
      <c r="DN164" s="235">
        <f t="shared" ca="1" si="389"/>
        <v>-414287.07080381253</v>
      </c>
      <c r="DO164" s="235">
        <f t="shared" ca="1" si="389"/>
        <v>-414293.01914447331</v>
      </c>
      <c r="DP164" s="235">
        <f t="shared" ca="1" si="389"/>
        <v>-414299.07016825059</v>
      </c>
      <c r="DQ164" s="235">
        <f t="shared" ca="1" si="389"/>
        <v>-414305.22609164362</v>
      </c>
      <c r="DR164" s="235">
        <f t="shared" ca="1" si="389"/>
        <v>-414311.48917385336</v>
      </c>
      <c r="DS164" s="235">
        <f t="shared" ca="1" si="389"/>
        <v>-414317.8617176527</v>
      </c>
      <c r="DT164" s="235">
        <f t="shared" ca="1" si="389"/>
        <v>-414324.34607027395</v>
      </c>
      <c r="DU164" s="235">
        <f t="shared" ca="1" si="389"/>
        <v>-414330.94462431414</v>
      </c>
      <c r="DV164" s="235">
        <f t="shared" ca="1" si="389"/>
        <v>-414337.65981865791</v>
      </c>
      <c r="DW164" s="235">
        <f t="shared" ca="1" si="389"/>
        <v>-414344.49413941905</v>
      </c>
      <c r="DX164" s="235">
        <f t="shared" ca="1" si="389"/>
        <v>-414351.4501209007</v>
      </c>
      <c r="DY164" s="235">
        <f t="shared" ca="1" si="389"/>
        <v>-414358.5303465742</v>
      </c>
    </row>
    <row r="165" spans="3:129" s="37" customFormat="1" outlineLevel="2">
      <c r="C165" s="5" t="s">
        <v>416</v>
      </c>
      <c r="F165" s="5"/>
      <c r="J165" s="150">
        <f t="shared" ref="J165:AO165" ca="1" si="390">IFERROR(-J59/_newsalesperagent*_Fixedsalary.agent,0)</f>
        <v>0</v>
      </c>
      <c r="K165" s="150">
        <f t="shared" ca="1" si="390"/>
        <v>0</v>
      </c>
      <c r="L165" s="150">
        <f t="shared" ca="1" si="390"/>
        <v>0</v>
      </c>
      <c r="M165" s="150">
        <f t="shared" ca="1" si="390"/>
        <v>0</v>
      </c>
      <c r="N165" s="150">
        <f t="shared" ca="1" si="390"/>
        <v>0</v>
      </c>
      <c r="O165" s="150">
        <f t="shared" ca="1" si="390"/>
        <v>0</v>
      </c>
      <c r="P165" s="150">
        <f t="shared" ca="1" si="390"/>
        <v>0</v>
      </c>
      <c r="Q165" s="150">
        <f t="shared" ca="1" si="390"/>
        <v>0</v>
      </c>
      <c r="R165" s="150">
        <f t="shared" ca="1" si="390"/>
        <v>0</v>
      </c>
      <c r="S165" s="150">
        <f t="shared" ca="1" si="390"/>
        <v>0</v>
      </c>
      <c r="T165" s="150">
        <f t="shared" ca="1" si="390"/>
        <v>0</v>
      </c>
      <c r="U165" s="150">
        <f t="shared" ca="1" si="390"/>
        <v>0</v>
      </c>
      <c r="V165" s="150">
        <f t="shared" ca="1" si="390"/>
        <v>0</v>
      </c>
      <c r="W165" s="150">
        <f t="shared" ca="1" si="390"/>
        <v>0</v>
      </c>
      <c r="X165" s="150">
        <f t="shared" ca="1" si="390"/>
        <v>0</v>
      </c>
      <c r="Y165" s="150">
        <f t="shared" ca="1" si="390"/>
        <v>0</v>
      </c>
      <c r="Z165" s="150">
        <f t="shared" ca="1" si="390"/>
        <v>0</v>
      </c>
      <c r="AA165" s="150">
        <f t="shared" ca="1" si="390"/>
        <v>0</v>
      </c>
      <c r="AB165" s="150">
        <f t="shared" ca="1" si="390"/>
        <v>0</v>
      </c>
      <c r="AC165" s="150">
        <f t="shared" ca="1" si="390"/>
        <v>0</v>
      </c>
      <c r="AD165" s="150">
        <f t="shared" ca="1" si="390"/>
        <v>0</v>
      </c>
      <c r="AE165" s="150">
        <f t="shared" ca="1" si="390"/>
        <v>0</v>
      </c>
      <c r="AF165" s="150">
        <f t="shared" ca="1" si="390"/>
        <v>0</v>
      </c>
      <c r="AG165" s="150">
        <f t="shared" ca="1" si="390"/>
        <v>0</v>
      </c>
      <c r="AH165" s="150">
        <f t="shared" ca="1" si="390"/>
        <v>0</v>
      </c>
      <c r="AI165" s="150">
        <f t="shared" ca="1" si="390"/>
        <v>0</v>
      </c>
      <c r="AJ165" s="150">
        <f t="shared" ca="1" si="390"/>
        <v>0</v>
      </c>
      <c r="AK165" s="150">
        <f t="shared" ca="1" si="390"/>
        <v>0</v>
      </c>
      <c r="AL165" s="150">
        <f t="shared" ca="1" si="390"/>
        <v>0</v>
      </c>
      <c r="AM165" s="150">
        <f t="shared" ca="1" si="390"/>
        <v>0</v>
      </c>
      <c r="AN165" s="150">
        <f t="shared" ca="1" si="390"/>
        <v>0</v>
      </c>
      <c r="AO165" s="150">
        <f t="shared" ca="1" si="390"/>
        <v>0</v>
      </c>
      <c r="AP165" s="150">
        <f t="shared" ref="AP165:BU165" ca="1" si="391">IFERROR(-AP59/_newsalesperagent*_Fixedsalary.agent,0)</f>
        <v>0</v>
      </c>
      <c r="AQ165" s="150">
        <f t="shared" ca="1" si="391"/>
        <v>0</v>
      </c>
      <c r="AR165" s="150">
        <f t="shared" ca="1" si="391"/>
        <v>0</v>
      </c>
      <c r="AS165" s="150">
        <f t="shared" ca="1" si="391"/>
        <v>0</v>
      </c>
      <c r="AT165" s="150">
        <f t="shared" ca="1" si="391"/>
        <v>0</v>
      </c>
      <c r="AU165" s="150">
        <f t="shared" ca="1" si="391"/>
        <v>0</v>
      </c>
      <c r="AV165" s="150">
        <f t="shared" ca="1" si="391"/>
        <v>0</v>
      </c>
      <c r="AW165" s="150">
        <f t="shared" ca="1" si="391"/>
        <v>0</v>
      </c>
      <c r="AX165" s="150">
        <f t="shared" ca="1" si="391"/>
        <v>0</v>
      </c>
      <c r="AY165" s="150">
        <f t="shared" ca="1" si="391"/>
        <v>0</v>
      </c>
      <c r="AZ165" s="150">
        <f t="shared" ca="1" si="391"/>
        <v>0</v>
      </c>
      <c r="BA165" s="150">
        <f t="shared" ca="1" si="391"/>
        <v>0</v>
      </c>
      <c r="BB165" s="150">
        <f t="shared" ca="1" si="391"/>
        <v>0</v>
      </c>
      <c r="BC165" s="150">
        <f t="shared" ca="1" si="391"/>
        <v>0</v>
      </c>
      <c r="BD165" s="150">
        <f t="shared" ca="1" si="391"/>
        <v>0</v>
      </c>
      <c r="BE165" s="150">
        <f t="shared" ca="1" si="391"/>
        <v>0</v>
      </c>
      <c r="BF165" s="150">
        <f t="shared" ca="1" si="391"/>
        <v>0</v>
      </c>
      <c r="BG165" s="150">
        <f t="shared" ca="1" si="391"/>
        <v>0</v>
      </c>
      <c r="BH165" s="150">
        <f t="shared" ca="1" si="391"/>
        <v>0</v>
      </c>
      <c r="BI165" s="150">
        <f t="shared" ca="1" si="391"/>
        <v>0</v>
      </c>
      <c r="BJ165" s="150">
        <f t="shared" ca="1" si="391"/>
        <v>0</v>
      </c>
      <c r="BK165" s="150">
        <f t="shared" ca="1" si="391"/>
        <v>0</v>
      </c>
      <c r="BL165" s="150">
        <f t="shared" ca="1" si="391"/>
        <v>0</v>
      </c>
      <c r="BM165" s="150">
        <f t="shared" ca="1" si="391"/>
        <v>0</v>
      </c>
      <c r="BN165" s="150">
        <f t="shared" ca="1" si="391"/>
        <v>0</v>
      </c>
      <c r="BO165" s="150">
        <f t="shared" ca="1" si="391"/>
        <v>0</v>
      </c>
      <c r="BP165" s="150">
        <f t="shared" ca="1" si="391"/>
        <v>0</v>
      </c>
      <c r="BQ165" s="150">
        <f t="shared" ca="1" si="391"/>
        <v>0</v>
      </c>
      <c r="BR165" s="150">
        <f t="shared" ca="1" si="391"/>
        <v>0</v>
      </c>
      <c r="BS165" s="150">
        <f t="shared" ca="1" si="391"/>
        <v>0</v>
      </c>
      <c r="BT165" s="150">
        <f t="shared" ca="1" si="391"/>
        <v>0</v>
      </c>
      <c r="BU165" s="150">
        <f t="shared" ca="1" si="391"/>
        <v>0</v>
      </c>
      <c r="BV165" s="150">
        <f t="shared" ref="BV165:DA165" ca="1" si="392">IFERROR(-BV59/_newsalesperagent*_Fixedsalary.agent,0)</f>
        <v>0</v>
      </c>
      <c r="BW165" s="150">
        <f t="shared" ca="1" si="392"/>
        <v>0</v>
      </c>
      <c r="BX165" s="150">
        <f t="shared" ca="1" si="392"/>
        <v>0</v>
      </c>
      <c r="BY165" s="150">
        <f t="shared" ca="1" si="392"/>
        <v>0</v>
      </c>
      <c r="BZ165" s="150">
        <f t="shared" ca="1" si="392"/>
        <v>0</v>
      </c>
      <c r="CA165" s="150">
        <f t="shared" ca="1" si="392"/>
        <v>0</v>
      </c>
      <c r="CB165" s="150">
        <f t="shared" ca="1" si="392"/>
        <v>0</v>
      </c>
      <c r="CC165" s="150">
        <f t="shared" ca="1" si="392"/>
        <v>0</v>
      </c>
      <c r="CD165" s="150">
        <f t="shared" ca="1" si="392"/>
        <v>0</v>
      </c>
      <c r="CE165" s="150">
        <f t="shared" ca="1" si="392"/>
        <v>0</v>
      </c>
      <c r="CF165" s="150">
        <f t="shared" ca="1" si="392"/>
        <v>0</v>
      </c>
      <c r="CG165" s="150">
        <f t="shared" ca="1" si="392"/>
        <v>0</v>
      </c>
      <c r="CH165" s="150">
        <f t="shared" ca="1" si="392"/>
        <v>0</v>
      </c>
      <c r="CI165" s="150">
        <f t="shared" ca="1" si="392"/>
        <v>0</v>
      </c>
      <c r="CJ165" s="150">
        <f t="shared" ca="1" si="392"/>
        <v>0</v>
      </c>
      <c r="CK165" s="150">
        <f t="shared" ca="1" si="392"/>
        <v>0</v>
      </c>
      <c r="CL165" s="150">
        <f t="shared" ca="1" si="392"/>
        <v>0</v>
      </c>
      <c r="CM165" s="150">
        <f t="shared" ca="1" si="392"/>
        <v>0</v>
      </c>
      <c r="CN165" s="150">
        <f t="shared" ca="1" si="392"/>
        <v>0</v>
      </c>
      <c r="CO165" s="150">
        <f t="shared" ca="1" si="392"/>
        <v>0</v>
      </c>
      <c r="CP165" s="150">
        <f t="shared" ca="1" si="392"/>
        <v>0</v>
      </c>
      <c r="CQ165" s="150">
        <f t="shared" ca="1" si="392"/>
        <v>0</v>
      </c>
      <c r="CR165" s="150">
        <f t="shared" ca="1" si="392"/>
        <v>0</v>
      </c>
      <c r="CS165" s="150">
        <f t="shared" ca="1" si="392"/>
        <v>0</v>
      </c>
      <c r="CT165" s="150">
        <f t="shared" ca="1" si="392"/>
        <v>0</v>
      </c>
      <c r="CU165" s="150">
        <f t="shared" ca="1" si="392"/>
        <v>0</v>
      </c>
      <c r="CV165" s="150">
        <f t="shared" ca="1" si="392"/>
        <v>0</v>
      </c>
      <c r="CW165" s="150">
        <f t="shared" ca="1" si="392"/>
        <v>0</v>
      </c>
      <c r="CX165" s="150">
        <f t="shared" ca="1" si="392"/>
        <v>0</v>
      </c>
      <c r="CY165" s="150">
        <f t="shared" ca="1" si="392"/>
        <v>0</v>
      </c>
      <c r="CZ165" s="150">
        <f t="shared" ca="1" si="392"/>
        <v>0</v>
      </c>
      <c r="DA165" s="150">
        <f t="shared" ca="1" si="392"/>
        <v>0</v>
      </c>
      <c r="DB165" s="150">
        <f t="shared" ref="DB165:DY165" ca="1" si="393">IFERROR(-DB59/_newsalesperagent*_Fixedsalary.agent,0)</f>
        <v>0</v>
      </c>
      <c r="DC165" s="150">
        <f t="shared" ca="1" si="393"/>
        <v>0</v>
      </c>
      <c r="DD165" s="150">
        <f t="shared" ca="1" si="393"/>
        <v>0</v>
      </c>
      <c r="DE165" s="150">
        <f t="shared" ca="1" si="393"/>
        <v>0</v>
      </c>
      <c r="DF165" s="150">
        <f t="shared" ca="1" si="393"/>
        <v>0</v>
      </c>
      <c r="DG165" s="150">
        <f t="shared" ca="1" si="393"/>
        <v>0</v>
      </c>
      <c r="DH165" s="150">
        <f t="shared" ca="1" si="393"/>
        <v>0</v>
      </c>
      <c r="DI165" s="150">
        <f t="shared" ca="1" si="393"/>
        <v>0</v>
      </c>
      <c r="DJ165" s="150">
        <f t="shared" ca="1" si="393"/>
        <v>0</v>
      </c>
      <c r="DK165" s="150">
        <f t="shared" ca="1" si="393"/>
        <v>0</v>
      </c>
      <c r="DL165" s="150">
        <f t="shared" ca="1" si="393"/>
        <v>0</v>
      </c>
      <c r="DM165" s="150">
        <f t="shared" ca="1" si="393"/>
        <v>0</v>
      </c>
      <c r="DN165" s="150">
        <f t="shared" ca="1" si="393"/>
        <v>0</v>
      </c>
      <c r="DO165" s="150">
        <f t="shared" ca="1" si="393"/>
        <v>0</v>
      </c>
      <c r="DP165" s="150">
        <f t="shared" ca="1" si="393"/>
        <v>0</v>
      </c>
      <c r="DQ165" s="150">
        <f t="shared" ca="1" si="393"/>
        <v>0</v>
      </c>
      <c r="DR165" s="150">
        <f t="shared" ca="1" si="393"/>
        <v>0</v>
      </c>
      <c r="DS165" s="150">
        <f t="shared" ca="1" si="393"/>
        <v>0</v>
      </c>
      <c r="DT165" s="150">
        <f t="shared" ca="1" si="393"/>
        <v>0</v>
      </c>
      <c r="DU165" s="150">
        <f t="shared" ca="1" si="393"/>
        <v>0</v>
      </c>
      <c r="DV165" s="150">
        <f t="shared" ca="1" si="393"/>
        <v>0</v>
      </c>
      <c r="DW165" s="150">
        <f t="shared" ca="1" si="393"/>
        <v>0</v>
      </c>
      <c r="DX165" s="150">
        <f t="shared" ca="1" si="393"/>
        <v>0</v>
      </c>
      <c r="DY165" s="150">
        <f t="shared" ca="1" si="393"/>
        <v>0</v>
      </c>
    </row>
    <row r="166" spans="3:129" s="37" customFormat="1" outlineLevel="2">
      <c r="C166" s="5" t="s">
        <v>341</v>
      </c>
      <c r="F166" s="5"/>
      <c r="G166" s="62" t="s">
        <v>629</v>
      </c>
      <c r="H166" s="519">
        <f>MM</f>
        <v>5.0000000000000001E-3</v>
      </c>
      <c r="J166" s="150">
        <f ca="1">-_TotalRevenueCash*$H$166</f>
        <v>-7567.983191714261</v>
      </c>
      <c r="K166" s="150">
        <f t="shared" ref="K166:AO166" ca="1" si="394">-_TotalRevenueCash*$H$166</f>
        <v>-7805.6772174850112</v>
      </c>
      <c r="L166" s="150">
        <f t="shared" ca="1" si="394"/>
        <v>-8053.2045529980514</v>
      </c>
      <c r="M166" s="150">
        <f t="shared" ca="1" si="394"/>
        <v>-8310.711070155965</v>
      </c>
      <c r="N166" s="150">
        <f t="shared" ca="1" si="394"/>
        <v>-8578.3460662422985</v>
      </c>
      <c r="O166" s="150">
        <f t="shared" ca="1" si="394"/>
        <v>-8856.2623273497666</v>
      </c>
      <c r="P166" s="150">
        <f t="shared" ca="1" si="394"/>
        <v>-9144.616193127802</v>
      </c>
      <c r="Q166" s="150">
        <f t="shared" ca="1" si="394"/>
        <v>-9443.5676228753291</v>
      </c>
      <c r="R166" s="150">
        <f t="shared" ca="1" si="394"/>
        <v>-9753.2802630051992</v>
      </c>
      <c r="S166" s="150">
        <f t="shared" ca="1" si="394"/>
        <v>-10073.921515907185</v>
      </c>
      <c r="T166" s="150">
        <f t="shared" ca="1" si="394"/>
        <v>-10405.662610237034</v>
      </c>
      <c r="U166" s="150">
        <f t="shared" ca="1" si="394"/>
        <v>-10748.678672659604</v>
      </c>
      <c r="V166" s="150">
        <f t="shared" ca="1" si="394"/>
        <v>-11117.004702341945</v>
      </c>
      <c r="W166" s="150">
        <f t="shared" ca="1" si="394"/>
        <v>-11413.531879241929</v>
      </c>
      <c r="X166" s="150">
        <f t="shared" ca="1" si="394"/>
        <v>-11717.07871287426</v>
      </c>
      <c r="Y166" s="150">
        <f t="shared" ca="1" si="394"/>
        <v>-12027.77470524164</v>
      </c>
      <c r="Z166" s="150">
        <f t="shared" ca="1" si="394"/>
        <v>-12345.752057298143</v>
      </c>
      <c r="AA166" s="150">
        <f t="shared" ca="1" si="394"/>
        <v>-12671.145721839139</v>
      </c>
      <c r="AB166" s="150">
        <f t="shared" ca="1" si="394"/>
        <v>-13004.093457459885</v>
      </c>
      <c r="AC166" s="150">
        <f t="shared" ca="1" si="394"/>
        <v>-13344.73588360408</v>
      </c>
      <c r="AD166" s="150">
        <f t="shared" ca="1" si="394"/>
        <v>-13693.216536724092</v>
      </c>
      <c r="AE166" s="150">
        <f t="shared" ca="1" si="394"/>
        <v>-14049.681927574899</v>
      </c>
      <c r="AF166" s="150">
        <f t="shared" ca="1" si="394"/>
        <v>-14414.281599664437</v>
      </c>
      <c r="AG166" s="150">
        <f t="shared" ca="1" si="394"/>
        <v>-14787.168188883265</v>
      </c>
      <c r="AH166" s="150">
        <f t="shared" ca="1" si="394"/>
        <v>-15184.416392019148</v>
      </c>
      <c r="AI166" s="150">
        <f t="shared" ca="1" si="394"/>
        <v>-15512.468666419341</v>
      </c>
      <c r="AJ166" s="150">
        <f t="shared" ca="1" si="394"/>
        <v>-15847.591386095022</v>
      </c>
      <c r="AK166" s="150">
        <f t="shared" ca="1" si="394"/>
        <v>-16189.920865953831</v>
      </c>
      <c r="AL166" s="150">
        <f t="shared" ca="1" si="394"/>
        <v>-16539.596198141528</v>
      </c>
      <c r="AM166" s="150">
        <f t="shared" ca="1" si="394"/>
        <v>-16896.759307077373</v>
      </c>
      <c r="AN166" s="150">
        <f t="shared" ca="1" si="394"/>
        <v>-17272.257158667977</v>
      </c>
      <c r="AO166" s="150">
        <f t="shared" ca="1" si="394"/>
        <v>-17612.747684159309</v>
      </c>
      <c r="AP166" s="150">
        <f t="shared" ref="AP166:BU166" ca="1" si="395">-_TotalRevenueCash*$H$166</f>
        <v>-17960.24243049994</v>
      </c>
      <c r="AQ166" s="150">
        <f t="shared" ca="1" si="395"/>
        <v>-18314.879538003464</v>
      </c>
      <c r="AR166" s="150">
        <f t="shared" ca="1" si="395"/>
        <v>-18676.799929230772</v>
      </c>
      <c r="AS166" s="150">
        <f t="shared" ca="1" si="395"/>
        <v>-19046.147364440611</v>
      </c>
      <c r="AT166" s="150">
        <f t="shared" ca="1" si="395"/>
        <v>-19423.177360938516</v>
      </c>
      <c r="AU166" s="150">
        <f t="shared" ca="1" si="395"/>
        <v>-19807.275123503299</v>
      </c>
      <c r="AV166" s="150">
        <f t="shared" ca="1" si="395"/>
        <v>-20199.211057902583</v>
      </c>
      <c r="AW166" s="150">
        <f t="shared" ca="1" si="395"/>
        <v>-20599.140365407238</v>
      </c>
      <c r="AX166" s="150">
        <f t="shared" ca="1" si="395"/>
        <v>-21007.221366935191</v>
      </c>
      <c r="AY166" s="150">
        <f t="shared" ca="1" si="395"/>
        <v>-21423.615565288175</v>
      </c>
      <c r="AZ166" s="150">
        <f t="shared" ca="1" si="395"/>
        <v>-21848.487708634744</v>
      </c>
      <c r="BA166" s="150">
        <f t="shared" ca="1" si="395"/>
        <v>-22282.005855264521</v>
      </c>
      <c r="BB166" s="150">
        <f t="shared" ca="1" si="395"/>
        <v>-22724.341439638982</v>
      </c>
      <c r="BC166" s="150">
        <f t="shared" ca="1" si="395"/>
        <v>-23175.669339764918</v>
      </c>
      <c r="BD166" s="150">
        <f t="shared" ca="1" si="395"/>
        <v>-23636.167945916717</v>
      </c>
      <c r="BE166" s="150">
        <f t="shared" ca="1" si="395"/>
        <v>-24106.019230734655</v>
      </c>
      <c r="BF166" s="150">
        <f t="shared" ca="1" si="395"/>
        <v>-24586.572689610635</v>
      </c>
      <c r="BG166" s="150">
        <f t="shared" ca="1" si="395"/>
        <v>-25071.264370296933</v>
      </c>
      <c r="BH166" s="150">
        <f t="shared" ca="1" si="395"/>
        <v>-25565.773920837204</v>
      </c>
      <c r="BI166" s="150">
        <f t="shared" ca="1" si="395"/>
        <v>-26070.296458266119</v>
      </c>
      <c r="BJ166" s="150">
        <f t="shared" ca="1" si="395"/>
        <v>-26585.03101436267</v>
      </c>
      <c r="BK166" s="150">
        <f t="shared" ca="1" si="395"/>
        <v>-27110.180613821038</v>
      </c>
      <c r="BL166" s="150">
        <f t="shared" ca="1" si="395"/>
        <v>-27645.952353986049</v>
      </c>
      <c r="BM166" s="150">
        <f t="shared" ca="1" si="395"/>
        <v>-28192.557486184658</v>
      </c>
      <c r="BN166" s="150">
        <f t="shared" ca="1" si="395"/>
        <v>-28750.211498685243</v>
      </c>
      <c r="BO166" s="150">
        <f t="shared" ca="1" si="395"/>
        <v>-29319.134201317247</v>
      </c>
      <c r="BP166" s="150">
        <f t="shared" ca="1" si="395"/>
        <v>-29899.549811784513</v>
      </c>
      <c r="BQ166" s="150">
        <f t="shared" ca="1" si="395"/>
        <v>-30491.687043705886</v>
      </c>
      <c r="BR166" s="150">
        <f t="shared" ca="1" si="395"/>
        <v>-31012.905405288227</v>
      </c>
      <c r="BS166" s="150">
        <f t="shared" ca="1" si="395"/>
        <v>-31504.706498153566</v>
      </c>
      <c r="BT166" s="150">
        <f t="shared" ca="1" si="395"/>
        <v>-31970.033233959988</v>
      </c>
      <c r="BU166" s="150">
        <f t="shared" ca="1" si="395"/>
        <v>-32408.719229355484</v>
      </c>
      <c r="BV166" s="150">
        <f t="shared" ref="BV166:DA166" ca="1" si="396">-_TotalRevenueCash*$H$166</f>
        <v>-32820.591142283112</v>
      </c>
      <c r="BW166" s="150">
        <f t="shared" ca="1" si="396"/>
        <v>-33205.468569117256</v>
      </c>
      <c r="BX166" s="150">
        <f t="shared" ca="1" si="396"/>
        <v>-33563.163939379578</v>
      </c>
      <c r="BY166" s="150">
        <f t="shared" ca="1" si="396"/>
        <v>-33893.482407989737</v>
      </c>
      <c r="BZ166" s="150">
        <f t="shared" ca="1" si="396"/>
        <v>-34196.221745005234</v>
      </c>
      <c r="CA166" s="150">
        <f t="shared" ca="1" si="396"/>
        <v>-34471.172222803871</v>
      </c>
      <c r="CB166" s="150">
        <f t="shared" ca="1" si="396"/>
        <v>-34718.116500660879</v>
      </c>
      <c r="CC166" s="150">
        <f t="shared" ca="1" si="396"/>
        <v>-34936.82950667238</v>
      </c>
      <c r="CD166" s="150">
        <f t="shared" ca="1" si="396"/>
        <v>-35123.679170022922</v>
      </c>
      <c r="CE166" s="150">
        <f t="shared" ca="1" si="396"/>
        <v>-35299.117426129415</v>
      </c>
      <c r="CF166" s="150">
        <f t="shared" ca="1" si="396"/>
        <v>-35463.49905279075</v>
      </c>
      <c r="CG166" s="150">
        <f t="shared" ca="1" si="396"/>
        <v>-35616.748571363678</v>
      </c>
      <c r="CH166" s="150">
        <f t="shared" ca="1" si="396"/>
        <v>-35758.787537092649</v>
      </c>
      <c r="CI166" s="150">
        <f t="shared" ca="1" si="396"/>
        <v>-35889.534494352949</v>
      </c>
      <c r="CJ166" s="150">
        <f t="shared" ca="1" si="396"/>
        <v>-36008.904930853038</v>
      </c>
      <c r="CK166" s="150">
        <f t="shared" ca="1" si="396"/>
        <v>-36116.811230776751</v>
      </c>
      <c r="CL166" s="150">
        <f t="shared" ca="1" si="396"/>
        <v>-36213.162626845638</v>
      </c>
      <c r="CM166" s="150">
        <f t="shared" ca="1" si="396"/>
        <v>-36297.865151281141</v>
      </c>
      <c r="CN166" s="150">
        <f t="shared" ca="1" si="396"/>
        <v>-36370.821585646125</v>
      </c>
      <c r="CO166" s="150">
        <f t="shared" ca="1" si="396"/>
        <v>-36431.93140954477</v>
      </c>
      <c r="CP166" s="150">
        <f t="shared" ca="1" si="396"/>
        <v>-36479.234714277081</v>
      </c>
      <c r="CQ166" s="150">
        <f t="shared" ca="1" si="396"/>
        <v>-36521.936853490814</v>
      </c>
      <c r="CR166" s="150">
        <f t="shared" ca="1" si="396"/>
        <v>-36560.001314730507</v>
      </c>
      <c r="CS166" s="150">
        <f t="shared" ca="1" si="396"/>
        <v>-36593.390261644272</v>
      </c>
      <c r="CT166" s="150">
        <f t="shared" ca="1" si="396"/>
        <v>-36622.064551981101</v>
      </c>
      <c r="CU166" s="150">
        <f t="shared" ca="1" si="396"/>
        <v>-36645.983716964598</v>
      </c>
      <c r="CV166" s="150">
        <f t="shared" ca="1" si="396"/>
        <v>-36663.829658906128</v>
      </c>
      <c r="CW166" s="150">
        <f t="shared" ca="1" si="396"/>
        <v>-36680.628323978846</v>
      </c>
      <c r="CX166" s="150">
        <f t="shared" ca="1" si="396"/>
        <v>-36696.604182108989</v>
      </c>
      <c r="CY166" s="150">
        <f t="shared" ca="1" si="396"/>
        <v>-36711.752364960121</v>
      </c>
      <c r="CZ166" s="150">
        <f t="shared" ca="1" si="396"/>
        <v>-36726.067790951085</v>
      </c>
      <c r="DA166" s="150">
        <f t="shared" ca="1" si="396"/>
        <v>-36739.545162149858</v>
      </c>
      <c r="DB166" s="150">
        <f t="shared" ref="DB166:DY166" ca="1" si="397">-_TotalRevenueCash*$H$166</f>
        <v>-36752.158667133714</v>
      </c>
      <c r="DC166" s="150">
        <f t="shared" ca="1" si="397"/>
        <v>-36764.028002416133</v>
      </c>
      <c r="DD166" s="150">
        <f t="shared" ca="1" si="397"/>
        <v>-36775.18212199238</v>
      </c>
      <c r="DE166" s="150">
        <f t="shared" ca="1" si="397"/>
        <v>-36785.616247572441</v>
      </c>
      <c r="DF166" s="150">
        <f t="shared" ca="1" si="397"/>
        <v>-36795.325410040277</v>
      </c>
      <c r="DG166" s="150">
        <f t="shared" ca="1" si="397"/>
        <v>-36804.304446589864</v>
      </c>
      <c r="DH166" s="150">
        <f t="shared" ca="1" si="397"/>
        <v>-36812.547997794536</v>
      </c>
      <c r="DI166" s="150">
        <f t="shared" ca="1" si="397"/>
        <v>-36820.050504608138</v>
      </c>
      <c r="DJ166" s="150">
        <f t="shared" ca="1" si="397"/>
        <v>-36826.806205296998</v>
      </c>
      <c r="DK166" s="150">
        <f t="shared" ca="1" si="397"/>
        <v>-36832.809132301256</v>
      </c>
      <c r="DL166" s="150">
        <f t="shared" ca="1" si="397"/>
        <v>-36838.053109024171</v>
      </c>
      <c r="DM166" s="150">
        <f t="shared" ca="1" si="397"/>
        <v>-36842.53174654836</v>
      </c>
      <c r="DN166" s="150">
        <f t="shared" ca="1" si="397"/>
        <v>-36846.114489034924</v>
      </c>
      <c r="DO166" s="150">
        <f t="shared" ca="1" si="397"/>
        <v>-36849.393197157646</v>
      </c>
      <c r="DP166" s="150">
        <f t="shared" ca="1" si="397"/>
        <v>-36852.365547424168</v>
      </c>
      <c r="DQ166" s="150">
        <f t="shared" ca="1" si="397"/>
        <v>-36855.029131997566</v>
      </c>
      <c r="DR166" s="150">
        <f t="shared" ca="1" si="397"/>
        <v>-36857.381457690935</v>
      </c>
      <c r="DS166" s="150">
        <f t="shared" ca="1" si="397"/>
        <v>-36859.419944632398</v>
      </c>
      <c r="DT166" s="150">
        <f t="shared" ca="1" si="397"/>
        <v>-36861.141924899595</v>
      </c>
      <c r="DU166" s="150">
        <f t="shared" ca="1" si="397"/>
        <v>-36862.544641123146</v>
      </c>
      <c r="DV166" s="150">
        <f t="shared" ca="1" si="397"/>
        <v>-36863.625245058684</v>
      </c>
      <c r="DW166" s="150">
        <f t="shared" ca="1" si="397"/>
        <v>-36864.380796126556</v>
      </c>
      <c r="DX166" s="150">
        <f t="shared" ca="1" si="397"/>
        <v>-36864.808259918893</v>
      </c>
      <c r="DY166" s="150">
        <f t="shared" ca="1" si="397"/>
        <v>-36864.904506673141</v>
      </c>
    </row>
    <row r="167" spans="3:129" s="37" customFormat="1" outlineLevel="2">
      <c r="C167" s="5" t="s">
        <v>339</v>
      </c>
      <c r="F167" s="5"/>
      <c r="G167" s="62" t="s">
        <v>630</v>
      </c>
      <c r="H167" s="519">
        <f>bankcharge</f>
        <v>5.0000000000000001E-3</v>
      </c>
      <c r="J167" s="150">
        <f ca="1">-_TotalRevenueCash*$H$167</f>
        <v>-7567.983191714261</v>
      </c>
      <c r="K167" s="150">
        <f t="shared" ref="K167:AO167" ca="1" si="398">-_TotalRevenueCash*$H$167</f>
        <v>-7805.6772174850112</v>
      </c>
      <c r="L167" s="150">
        <f t="shared" ca="1" si="398"/>
        <v>-8053.2045529980514</v>
      </c>
      <c r="M167" s="150">
        <f t="shared" ca="1" si="398"/>
        <v>-8310.711070155965</v>
      </c>
      <c r="N167" s="150">
        <f t="shared" ca="1" si="398"/>
        <v>-8578.3460662422985</v>
      </c>
      <c r="O167" s="150">
        <f t="shared" ca="1" si="398"/>
        <v>-8856.2623273497666</v>
      </c>
      <c r="P167" s="150">
        <f t="shared" ca="1" si="398"/>
        <v>-9144.616193127802</v>
      </c>
      <c r="Q167" s="150">
        <f t="shared" ca="1" si="398"/>
        <v>-9443.5676228753291</v>
      </c>
      <c r="R167" s="150">
        <f t="shared" ca="1" si="398"/>
        <v>-9753.2802630051992</v>
      </c>
      <c r="S167" s="150">
        <f t="shared" ca="1" si="398"/>
        <v>-10073.921515907185</v>
      </c>
      <c r="T167" s="150">
        <f t="shared" ca="1" si="398"/>
        <v>-10405.662610237034</v>
      </c>
      <c r="U167" s="150">
        <f t="shared" ca="1" si="398"/>
        <v>-10748.678672659604</v>
      </c>
      <c r="V167" s="150">
        <f t="shared" ca="1" si="398"/>
        <v>-11117.004702341945</v>
      </c>
      <c r="W167" s="150">
        <f t="shared" ca="1" si="398"/>
        <v>-11413.531879241929</v>
      </c>
      <c r="X167" s="150">
        <f t="shared" ca="1" si="398"/>
        <v>-11717.07871287426</v>
      </c>
      <c r="Y167" s="150">
        <f t="shared" ca="1" si="398"/>
        <v>-12027.77470524164</v>
      </c>
      <c r="Z167" s="150">
        <f t="shared" ca="1" si="398"/>
        <v>-12345.752057298143</v>
      </c>
      <c r="AA167" s="150">
        <f t="shared" ca="1" si="398"/>
        <v>-12671.145721839139</v>
      </c>
      <c r="AB167" s="150">
        <f t="shared" ca="1" si="398"/>
        <v>-13004.093457459885</v>
      </c>
      <c r="AC167" s="150">
        <f t="shared" ca="1" si="398"/>
        <v>-13344.73588360408</v>
      </c>
      <c r="AD167" s="150">
        <f t="shared" ca="1" si="398"/>
        <v>-13693.216536724092</v>
      </c>
      <c r="AE167" s="150">
        <f t="shared" ca="1" si="398"/>
        <v>-14049.681927574899</v>
      </c>
      <c r="AF167" s="150">
        <f t="shared" ca="1" si="398"/>
        <v>-14414.281599664437</v>
      </c>
      <c r="AG167" s="150">
        <f t="shared" ca="1" si="398"/>
        <v>-14787.168188883265</v>
      </c>
      <c r="AH167" s="150">
        <f t="shared" ca="1" si="398"/>
        <v>-15184.416392019148</v>
      </c>
      <c r="AI167" s="150">
        <f t="shared" ca="1" si="398"/>
        <v>-15512.468666419341</v>
      </c>
      <c r="AJ167" s="150">
        <f t="shared" ca="1" si="398"/>
        <v>-15847.591386095022</v>
      </c>
      <c r="AK167" s="150">
        <f t="shared" ca="1" si="398"/>
        <v>-16189.920865953831</v>
      </c>
      <c r="AL167" s="150">
        <f t="shared" ca="1" si="398"/>
        <v>-16539.596198141528</v>
      </c>
      <c r="AM167" s="150">
        <f t="shared" ca="1" si="398"/>
        <v>-16896.759307077373</v>
      </c>
      <c r="AN167" s="150">
        <f t="shared" ca="1" si="398"/>
        <v>-17272.257158667977</v>
      </c>
      <c r="AO167" s="150">
        <f t="shared" ca="1" si="398"/>
        <v>-17612.747684159309</v>
      </c>
      <c r="AP167" s="150">
        <f t="shared" ref="AP167:BU167" ca="1" si="399">-_TotalRevenueCash*$H$167</f>
        <v>-17960.24243049994</v>
      </c>
      <c r="AQ167" s="150">
        <f t="shared" ca="1" si="399"/>
        <v>-18314.879538003464</v>
      </c>
      <c r="AR167" s="150">
        <f t="shared" ca="1" si="399"/>
        <v>-18676.799929230772</v>
      </c>
      <c r="AS167" s="150">
        <f t="shared" ca="1" si="399"/>
        <v>-19046.147364440611</v>
      </c>
      <c r="AT167" s="150">
        <f t="shared" ca="1" si="399"/>
        <v>-19423.177360938516</v>
      </c>
      <c r="AU167" s="150">
        <f t="shared" ca="1" si="399"/>
        <v>-19807.275123503299</v>
      </c>
      <c r="AV167" s="150">
        <f t="shared" ca="1" si="399"/>
        <v>-20199.211057902583</v>
      </c>
      <c r="AW167" s="150">
        <f t="shared" ca="1" si="399"/>
        <v>-20599.140365407238</v>
      </c>
      <c r="AX167" s="150">
        <f t="shared" ca="1" si="399"/>
        <v>-21007.221366935191</v>
      </c>
      <c r="AY167" s="150">
        <f t="shared" ca="1" si="399"/>
        <v>-21423.615565288175</v>
      </c>
      <c r="AZ167" s="150">
        <f t="shared" ca="1" si="399"/>
        <v>-21848.487708634744</v>
      </c>
      <c r="BA167" s="150">
        <f t="shared" ca="1" si="399"/>
        <v>-22282.005855264521</v>
      </c>
      <c r="BB167" s="150">
        <f t="shared" ca="1" si="399"/>
        <v>-22724.341439638982</v>
      </c>
      <c r="BC167" s="150">
        <f t="shared" ca="1" si="399"/>
        <v>-23175.669339764918</v>
      </c>
      <c r="BD167" s="150">
        <f t="shared" ca="1" si="399"/>
        <v>-23636.167945916717</v>
      </c>
      <c r="BE167" s="150">
        <f t="shared" ca="1" si="399"/>
        <v>-24106.019230734655</v>
      </c>
      <c r="BF167" s="150">
        <f t="shared" ca="1" si="399"/>
        <v>-24586.572689610635</v>
      </c>
      <c r="BG167" s="150">
        <f t="shared" ca="1" si="399"/>
        <v>-25071.264370296933</v>
      </c>
      <c r="BH167" s="150">
        <f t="shared" ca="1" si="399"/>
        <v>-25565.773920837204</v>
      </c>
      <c r="BI167" s="150">
        <f t="shared" ca="1" si="399"/>
        <v>-26070.296458266119</v>
      </c>
      <c r="BJ167" s="150">
        <f t="shared" ca="1" si="399"/>
        <v>-26585.03101436267</v>
      </c>
      <c r="BK167" s="150">
        <f t="shared" ca="1" si="399"/>
        <v>-27110.180613821038</v>
      </c>
      <c r="BL167" s="150">
        <f t="shared" ca="1" si="399"/>
        <v>-27645.952353986049</v>
      </c>
      <c r="BM167" s="150">
        <f t="shared" ca="1" si="399"/>
        <v>-28192.557486184658</v>
      </c>
      <c r="BN167" s="150">
        <f t="shared" ca="1" si="399"/>
        <v>-28750.211498685243</v>
      </c>
      <c r="BO167" s="150">
        <f t="shared" ca="1" si="399"/>
        <v>-29319.134201317247</v>
      </c>
      <c r="BP167" s="150">
        <f t="shared" ca="1" si="399"/>
        <v>-29899.549811784513</v>
      </c>
      <c r="BQ167" s="150">
        <f t="shared" ca="1" si="399"/>
        <v>-30491.687043705886</v>
      </c>
      <c r="BR167" s="150">
        <f t="shared" ca="1" si="399"/>
        <v>-31012.905405288227</v>
      </c>
      <c r="BS167" s="150">
        <f t="shared" ca="1" si="399"/>
        <v>-31504.706498153566</v>
      </c>
      <c r="BT167" s="150">
        <f t="shared" ca="1" si="399"/>
        <v>-31970.033233959988</v>
      </c>
      <c r="BU167" s="150">
        <f t="shared" ca="1" si="399"/>
        <v>-32408.719229355484</v>
      </c>
      <c r="BV167" s="150">
        <f t="shared" ref="BV167:DA167" ca="1" si="400">-_TotalRevenueCash*$H$167</f>
        <v>-32820.591142283112</v>
      </c>
      <c r="BW167" s="150">
        <f t="shared" ca="1" si="400"/>
        <v>-33205.468569117256</v>
      </c>
      <c r="BX167" s="150">
        <f t="shared" ca="1" si="400"/>
        <v>-33563.163939379578</v>
      </c>
      <c r="BY167" s="150">
        <f t="shared" ca="1" si="400"/>
        <v>-33893.482407989737</v>
      </c>
      <c r="BZ167" s="150">
        <f t="shared" ca="1" si="400"/>
        <v>-34196.221745005234</v>
      </c>
      <c r="CA167" s="150">
        <f t="shared" ca="1" si="400"/>
        <v>-34471.172222803871</v>
      </c>
      <c r="CB167" s="150">
        <f t="shared" ca="1" si="400"/>
        <v>-34718.116500660879</v>
      </c>
      <c r="CC167" s="150">
        <f t="shared" ca="1" si="400"/>
        <v>-34936.82950667238</v>
      </c>
      <c r="CD167" s="150">
        <f t="shared" ca="1" si="400"/>
        <v>-35123.679170022922</v>
      </c>
      <c r="CE167" s="150">
        <f t="shared" ca="1" si="400"/>
        <v>-35299.117426129415</v>
      </c>
      <c r="CF167" s="150">
        <f t="shared" ca="1" si="400"/>
        <v>-35463.49905279075</v>
      </c>
      <c r="CG167" s="150">
        <f t="shared" ca="1" si="400"/>
        <v>-35616.748571363678</v>
      </c>
      <c r="CH167" s="150">
        <f t="shared" ca="1" si="400"/>
        <v>-35758.787537092649</v>
      </c>
      <c r="CI167" s="150">
        <f t="shared" ca="1" si="400"/>
        <v>-35889.534494352949</v>
      </c>
      <c r="CJ167" s="150">
        <f t="shared" ca="1" si="400"/>
        <v>-36008.904930853038</v>
      </c>
      <c r="CK167" s="150">
        <f t="shared" ca="1" si="400"/>
        <v>-36116.811230776751</v>
      </c>
      <c r="CL167" s="150">
        <f t="shared" ca="1" si="400"/>
        <v>-36213.162626845638</v>
      </c>
      <c r="CM167" s="150">
        <f t="shared" ca="1" si="400"/>
        <v>-36297.865151281141</v>
      </c>
      <c r="CN167" s="150">
        <f t="shared" ca="1" si="400"/>
        <v>-36370.821585646125</v>
      </c>
      <c r="CO167" s="150">
        <f t="shared" ca="1" si="400"/>
        <v>-36431.93140954477</v>
      </c>
      <c r="CP167" s="150">
        <f t="shared" ca="1" si="400"/>
        <v>-36479.234714277081</v>
      </c>
      <c r="CQ167" s="150">
        <f t="shared" ca="1" si="400"/>
        <v>-36521.936853490814</v>
      </c>
      <c r="CR167" s="150">
        <f t="shared" ca="1" si="400"/>
        <v>-36560.001314730507</v>
      </c>
      <c r="CS167" s="150">
        <f t="shared" ca="1" si="400"/>
        <v>-36593.390261644272</v>
      </c>
      <c r="CT167" s="150">
        <f t="shared" ca="1" si="400"/>
        <v>-36622.064551981101</v>
      </c>
      <c r="CU167" s="150">
        <f t="shared" ca="1" si="400"/>
        <v>-36645.983716964598</v>
      </c>
      <c r="CV167" s="150">
        <f t="shared" ca="1" si="400"/>
        <v>-36663.829658906128</v>
      </c>
      <c r="CW167" s="150">
        <f t="shared" ca="1" si="400"/>
        <v>-36680.628323978846</v>
      </c>
      <c r="CX167" s="150">
        <f t="shared" ca="1" si="400"/>
        <v>-36696.604182108989</v>
      </c>
      <c r="CY167" s="150">
        <f t="shared" ca="1" si="400"/>
        <v>-36711.752364960121</v>
      </c>
      <c r="CZ167" s="150">
        <f t="shared" ca="1" si="400"/>
        <v>-36726.067790951085</v>
      </c>
      <c r="DA167" s="150">
        <f t="shared" ca="1" si="400"/>
        <v>-36739.545162149858</v>
      </c>
      <c r="DB167" s="150">
        <f t="shared" ref="DB167:DY167" ca="1" si="401">-_TotalRevenueCash*$H$167</f>
        <v>-36752.158667133714</v>
      </c>
      <c r="DC167" s="150">
        <f t="shared" ca="1" si="401"/>
        <v>-36764.028002416133</v>
      </c>
      <c r="DD167" s="150">
        <f t="shared" ca="1" si="401"/>
        <v>-36775.18212199238</v>
      </c>
      <c r="DE167" s="150">
        <f t="shared" ca="1" si="401"/>
        <v>-36785.616247572441</v>
      </c>
      <c r="DF167" s="150">
        <f t="shared" ca="1" si="401"/>
        <v>-36795.325410040277</v>
      </c>
      <c r="DG167" s="150">
        <f t="shared" ca="1" si="401"/>
        <v>-36804.304446589864</v>
      </c>
      <c r="DH167" s="150">
        <f t="shared" ca="1" si="401"/>
        <v>-36812.547997794536</v>
      </c>
      <c r="DI167" s="150">
        <f t="shared" ca="1" si="401"/>
        <v>-36820.050504608138</v>
      </c>
      <c r="DJ167" s="150">
        <f t="shared" ca="1" si="401"/>
        <v>-36826.806205296998</v>
      </c>
      <c r="DK167" s="150">
        <f t="shared" ca="1" si="401"/>
        <v>-36832.809132301256</v>
      </c>
      <c r="DL167" s="150">
        <f t="shared" ca="1" si="401"/>
        <v>-36838.053109024171</v>
      </c>
      <c r="DM167" s="150">
        <f t="shared" ca="1" si="401"/>
        <v>-36842.53174654836</v>
      </c>
      <c r="DN167" s="150">
        <f t="shared" ca="1" si="401"/>
        <v>-36846.114489034924</v>
      </c>
      <c r="DO167" s="150">
        <f t="shared" ca="1" si="401"/>
        <v>-36849.393197157646</v>
      </c>
      <c r="DP167" s="150">
        <f t="shared" ca="1" si="401"/>
        <v>-36852.365547424168</v>
      </c>
      <c r="DQ167" s="150">
        <f t="shared" ca="1" si="401"/>
        <v>-36855.029131997566</v>
      </c>
      <c r="DR167" s="150">
        <f t="shared" ca="1" si="401"/>
        <v>-36857.381457690935</v>
      </c>
      <c r="DS167" s="150">
        <f t="shared" ca="1" si="401"/>
        <v>-36859.419944632398</v>
      </c>
      <c r="DT167" s="150">
        <f t="shared" ca="1" si="401"/>
        <v>-36861.141924899595</v>
      </c>
      <c r="DU167" s="150">
        <f t="shared" ca="1" si="401"/>
        <v>-36862.544641123146</v>
      </c>
      <c r="DV167" s="150">
        <f t="shared" ca="1" si="401"/>
        <v>-36863.625245058684</v>
      </c>
      <c r="DW167" s="150">
        <f t="shared" ca="1" si="401"/>
        <v>-36864.380796126556</v>
      </c>
      <c r="DX167" s="150">
        <f t="shared" ca="1" si="401"/>
        <v>-36864.808259918893</v>
      </c>
      <c r="DY167" s="150">
        <f t="shared" ca="1" si="401"/>
        <v>-36864.904506673141</v>
      </c>
    </row>
    <row r="168" spans="3:129" s="37" customFormat="1" outlineLevel="2">
      <c r="C168" s="5" t="s">
        <v>414</v>
      </c>
      <c r="F168" s="5"/>
      <c r="G168" s="62" t="s">
        <v>414</v>
      </c>
      <c r="H168" s="519">
        <f>_CCcost</f>
        <v>1.4999999999999999E-2</v>
      </c>
      <c r="J168" s="150">
        <f ca="1">-_TotalRevenueCash*$H$168</f>
        <v>-22703.949575142782</v>
      </c>
      <c r="K168" s="150">
        <f t="shared" ref="K168:AO168" ca="1" si="402">-_TotalRevenueCash*$H$168</f>
        <v>-23417.031652455033</v>
      </c>
      <c r="L168" s="150">
        <f t="shared" ca="1" si="402"/>
        <v>-24159.613658994153</v>
      </c>
      <c r="M168" s="150">
        <f t="shared" ca="1" si="402"/>
        <v>-24932.133210467895</v>
      </c>
      <c r="N168" s="150">
        <f t="shared" ca="1" si="402"/>
        <v>-25735.038198726892</v>
      </c>
      <c r="O168" s="150">
        <f t="shared" ca="1" si="402"/>
        <v>-26568.786982049296</v>
      </c>
      <c r="P168" s="150">
        <f t="shared" ca="1" si="402"/>
        <v>-27433.848579383404</v>
      </c>
      <c r="Q168" s="150">
        <f t="shared" ca="1" si="402"/>
        <v>-28330.702868625987</v>
      </c>
      <c r="R168" s="150">
        <f t="shared" ca="1" si="402"/>
        <v>-29259.840789015594</v>
      </c>
      <c r="S168" s="150">
        <f t="shared" ca="1" si="402"/>
        <v>-30221.764547721552</v>
      </c>
      <c r="T168" s="150">
        <f t="shared" ca="1" si="402"/>
        <v>-31216.987830711096</v>
      </c>
      <c r="U168" s="150">
        <f t="shared" ca="1" si="402"/>
        <v>-32246.036017978811</v>
      </c>
      <c r="V168" s="150">
        <f t="shared" ca="1" si="402"/>
        <v>-33351.014107025832</v>
      </c>
      <c r="W168" s="150">
        <f t="shared" ca="1" si="402"/>
        <v>-34240.59563772579</v>
      </c>
      <c r="X168" s="150">
        <f t="shared" ca="1" si="402"/>
        <v>-35151.236138622779</v>
      </c>
      <c r="Y168" s="150">
        <f t="shared" ca="1" si="402"/>
        <v>-36083.324115724914</v>
      </c>
      <c r="Z168" s="150">
        <f t="shared" ca="1" si="402"/>
        <v>-37037.256171894427</v>
      </c>
      <c r="AA168" s="150">
        <f t="shared" ca="1" si="402"/>
        <v>-38013.437165517411</v>
      </c>
      <c r="AB168" s="150">
        <f t="shared" ca="1" si="402"/>
        <v>-39012.280372379653</v>
      </c>
      <c r="AC168" s="150">
        <f t="shared" ca="1" si="402"/>
        <v>-40034.207650812241</v>
      </c>
      <c r="AD168" s="150">
        <f t="shared" ca="1" si="402"/>
        <v>-41079.649610172273</v>
      </c>
      <c r="AE168" s="150">
        <f t="shared" ca="1" si="402"/>
        <v>-42149.045782724694</v>
      </c>
      <c r="AF168" s="150">
        <f t="shared" ca="1" si="402"/>
        <v>-43242.844798993305</v>
      </c>
      <c r="AG168" s="150">
        <f t="shared" ca="1" si="402"/>
        <v>-44361.50456664979</v>
      </c>
      <c r="AH168" s="150">
        <f t="shared" ca="1" si="402"/>
        <v>-45553.249176057441</v>
      </c>
      <c r="AI168" s="150">
        <f t="shared" ca="1" si="402"/>
        <v>-46537.405999258022</v>
      </c>
      <c r="AJ168" s="150">
        <f t="shared" ca="1" si="402"/>
        <v>-47542.774158285065</v>
      </c>
      <c r="AK168" s="150">
        <f t="shared" ca="1" si="402"/>
        <v>-48569.762597861489</v>
      </c>
      <c r="AL168" s="150">
        <f t="shared" ca="1" si="402"/>
        <v>-49618.788594424579</v>
      </c>
      <c r="AM168" s="150">
        <f t="shared" ca="1" si="402"/>
        <v>-50690.277921232118</v>
      </c>
      <c r="AN168" s="150">
        <f t="shared" ca="1" si="402"/>
        <v>-51816.771476003923</v>
      </c>
      <c r="AO168" s="150">
        <f t="shared" ca="1" si="402"/>
        <v>-52838.243052477927</v>
      </c>
      <c r="AP168" s="150">
        <f t="shared" ref="AP168:BU168" ca="1" si="403">-_TotalRevenueCash*$H$168</f>
        <v>-53880.727291499818</v>
      </c>
      <c r="AQ168" s="150">
        <f t="shared" ca="1" si="403"/>
        <v>-54944.638614010386</v>
      </c>
      <c r="AR168" s="150">
        <f t="shared" ca="1" si="403"/>
        <v>-56030.399787692317</v>
      </c>
      <c r="AS168" s="150">
        <f t="shared" ca="1" si="403"/>
        <v>-57138.442093321835</v>
      </c>
      <c r="AT168" s="150">
        <f t="shared" ca="1" si="403"/>
        <v>-58269.532082815553</v>
      </c>
      <c r="AU168" s="150">
        <f t="shared" ca="1" si="403"/>
        <v>-59421.825370509898</v>
      </c>
      <c r="AV168" s="150">
        <f t="shared" ca="1" si="403"/>
        <v>-60597.633173707749</v>
      </c>
      <c r="AW168" s="150">
        <f t="shared" ca="1" si="403"/>
        <v>-61797.421096221711</v>
      </c>
      <c r="AX168" s="150">
        <f t="shared" ca="1" si="403"/>
        <v>-63021.664100805567</v>
      </c>
      <c r="AY168" s="150">
        <f t="shared" ca="1" si="403"/>
        <v>-64270.846695864522</v>
      </c>
      <c r="AZ168" s="150">
        <f t="shared" ca="1" si="403"/>
        <v>-65545.463125904222</v>
      </c>
      <c r="BA168" s="150">
        <f t="shared" ca="1" si="403"/>
        <v>-66846.017565793562</v>
      </c>
      <c r="BB168" s="150">
        <f t="shared" ca="1" si="403"/>
        <v>-68173.024318916941</v>
      </c>
      <c r="BC168" s="150">
        <f t="shared" ca="1" si="403"/>
        <v>-69527.00801929475</v>
      </c>
      <c r="BD168" s="150">
        <f t="shared" ca="1" si="403"/>
        <v>-70908.503837750148</v>
      </c>
      <c r="BE168" s="150">
        <f t="shared" ca="1" si="403"/>
        <v>-72318.057692203962</v>
      </c>
      <c r="BF168" s="150">
        <f t="shared" ca="1" si="403"/>
        <v>-73759.718068831906</v>
      </c>
      <c r="BG168" s="150">
        <f t="shared" ca="1" si="403"/>
        <v>-75213.793110890794</v>
      </c>
      <c r="BH168" s="150">
        <f t="shared" ca="1" si="403"/>
        <v>-76697.321762511609</v>
      </c>
      <c r="BI168" s="150">
        <f t="shared" ca="1" si="403"/>
        <v>-78210.889374798353</v>
      </c>
      <c r="BJ168" s="150">
        <f t="shared" ca="1" si="403"/>
        <v>-79755.093043088011</v>
      </c>
      <c r="BK168" s="150">
        <f t="shared" ca="1" si="403"/>
        <v>-81330.541841463113</v>
      </c>
      <c r="BL168" s="150">
        <f t="shared" ca="1" si="403"/>
        <v>-82937.857061958144</v>
      </c>
      <c r="BM168" s="150">
        <f t="shared" ca="1" si="403"/>
        <v>-84577.672458553978</v>
      </c>
      <c r="BN168" s="150">
        <f t="shared" ca="1" si="403"/>
        <v>-86250.634496055718</v>
      </c>
      <c r="BO168" s="150">
        <f t="shared" ca="1" si="403"/>
        <v>-87957.402603951734</v>
      </c>
      <c r="BP168" s="150">
        <f t="shared" ca="1" si="403"/>
        <v>-89698.649435353538</v>
      </c>
      <c r="BQ168" s="150">
        <f t="shared" ca="1" si="403"/>
        <v>-91475.061131117647</v>
      </c>
      <c r="BR168" s="150">
        <f t="shared" ca="1" si="403"/>
        <v>-93038.716215864682</v>
      </c>
      <c r="BS168" s="150">
        <f t="shared" ca="1" si="403"/>
        <v>-94514.119494460683</v>
      </c>
      <c r="BT168" s="150">
        <f t="shared" ca="1" si="403"/>
        <v>-95910.099701879953</v>
      </c>
      <c r="BU168" s="150">
        <f t="shared" ca="1" si="403"/>
        <v>-97226.157688066451</v>
      </c>
      <c r="BV168" s="150">
        <f t="shared" ref="BV168:DA168" ca="1" si="404">-_TotalRevenueCash*$H$168</f>
        <v>-98461.773426849322</v>
      </c>
      <c r="BW168" s="150">
        <f t="shared" ca="1" si="404"/>
        <v>-99616.405707351776</v>
      </c>
      <c r="BX168" s="150">
        <f t="shared" ca="1" si="404"/>
        <v>-100689.49181813873</v>
      </c>
      <c r="BY168" s="150">
        <f t="shared" ca="1" si="404"/>
        <v>-101680.44722396921</v>
      </c>
      <c r="BZ168" s="150">
        <f t="shared" ca="1" si="404"/>
        <v>-102588.66523501569</v>
      </c>
      <c r="CA168" s="150">
        <f t="shared" ca="1" si="404"/>
        <v>-103413.5166684116</v>
      </c>
      <c r="CB168" s="150">
        <f t="shared" ca="1" si="404"/>
        <v>-104154.34950198262</v>
      </c>
      <c r="CC168" s="150">
        <f t="shared" ca="1" si="404"/>
        <v>-104810.48852001713</v>
      </c>
      <c r="CD168" s="150">
        <f t="shared" ca="1" si="404"/>
        <v>-105371.03751006875</v>
      </c>
      <c r="CE168" s="150">
        <f t="shared" ca="1" si="404"/>
        <v>-105897.35227838825</v>
      </c>
      <c r="CF168" s="150">
        <f t="shared" ca="1" si="404"/>
        <v>-106390.49715837224</v>
      </c>
      <c r="CG168" s="150">
        <f t="shared" ca="1" si="404"/>
        <v>-106850.24571409103</v>
      </c>
      <c r="CH168" s="150">
        <f t="shared" ca="1" si="404"/>
        <v>-107276.36261127795</v>
      </c>
      <c r="CI168" s="150">
        <f t="shared" ca="1" si="404"/>
        <v>-107668.60348305885</v>
      </c>
      <c r="CJ168" s="150">
        <f t="shared" ca="1" si="404"/>
        <v>-108026.7147925591</v>
      </c>
      <c r="CK168" s="150">
        <f t="shared" ca="1" si="404"/>
        <v>-108350.43369233025</v>
      </c>
      <c r="CL168" s="150">
        <f t="shared" ca="1" si="404"/>
        <v>-108639.48788053692</v>
      </c>
      <c r="CM168" s="150">
        <f t="shared" ca="1" si="404"/>
        <v>-108893.59545384342</v>
      </c>
      <c r="CN168" s="150">
        <f t="shared" ca="1" si="404"/>
        <v>-109112.46475693837</v>
      </c>
      <c r="CO168" s="150">
        <f t="shared" ca="1" si="404"/>
        <v>-109295.7942286343</v>
      </c>
      <c r="CP168" s="150">
        <f t="shared" ca="1" si="404"/>
        <v>-109437.70414283124</v>
      </c>
      <c r="CQ168" s="150">
        <f t="shared" ca="1" si="404"/>
        <v>-109565.81056047243</v>
      </c>
      <c r="CR168" s="150">
        <f t="shared" ca="1" si="404"/>
        <v>-109680.00394419153</v>
      </c>
      <c r="CS168" s="150">
        <f t="shared" ca="1" si="404"/>
        <v>-109780.17078493281</v>
      </c>
      <c r="CT168" s="150">
        <f t="shared" ca="1" si="404"/>
        <v>-109866.19365594328</v>
      </c>
      <c r="CU168" s="150">
        <f t="shared" ca="1" si="404"/>
        <v>-109937.95115089379</v>
      </c>
      <c r="CV168" s="150">
        <f t="shared" ca="1" si="404"/>
        <v>-109991.48897671836</v>
      </c>
      <c r="CW168" s="150">
        <f t="shared" ca="1" si="404"/>
        <v>-110041.88497193654</v>
      </c>
      <c r="CX168" s="150">
        <f t="shared" ca="1" si="404"/>
        <v>-110089.81254632695</v>
      </c>
      <c r="CY168" s="150">
        <f t="shared" ca="1" si="404"/>
        <v>-110135.25709488035</v>
      </c>
      <c r="CZ168" s="150">
        <f t="shared" ca="1" si="404"/>
        <v>-110178.20337285326</v>
      </c>
      <c r="DA168" s="150">
        <f t="shared" ca="1" si="404"/>
        <v>-110218.63548644955</v>
      </c>
      <c r="DB168" s="150">
        <f t="shared" ref="DB168:DY168" ca="1" si="405">-_TotalRevenueCash*$H$168</f>
        <v>-110256.47600140113</v>
      </c>
      <c r="DC168" s="150">
        <f t="shared" ca="1" si="405"/>
        <v>-110292.0840072484</v>
      </c>
      <c r="DD168" s="150">
        <f t="shared" ca="1" si="405"/>
        <v>-110325.54636597712</v>
      </c>
      <c r="DE168" s="150">
        <f t="shared" ca="1" si="405"/>
        <v>-110356.84874271732</v>
      </c>
      <c r="DF168" s="150">
        <f t="shared" ca="1" si="405"/>
        <v>-110385.97623012082</v>
      </c>
      <c r="DG168" s="150">
        <f t="shared" ca="1" si="405"/>
        <v>-110412.91333976958</v>
      </c>
      <c r="DH168" s="150">
        <f t="shared" ca="1" si="405"/>
        <v>-110437.64399338359</v>
      </c>
      <c r="DI168" s="150">
        <f t="shared" ca="1" si="405"/>
        <v>-110460.15151382441</v>
      </c>
      <c r="DJ168" s="150">
        <f t="shared" ca="1" si="405"/>
        <v>-110480.418615891</v>
      </c>
      <c r="DK168" s="150">
        <f t="shared" ca="1" si="405"/>
        <v>-110498.42739690376</v>
      </c>
      <c r="DL168" s="150">
        <f t="shared" ca="1" si="405"/>
        <v>-110514.15932707251</v>
      </c>
      <c r="DM168" s="150">
        <f t="shared" ca="1" si="405"/>
        <v>-110527.59523964507</v>
      </c>
      <c r="DN168" s="150">
        <f t="shared" ca="1" si="405"/>
        <v>-110538.34346710476</v>
      </c>
      <c r="DO168" s="150">
        <f t="shared" ca="1" si="405"/>
        <v>-110548.17959147293</v>
      </c>
      <c r="DP168" s="150">
        <f t="shared" ca="1" si="405"/>
        <v>-110557.0966422725</v>
      </c>
      <c r="DQ168" s="150">
        <f t="shared" ca="1" si="405"/>
        <v>-110565.0873959927</v>
      </c>
      <c r="DR168" s="150">
        <f t="shared" ca="1" si="405"/>
        <v>-110572.14437307281</v>
      </c>
      <c r="DS168" s="150">
        <f t="shared" ca="1" si="405"/>
        <v>-110578.25983389719</v>
      </c>
      <c r="DT168" s="150">
        <f t="shared" ca="1" si="405"/>
        <v>-110583.42577469877</v>
      </c>
      <c r="DU168" s="150">
        <f t="shared" ca="1" si="405"/>
        <v>-110587.63392336943</v>
      </c>
      <c r="DV168" s="150">
        <f t="shared" ca="1" si="405"/>
        <v>-110590.87573517606</v>
      </c>
      <c r="DW168" s="150">
        <f t="shared" ca="1" si="405"/>
        <v>-110593.14238837967</v>
      </c>
      <c r="DX168" s="150">
        <f t="shared" ca="1" si="405"/>
        <v>-110594.42477975666</v>
      </c>
      <c r="DY168" s="150">
        <f t="shared" ca="1" si="405"/>
        <v>-110594.71352001942</v>
      </c>
    </row>
    <row r="169" spans="3:129" s="37" customFormat="1" outlineLevel="1">
      <c r="C169" s="68" t="s">
        <v>501</v>
      </c>
      <c r="D169" s="68"/>
      <c r="E169" s="68"/>
      <c r="F169" s="56" t="s">
        <v>343</v>
      </c>
      <c r="G169" s="68"/>
      <c r="H169" s="68"/>
      <c r="I169" s="68"/>
      <c r="J169" s="241">
        <f ca="1">SUM(J164:J168)</f>
        <v>-161535.26102675436</v>
      </c>
      <c r="K169" s="241">
        <f t="shared" ref="K169:AO169" ca="1" si="406">SUM(K164:K168)</f>
        <v>-165094.30315011556</v>
      </c>
      <c r="L169" s="241">
        <f t="shared" ca="1" si="406"/>
        <v>-168750.05208224314</v>
      </c>
      <c r="M169" s="241">
        <f t="shared" ca="1" si="406"/>
        <v>-172504.18669964949</v>
      </c>
      <c r="N169" s="241">
        <f t="shared" ca="1" si="406"/>
        <v>-176358.42200897375</v>
      </c>
      <c r="O169" s="241">
        <f t="shared" ca="1" si="406"/>
        <v>-180314.50984405863</v>
      </c>
      <c r="P169" s="241">
        <f t="shared" ca="1" si="406"/>
        <v>-184374.23957722349</v>
      </c>
      <c r="Q169" s="241">
        <f t="shared" ca="1" si="406"/>
        <v>-188539.43884501635</v>
      </c>
      <c r="R169" s="241">
        <f t="shared" ca="1" si="406"/>
        <v>-192811.97428873001</v>
      </c>
      <c r="S169" s="241">
        <f t="shared" ca="1" si="406"/>
        <v>-197193.75230997716</v>
      </c>
      <c r="T169" s="241">
        <f t="shared" ca="1" si="406"/>
        <v>-201686.71984162196</v>
      </c>
      <c r="U169" s="241">
        <f t="shared" ca="1" si="406"/>
        <v>-206292.86513437273</v>
      </c>
      <c r="V169" s="241">
        <f t="shared" ca="1" si="406"/>
        <v>-212007.22481683339</v>
      </c>
      <c r="W169" s="241">
        <f t="shared" ca="1" si="406"/>
        <v>-216569.04085192917</v>
      </c>
      <c r="X169" s="241">
        <f t="shared" ca="1" si="406"/>
        <v>-221227.59272471984</v>
      </c>
      <c r="Y169" s="241">
        <f t="shared" ca="1" si="406"/>
        <v>-225984.76015678933</v>
      </c>
      <c r="Z169" s="241">
        <f t="shared" ca="1" si="406"/>
        <v>-230842.46101410498</v>
      </c>
      <c r="AA169" s="241">
        <f t="shared" ca="1" si="406"/>
        <v>-235802.65206440556</v>
      </c>
      <c r="AB169" s="241">
        <f t="shared" ca="1" si="406"/>
        <v>-240867.32974979252</v>
      </c>
      <c r="AC169" s="241">
        <f t="shared" ca="1" si="406"/>
        <v>-246038.53097482678</v>
      </c>
      <c r="AD169" s="241">
        <f t="shared" ca="1" si="406"/>
        <v>-251318.33391044178</v>
      </c>
      <c r="AE169" s="241">
        <f t="shared" ca="1" si="406"/>
        <v>-256708.85881398839</v>
      </c>
      <c r="AF169" s="241">
        <f t="shared" ca="1" si="406"/>
        <v>-262212.26886573312</v>
      </c>
      <c r="AG169" s="241">
        <f t="shared" ca="1" si="406"/>
        <v>-267830.77102213854</v>
      </c>
      <c r="AH169" s="241">
        <f t="shared" ca="1" si="406"/>
        <v>-276666.23747751891</v>
      </c>
      <c r="AI169" s="241">
        <f t="shared" ca="1" si="406"/>
        <v>-282306.86513119662</v>
      </c>
      <c r="AJ169" s="241">
        <f t="shared" ca="1" si="406"/>
        <v>-288062.8731583737</v>
      </c>
      <c r="AK169" s="241">
        <f t="shared" ca="1" si="406"/>
        <v>-293936.54348831583</v>
      </c>
      <c r="AL169" s="241">
        <f t="shared" ca="1" si="406"/>
        <v>-299930.20394565607</v>
      </c>
      <c r="AM169" s="241">
        <f t="shared" ca="1" si="406"/>
        <v>-306046.22916573443</v>
      </c>
      <c r="AN169" s="241">
        <f t="shared" ca="1" si="406"/>
        <v>-312924.30609759793</v>
      </c>
      <c r="AO169" s="241">
        <f t="shared" ca="1" si="406"/>
        <v>-319153.53314800613</v>
      </c>
      <c r="AP169" s="241">
        <f t="shared" ref="AP169:BU169" ca="1" si="407">SUM(AP164:AP168)</f>
        <v>-325508.32717414654</v>
      </c>
      <c r="AQ169" s="241">
        <f t="shared" ca="1" si="407"/>
        <v>-331991.18969118677</v>
      </c>
      <c r="AR169" s="241">
        <f t="shared" ca="1" si="407"/>
        <v>-338604.67234284099</v>
      </c>
      <c r="AS169" s="241">
        <f t="shared" ca="1" si="407"/>
        <v>-345351.37790295866</v>
      </c>
      <c r="AT169" s="241">
        <f t="shared" ca="1" si="407"/>
        <v>-352241.76313025685</v>
      </c>
      <c r="AU169" s="241">
        <f t="shared" ca="1" si="407"/>
        <v>-359260.75757292792</v>
      </c>
      <c r="AV169" s="241">
        <f t="shared" ca="1" si="407"/>
        <v>-366420.92228954285</v>
      </c>
      <c r="AW169" s="241">
        <f t="shared" ca="1" si="407"/>
        <v>-373725.07278172957</v>
      </c>
      <c r="AX169" s="241">
        <f t="shared" ca="1" si="407"/>
        <v>-381176.08094018715</v>
      </c>
      <c r="AY169" s="241">
        <f t="shared" ca="1" si="407"/>
        <v>-388776.87617167673</v>
      </c>
      <c r="AZ169" s="241">
        <f t="shared" ca="1" si="407"/>
        <v>-396530.44654856034</v>
      </c>
      <c r="BA169" s="241">
        <f t="shared" ca="1" si="407"/>
        <v>-404439.83998133824</v>
      </c>
      <c r="BB169" s="241">
        <f t="shared" ca="1" si="407"/>
        <v>-412508.16541464464</v>
      </c>
      <c r="BC169" s="241">
        <f t="shared" ca="1" si="407"/>
        <v>-420738.59404717147</v>
      </c>
      <c r="BD169" s="241">
        <f t="shared" ca="1" si="407"/>
        <v>-429134.36057599762</v>
      </c>
      <c r="BE169" s="241">
        <f t="shared" ca="1" si="407"/>
        <v>-437698.76446581254</v>
      </c>
      <c r="BF169" s="241">
        <f t="shared" ca="1" si="407"/>
        <v>-446672.47777371662</v>
      </c>
      <c r="BG169" s="241">
        <f t="shared" ca="1" si="407"/>
        <v>-455569.17436530319</v>
      </c>
      <c r="BH169" s="241">
        <f t="shared" ca="1" si="407"/>
        <v>-464644.43157143291</v>
      </c>
      <c r="BI169" s="241">
        <f t="shared" ca="1" si="407"/>
        <v>-473901.81433756906</v>
      </c>
      <c r="BJ169" s="241">
        <f t="shared" ca="1" si="407"/>
        <v>-483344.95897075336</v>
      </c>
      <c r="BK169" s="241">
        <f t="shared" ca="1" si="407"/>
        <v>-492977.57456620928</v>
      </c>
      <c r="BL169" s="241">
        <f t="shared" ca="1" si="407"/>
        <v>-502803.44446248619</v>
      </c>
      <c r="BM169" s="241">
        <f t="shared" ca="1" si="407"/>
        <v>-512826.42772571143</v>
      </c>
      <c r="BN169" s="241">
        <f t="shared" ca="1" si="407"/>
        <v>-523050.46066353377</v>
      </c>
      <c r="BO169" s="241">
        <f t="shared" ca="1" si="407"/>
        <v>-533479.55836935167</v>
      </c>
      <c r="BP169" s="241">
        <f t="shared" ca="1" si="407"/>
        <v>-544117.81629743287</v>
      </c>
      <c r="BQ169" s="241">
        <f t="shared" ca="1" si="407"/>
        <v>-554969.41186954081</v>
      </c>
      <c r="BR169" s="241">
        <f t="shared" ca="1" si="407"/>
        <v>-558087.30903910985</v>
      </c>
      <c r="BS169" s="241">
        <f t="shared" ca="1" si="407"/>
        <v>-561024.08894172846</v>
      </c>
      <c r="BT169" s="241">
        <f t="shared" ca="1" si="407"/>
        <v>-563836.30358587787</v>
      </c>
      <c r="BU169" s="241">
        <f t="shared" ca="1" si="407"/>
        <v>-566523.2946749538</v>
      </c>
      <c r="BV169" s="241">
        <f ca="1">SUM(BV164:BV168)</f>
        <v>-569084.37241633411</v>
      </c>
      <c r="BW169" s="241">
        <f t="shared" ref="BW169:CB169" ca="1" si="408">SUM(BW164:BW168)</f>
        <v>-571518.81507476</v>
      </c>
      <c r="BX169" s="241">
        <f t="shared" ca="1" si="408"/>
        <v>-573825.86851495004</v>
      </c>
      <c r="BY169" s="241">
        <f t="shared" ca="1" si="408"/>
        <v>-576004.74573325366</v>
      </c>
      <c r="BZ169" s="241">
        <f t="shared" ca="1" si="408"/>
        <v>-578054.62637813983</v>
      </c>
      <c r="CA169" s="241">
        <f t="shared" ca="1" si="408"/>
        <v>-579974.65625931823</v>
      </c>
      <c r="CB169" s="241">
        <f t="shared" ca="1" si="408"/>
        <v>-581763.94684528071</v>
      </c>
      <c r="CC169" s="241">
        <f ca="1">SUM(CC164:CC168)</f>
        <v>-583421.57474905136</v>
      </c>
      <c r="CD169" s="241">
        <f t="shared" ref="CD169:DY169" ca="1" si="409">SUM(CD164:CD168)</f>
        <v>-584715.06693688978</v>
      </c>
      <c r="CE169" s="241">
        <f t="shared" ca="1" si="409"/>
        <v>-585939.47540062584</v>
      </c>
      <c r="CF169" s="241">
        <f t="shared" ca="1" si="409"/>
        <v>-587114.30562409188</v>
      </c>
      <c r="CG169" s="241">
        <f t="shared" ca="1" si="409"/>
        <v>-588239.30670657812</v>
      </c>
      <c r="CH169" s="241">
        <f t="shared" ca="1" si="409"/>
        <v>-589314.2153227193</v>
      </c>
      <c r="CI169" s="241">
        <f t="shared" ca="1" si="409"/>
        <v>-590338.75554806844</v>
      </c>
      <c r="CJ169" s="241">
        <f t="shared" ca="1" si="409"/>
        <v>-591312.63868044084</v>
      </c>
      <c r="CK169" s="241">
        <f t="shared" ca="1" si="409"/>
        <v>-592235.56305695209</v>
      </c>
      <c r="CL169" s="241">
        <f t="shared" ca="1" si="409"/>
        <v>-593107.21386666968</v>
      </c>
      <c r="CM169" s="241">
        <f t="shared" ca="1" si="409"/>
        <v>-593927.26295880112</v>
      </c>
      <c r="CN169" s="241">
        <f t="shared" ca="1" si="409"/>
        <v>-594695.36864633264</v>
      </c>
      <c r="CO169" s="241">
        <f t="shared" ca="1" si="409"/>
        <v>-595411.17550503626</v>
      </c>
      <c r="CP169" s="241">
        <f t="shared" ca="1" si="409"/>
        <v>-595735.07167262409</v>
      </c>
      <c r="CQ169" s="241">
        <f t="shared" ca="1" si="409"/>
        <v>-596037.46252679359</v>
      </c>
      <c r="CR169" s="241">
        <f t="shared" ca="1" si="409"/>
        <v>-596318.19840456941</v>
      </c>
      <c r="CS169" s="241">
        <f t="shared" ca="1" si="409"/>
        <v>-596577.12323435838</v>
      </c>
      <c r="CT169" s="241">
        <f t="shared" ca="1" si="409"/>
        <v>-596814.07505285612</v>
      </c>
      <c r="CU169" s="241">
        <f t="shared" ca="1" si="409"/>
        <v>-597028.88591491594</v>
      </c>
      <c r="CV169" s="241">
        <f t="shared" ca="1" si="409"/>
        <v>-597145.38505160704</v>
      </c>
      <c r="CW169" s="241">
        <f t="shared" ca="1" si="409"/>
        <v>-597253.95219746616</v>
      </c>
      <c r="CX169" s="241">
        <f t="shared" ca="1" si="409"/>
        <v>-597358.79658116749</v>
      </c>
      <c r="CY169" s="241">
        <f t="shared" ca="1" si="409"/>
        <v>-597459.90268851863</v>
      </c>
      <c r="CZ169" s="241">
        <f t="shared" ca="1" si="409"/>
        <v>-597557.25410563278</v>
      </c>
      <c r="DA169" s="241">
        <f t="shared" ca="1" si="409"/>
        <v>-597650.83350682922</v>
      </c>
      <c r="DB169" s="241">
        <f t="shared" ca="1" si="409"/>
        <v>-597740.11822614947</v>
      </c>
      <c r="DC169" s="241">
        <f t="shared" ca="1" si="409"/>
        <v>-597824.7028949064</v>
      </c>
      <c r="DD169" s="241">
        <f t="shared" ca="1" si="409"/>
        <v>-597906.12433760322</v>
      </c>
      <c r="DE169" s="241">
        <f t="shared" ca="1" si="409"/>
        <v>-597984.36783891311</v>
      </c>
      <c r="DF169" s="241">
        <f t="shared" ca="1" si="409"/>
        <v>-598059.41790371074</v>
      </c>
      <c r="DG169" s="241">
        <f t="shared" ca="1" si="409"/>
        <v>-598131.25824633113</v>
      </c>
      <c r="DH169" s="241">
        <f t="shared" ca="1" si="409"/>
        <v>-598199.87177956582</v>
      </c>
      <c r="DI169" s="241">
        <f t="shared" ca="1" si="409"/>
        <v>-598265.24060338899</v>
      </c>
      <c r="DJ169" s="241">
        <f t="shared" ca="1" si="409"/>
        <v>-598327.34599341359</v>
      </c>
      <c r="DK169" s="241">
        <f t="shared" ca="1" si="409"/>
        <v>-598386.16838906612</v>
      </c>
      <c r="DL169" s="241">
        <f t="shared" ca="1" si="409"/>
        <v>-598441.68738148105</v>
      </c>
      <c r="DM169" s="241">
        <f t="shared" ca="1" si="409"/>
        <v>-598493.88170110504</v>
      </c>
      <c r="DN169" s="241">
        <f t="shared" ca="1" si="409"/>
        <v>-598517.64324898715</v>
      </c>
      <c r="DO169" s="241">
        <f t="shared" ca="1" si="409"/>
        <v>-598539.98513026151</v>
      </c>
      <c r="DP169" s="241">
        <f t="shared" ca="1" si="409"/>
        <v>-598560.8979053715</v>
      </c>
      <c r="DQ169" s="241">
        <f t="shared" ca="1" si="409"/>
        <v>-598580.37175163138</v>
      </c>
      <c r="DR169" s="241">
        <f t="shared" ca="1" si="409"/>
        <v>-598598.39646230801</v>
      </c>
      <c r="DS169" s="241">
        <f t="shared" ca="1" si="409"/>
        <v>-598614.96144081466</v>
      </c>
      <c r="DT169" s="241">
        <f t="shared" ca="1" si="409"/>
        <v>-598630.05569477193</v>
      </c>
      <c r="DU169" s="241">
        <f t="shared" ca="1" si="409"/>
        <v>-598643.66782992985</v>
      </c>
      <c r="DV169" s="241">
        <f t="shared" ca="1" si="409"/>
        <v>-598655.78604395129</v>
      </c>
      <c r="DW169" s="241">
        <f t="shared" ca="1" si="409"/>
        <v>-598666.39812005183</v>
      </c>
      <c r="DX169" s="241">
        <f t="shared" ca="1" si="409"/>
        <v>-598675.49142049509</v>
      </c>
      <c r="DY169" s="241">
        <f t="shared" ca="1" si="409"/>
        <v>-598683.0528799399</v>
      </c>
    </row>
    <row r="170" spans="3:129" s="37" customFormat="1" outlineLevel="1">
      <c r="F170" s="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c r="AF170" s="355"/>
      <c r="AG170" s="355"/>
      <c r="AH170" s="355"/>
      <c r="AI170" s="355"/>
      <c r="AJ170" s="355"/>
      <c r="AK170" s="355"/>
      <c r="AL170" s="355"/>
      <c r="AM170" s="355"/>
      <c r="AN170" s="355"/>
      <c r="AO170" s="355"/>
      <c r="AP170" s="355"/>
      <c r="AQ170" s="355"/>
      <c r="AR170" s="355"/>
      <c r="AS170" s="355"/>
      <c r="AT170" s="355"/>
      <c r="AU170" s="355"/>
      <c r="AV170" s="355"/>
      <c r="AW170" s="355"/>
      <c r="AX170" s="355"/>
      <c r="AY170" s="355"/>
      <c r="AZ170" s="355"/>
      <c r="BA170" s="355"/>
      <c r="BB170" s="355"/>
      <c r="BC170" s="355"/>
      <c r="BD170" s="355"/>
      <c r="BE170" s="355"/>
      <c r="BF170" s="355"/>
      <c r="BG170" s="355"/>
      <c r="BH170" s="355"/>
      <c r="BI170" s="355"/>
      <c r="BJ170" s="355"/>
      <c r="BK170" s="355"/>
      <c r="BL170" s="355"/>
      <c r="BM170" s="355"/>
      <c r="BN170" s="355"/>
      <c r="BO170" s="355"/>
      <c r="BP170" s="355"/>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5"/>
      <c r="CO170" s="355"/>
      <c r="CP170" s="355"/>
      <c r="CQ170" s="355"/>
      <c r="CR170" s="355"/>
      <c r="CS170" s="355"/>
      <c r="CT170" s="355"/>
      <c r="CU170" s="355"/>
      <c r="CV170" s="355"/>
      <c r="CW170" s="355"/>
      <c r="CX170" s="355"/>
      <c r="CY170" s="355"/>
      <c r="CZ170" s="355"/>
      <c r="DA170" s="355"/>
      <c r="DB170" s="355"/>
      <c r="DC170" s="355"/>
      <c r="DD170" s="355"/>
      <c r="DE170" s="355"/>
      <c r="DF170" s="355"/>
      <c r="DG170" s="355"/>
      <c r="DH170" s="355"/>
      <c r="DI170" s="355"/>
      <c r="DJ170" s="355"/>
      <c r="DK170" s="355"/>
      <c r="DL170" s="355"/>
      <c r="DM170" s="355"/>
      <c r="DN170" s="355"/>
      <c r="DO170" s="355"/>
      <c r="DP170" s="355"/>
      <c r="DQ170" s="355"/>
      <c r="DR170" s="355"/>
      <c r="DS170" s="355"/>
      <c r="DT170" s="355"/>
      <c r="DU170" s="355"/>
      <c r="DV170" s="355"/>
      <c r="DW170" s="355"/>
      <c r="DX170" s="355"/>
      <c r="DY170" s="355"/>
    </row>
    <row r="171" spans="3:129" s="37" customFormat="1" outlineLevel="2">
      <c r="C171" s="5" t="s">
        <v>409</v>
      </c>
      <c r="F171" s="5" t="s">
        <v>344</v>
      </c>
      <c r="J171" s="150">
        <f>-INDEX(Costs,MATCH($C171,'Model Assumptions'!$C$95:$C$104,0),MATCH(J$4,'Model Assumptions'!$C$95:$L$95,0))</f>
        <v>-200000</v>
      </c>
      <c r="K171" s="150">
        <f>-INDEX(Costs,MATCH($C171,'Model Assumptions'!$C$95:$C$104,0),MATCH(K$4,'Model Assumptions'!$C$95:$L$95,0))</f>
        <v>-200000</v>
      </c>
      <c r="L171" s="150">
        <f>-INDEX(Costs,MATCH($C171,'Model Assumptions'!$C$95:$C$104,0),MATCH(L$4,'Model Assumptions'!$C$95:$L$95,0))</f>
        <v>-200000</v>
      </c>
      <c r="M171" s="150">
        <f>-INDEX(Costs,MATCH($C171,'Model Assumptions'!$C$95:$C$104,0),MATCH(M$4,'Model Assumptions'!$C$95:$L$95,0))</f>
        <v>-200000</v>
      </c>
      <c r="N171" s="150">
        <f>-INDEX(Costs,MATCH($C171,'Model Assumptions'!$C$95:$C$104,0),MATCH(N$4,'Model Assumptions'!$C$95:$L$95,0))</f>
        <v>-200000</v>
      </c>
      <c r="O171" s="150">
        <f>-INDEX(Costs,MATCH($C171,'Model Assumptions'!$C$95:$C$104,0),MATCH(O$4,'Model Assumptions'!$C$95:$L$95,0))</f>
        <v>-200000</v>
      </c>
      <c r="P171" s="150">
        <f>-INDEX(Costs,MATCH($C171,'Model Assumptions'!$C$95:$C$104,0),MATCH(P$4,'Model Assumptions'!$C$95:$L$95,0))</f>
        <v>-200000</v>
      </c>
      <c r="Q171" s="150">
        <f>-INDEX(Costs,MATCH($C171,'Model Assumptions'!$C$95:$C$104,0),MATCH(Q$4,'Model Assumptions'!$C$95:$L$95,0))</f>
        <v>-200000</v>
      </c>
      <c r="R171" s="150">
        <f>-INDEX(Costs,MATCH($C171,'Model Assumptions'!$C$95:$C$104,0),MATCH(R$4,'Model Assumptions'!$C$95:$L$95,0))</f>
        <v>-200000</v>
      </c>
      <c r="S171" s="150">
        <f>-INDEX(Costs,MATCH($C171,'Model Assumptions'!$C$95:$C$104,0),MATCH(S$4,'Model Assumptions'!$C$95:$L$95,0))</f>
        <v>-200000</v>
      </c>
      <c r="T171" s="150">
        <f>-INDEX(Costs,MATCH($C171,'Model Assumptions'!$C$95:$C$104,0),MATCH(T$4,'Model Assumptions'!$C$95:$L$95,0))</f>
        <v>-200000</v>
      </c>
      <c r="U171" s="150">
        <f>-INDEX(Costs,MATCH($C171,'Model Assumptions'!$C$95:$C$104,0),MATCH(U$4,'Model Assumptions'!$C$95:$L$95,0))</f>
        <v>-200000</v>
      </c>
      <c r="V171" s="150">
        <f>-INDEX(Costs,MATCH($C171,'Model Assumptions'!$C$95:$C$104,0),MATCH(V$4,'Model Assumptions'!$C$95:$L$95,0))</f>
        <v>-200000</v>
      </c>
      <c r="W171" s="150">
        <f>-INDEX(Costs,MATCH($C171,'Model Assumptions'!$C$95:$C$104,0),MATCH(W$4,'Model Assumptions'!$C$95:$L$95,0))</f>
        <v>-200000</v>
      </c>
      <c r="X171" s="150">
        <f>-INDEX(Costs,MATCH($C171,'Model Assumptions'!$C$95:$C$104,0),MATCH(X$4,'Model Assumptions'!$C$95:$L$95,0))</f>
        <v>-200000</v>
      </c>
      <c r="Y171" s="150">
        <f>-INDEX(Costs,MATCH($C171,'Model Assumptions'!$C$95:$C$104,0),MATCH(Y$4,'Model Assumptions'!$C$95:$L$95,0))</f>
        <v>-200000</v>
      </c>
      <c r="Z171" s="150">
        <f>-INDEX(Costs,MATCH($C171,'Model Assumptions'!$C$95:$C$104,0),MATCH(Z$4,'Model Assumptions'!$C$95:$L$95,0))</f>
        <v>-200000</v>
      </c>
      <c r="AA171" s="150">
        <f>-INDEX(Costs,MATCH($C171,'Model Assumptions'!$C$95:$C$104,0),MATCH(AA$4,'Model Assumptions'!$C$95:$L$95,0))</f>
        <v>-200000</v>
      </c>
      <c r="AB171" s="150">
        <f>-INDEX(Costs,MATCH($C171,'Model Assumptions'!$C$95:$C$104,0),MATCH(AB$4,'Model Assumptions'!$C$95:$L$95,0))</f>
        <v>-200000</v>
      </c>
      <c r="AC171" s="150">
        <f>-INDEX(Costs,MATCH($C171,'Model Assumptions'!$C$95:$C$104,0),MATCH(AC$4,'Model Assumptions'!$C$95:$L$95,0))</f>
        <v>-200000</v>
      </c>
      <c r="AD171" s="150">
        <f>-INDEX(Costs,MATCH($C171,'Model Assumptions'!$C$95:$C$104,0),MATCH(AD$4,'Model Assumptions'!$C$95:$L$95,0))</f>
        <v>-200000</v>
      </c>
      <c r="AE171" s="150">
        <f>-INDEX(Costs,MATCH($C171,'Model Assumptions'!$C$95:$C$104,0),MATCH(AE$4,'Model Assumptions'!$C$95:$L$95,0))</f>
        <v>-200000</v>
      </c>
      <c r="AF171" s="150">
        <f>-INDEX(Costs,MATCH($C171,'Model Assumptions'!$C$95:$C$104,0),MATCH(AF$4,'Model Assumptions'!$C$95:$L$95,0))</f>
        <v>-200000</v>
      </c>
      <c r="AG171" s="150">
        <f>-INDEX(Costs,MATCH($C171,'Model Assumptions'!$C$95:$C$104,0),MATCH(AG$4,'Model Assumptions'!$C$95:$L$95,0))</f>
        <v>-200000</v>
      </c>
      <c r="AH171" s="150">
        <f>-INDEX(Costs,MATCH($C171,'Model Assumptions'!$C$95:$C$104,0),MATCH(AH$4,'Model Assumptions'!$C$95:$L$95,0))</f>
        <v>-200000</v>
      </c>
      <c r="AI171" s="150">
        <f>-INDEX(Costs,MATCH($C171,'Model Assumptions'!$C$95:$C$104,0),MATCH(AI$4,'Model Assumptions'!$C$95:$L$95,0))</f>
        <v>-200000</v>
      </c>
      <c r="AJ171" s="150">
        <f>-INDEX(Costs,MATCH($C171,'Model Assumptions'!$C$95:$C$104,0),MATCH(AJ$4,'Model Assumptions'!$C$95:$L$95,0))</f>
        <v>-200000</v>
      </c>
      <c r="AK171" s="150">
        <f>-INDEX(Costs,MATCH($C171,'Model Assumptions'!$C$95:$C$104,0),MATCH(AK$4,'Model Assumptions'!$C$95:$L$95,0))</f>
        <v>-200000</v>
      </c>
      <c r="AL171" s="150">
        <f>-INDEX(Costs,MATCH($C171,'Model Assumptions'!$C$95:$C$104,0),MATCH(AL$4,'Model Assumptions'!$C$95:$L$95,0))</f>
        <v>-200000</v>
      </c>
      <c r="AM171" s="150">
        <f>-INDEX(Costs,MATCH($C171,'Model Assumptions'!$C$95:$C$104,0),MATCH(AM$4,'Model Assumptions'!$C$95:$L$95,0))</f>
        <v>-200000</v>
      </c>
      <c r="AN171" s="150">
        <f>-INDEX(Costs,MATCH($C171,'Model Assumptions'!$C$95:$C$104,0),MATCH(AN$4,'Model Assumptions'!$C$95:$L$95,0))</f>
        <v>-200000</v>
      </c>
      <c r="AO171" s="150">
        <f>-INDEX(Costs,MATCH($C171,'Model Assumptions'!$C$95:$C$104,0),MATCH(AO$4,'Model Assumptions'!$C$95:$L$95,0))</f>
        <v>-200000</v>
      </c>
      <c r="AP171" s="150">
        <f>-INDEX(Costs,MATCH($C171,'Model Assumptions'!$C$95:$C$104,0),MATCH(AP$4,'Model Assumptions'!$C$95:$L$95,0))</f>
        <v>-200000</v>
      </c>
      <c r="AQ171" s="150">
        <f>-INDEX(Costs,MATCH($C171,'Model Assumptions'!$C$95:$C$104,0),MATCH(AQ$4,'Model Assumptions'!$C$95:$L$95,0))</f>
        <v>-200000</v>
      </c>
      <c r="AR171" s="150">
        <f>-INDEX(Costs,MATCH($C171,'Model Assumptions'!$C$95:$C$104,0),MATCH(AR$4,'Model Assumptions'!$C$95:$L$95,0))</f>
        <v>-200000</v>
      </c>
      <c r="AS171" s="150">
        <f>-INDEX(Costs,MATCH($C171,'Model Assumptions'!$C$95:$C$104,0),MATCH(AS$4,'Model Assumptions'!$C$95:$L$95,0))</f>
        <v>-200000</v>
      </c>
      <c r="AT171" s="150">
        <f>-INDEX(Costs,MATCH($C171,'Model Assumptions'!$C$95:$C$104,0),MATCH(AT$4,'Model Assumptions'!$C$95:$L$95,0))</f>
        <v>-200000</v>
      </c>
      <c r="AU171" s="150">
        <f>-INDEX(Costs,MATCH($C171,'Model Assumptions'!$C$95:$C$104,0),MATCH(AU$4,'Model Assumptions'!$C$95:$L$95,0))</f>
        <v>-200000</v>
      </c>
      <c r="AV171" s="150">
        <f>-INDEX(Costs,MATCH($C171,'Model Assumptions'!$C$95:$C$104,0),MATCH(AV$4,'Model Assumptions'!$C$95:$L$95,0))</f>
        <v>-200000</v>
      </c>
      <c r="AW171" s="150">
        <f>-INDEX(Costs,MATCH($C171,'Model Assumptions'!$C$95:$C$104,0),MATCH(AW$4,'Model Assumptions'!$C$95:$L$95,0))</f>
        <v>-200000</v>
      </c>
      <c r="AX171" s="150">
        <f>-INDEX(Costs,MATCH($C171,'Model Assumptions'!$C$95:$C$104,0),MATCH(AX$4,'Model Assumptions'!$C$95:$L$95,0))</f>
        <v>-200000</v>
      </c>
      <c r="AY171" s="150">
        <f>-INDEX(Costs,MATCH($C171,'Model Assumptions'!$C$95:$C$104,0),MATCH(AY$4,'Model Assumptions'!$C$95:$L$95,0))</f>
        <v>-200000</v>
      </c>
      <c r="AZ171" s="150">
        <f>-INDEX(Costs,MATCH($C171,'Model Assumptions'!$C$95:$C$104,0),MATCH(AZ$4,'Model Assumptions'!$C$95:$L$95,0))</f>
        <v>-200000</v>
      </c>
      <c r="BA171" s="150">
        <f>-INDEX(Costs,MATCH($C171,'Model Assumptions'!$C$95:$C$104,0),MATCH(BA$4,'Model Assumptions'!$C$95:$L$95,0))</f>
        <v>-200000</v>
      </c>
      <c r="BB171" s="150">
        <f>-INDEX(Costs,MATCH($C171,'Model Assumptions'!$C$95:$C$104,0),MATCH(BB$4,'Model Assumptions'!$C$95:$L$95,0))</f>
        <v>-200000</v>
      </c>
      <c r="BC171" s="150">
        <f>-INDEX(Costs,MATCH($C171,'Model Assumptions'!$C$95:$C$104,0),MATCH(BC$4,'Model Assumptions'!$C$95:$L$95,0))</f>
        <v>-200000</v>
      </c>
      <c r="BD171" s="150">
        <f>-INDEX(Costs,MATCH($C171,'Model Assumptions'!$C$95:$C$104,0),MATCH(BD$4,'Model Assumptions'!$C$95:$L$95,0))</f>
        <v>-200000</v>
      </c>
      <c r="BE171" s="150">
        <f>-INDEX(Costs,MATCH($C171,'Model Assumptions'!$C$95:$C$104,0),MATCH(BE$4,'Model Assumptions'!$C$95:$L$95,0))</f>
        <v>-200000</v>
      </c>
      <c r="BF171" s="150">
        <f>-INDEX(Costs,MATCH($C171,'Model Assumptions'!$C$95:$C$104,0),MATCH(BF$4,'Model Assumptions'!$C$95:$L$95,0))</f>
        <v>-200000</v>
      </c>
      <c r="BG171" s="150">
        <f>-INDEX(Costs,MATCH($C171,'Model Assumptions'!$C$95:$C$104,0),MATCH(BG$4,'Model Assumptions'!$C$95:$L$95,0))</f>
        <v>-200000</v>
      </c>
      <c r="BH171" s="150">
        <f>-INDEX(Costs,MATCH($C171,'Model Assumptions'!$C$95:$C$104,0),MATCH(BH$4,'Model Assumptions'!$C$95:$L$95,0))</f>
        <v>-200000</v>
      </c>
      <c r="BI171" s="150">
        <f>-INDEX(Costs,MATCH($C171,'Model Assumptions'!$C$95:$C$104,0),MATCH(BI$4,'Model Assumptions'!$C$95:$L$95,0))</f>
        <v>-200000</v>
      </c>
      <c r="BJ171" s="150">
        <f>-INDEX(Costs,MATCH($C171,'Model Assumptions'!$C$95:$C$104,0),MATCH(BJ$4,'Model Assumptions'!$C$95:$L$95,0))</f>
        <v>-200000</v>
      </c>
      <c r="BK171" s="150">
        <f>-INDEX(Costs,MATCH($C171,'Model Assumptions'!$C$95:$C$104,0),MATCH(BK$4,'Model Assumptions'!$C$95:$L$95,0))</f>
        <v>-200000</v>
      </c>
      <c r="BL171" s="150">
        <f>-INDEX(Costs,MATCH($C171,'Model Assumptions'!$C$95:$C$104,0),MATCH(BL$4,'Model Assumptions'!$C$95:$L$95,0))</f>
        <v>-200000</v>
      </c>
      <c r="BM171" s="150">
        <f>-INDEX(Costs,MATCH($C171,'Model Assumptions'!$C$95:$C$104,0),MATCH(BM$4,'Model Assumptions'!$C$95:$L$95,0))</f>
        <v>-200000</v>
      </c>
      <c r="BN171" s="150">
        <f>-INDEX(Costs,MATCH($C171,'Model Assumptions'!$C$95:$C$104,0),MATCH(BN$4,'Model Assumptions'!$C$95:$L$95,0))</f>
        <v>-200000</v>
      </c>
      <c r="BO171" s="150">
        <f>-INDEX(Costs,MATCH($C171,'Model Assumptions'!$C$95:$C$104,0),MATCH(BO$4,'Model Assumptions'!$C$95:$L$95,0))</f>
        <v>-200000</v>
      </c>
      <c r="BP171" s="150">
        <f>-INDEX(Costs,MATCH($C171,'Model Assumptions'!$C$95:$C$104,0),MATCH(BP$4,'Model Assumptions'!$C$95:$L$95,0))</f>
        <v>-200000</v>
      </c>
      <c r="BQ171" s="150">
        <f>-INDEX(Costs,MATCH($C171,'Model Assumptions'!$C$95:$C$104,0),MATCH(BQ$4,'Model Assumptions'!$C$95:$L$95,0))</f>
        <v>-200000</v>
      </c>
      <c r="BR171" s="150">
        <f>-INDEX(Costs,MATCH($C171,'Model Assumptions'!$C$95:$C$104,0),MATCH(BR$4,'Model Assumptions'!$C$95:$L$95,0))</f>
        <v>-200000</v>
      </c>
      <c r="BS171" s="150">
        <f>-INDEX(Costs,MATCH($C171,'Model Assumptions'!$C$95:$C$104,0),MATCH(BS$4,'Model Assumptions'!$C$95:$L$95,0))</f>
        <v>-200000</v>
      </c>
      <c r="BT171" s="150">
        <f>-INDEX(Costs,MATCH($C171,'Model Assumptions'!$C$95:$C$104,0),MATCH(BT$4,'Model Assumptions'!$C$95:$L$95,0))</f>
        <v>-200000</v>
      </c>
      <c r="BU171" s="150">
        <f>-INDEX(Costs,MATCH($C171,'Model Assumptions'!$C$95:$C$104,0),MATCH(BU$4,'Model Assumptions'!$C$95:$L$95,0))</f>
        <v>-200000</v>
      </c>
      <c r="BV171" s="150">
        <f>-INDEX(Costs,MATCH($C171,'Model Assumptions'!$C$95:$C$104,0),MATCH(BV$4,'Model Assumptions'!$C$95:$L$95,0))</f>
        <v>-200000</v>
      </c>
      <c r="BW171" s="150">
        <f>-INDEX(Costs,MATCH($C171,'Model Assumptions'!$C$95:$C$104,0),MATCH(BW$4,'Model Assumptions'!$C$95:$L$95,0))</f>
        <v>-200000</v>
      </c>
      <c r="BX171" s="150">
        <f>-INDEX(Costs,MATCH($C171,'Model Assumptions'!$C$95:$C$104,0),MATCH(BX$4,'Model Assumptions'!$C$95:$L$95,0))</f>
        <v>-200000</v>
      </c>
      <c r="BY171" s="150">
        <f>-INDEX(Costs,MATCH($C171,'Model Assumptions'!$C$95:$C$104,0),MATCH(BY$4,'Model Assumptions'!$C$95:$L$95,0))</f>
        <v>-200000</v>
      </c>
      <c r="BZ171" s="150">
        <f>-INDEX(Costs,MATCH($C171,'Model Assumptions'!$C$95:$C$104,0),MATCH(BZ$4,'Model Assumptions'!$C$95:$L$95,0))</f>
        <v>-200000</v>
      </c>
      <c r="CA171" s="150">
        <f>-INDEX(Costs,MATCH($C171,'Model Assumptions'!$C$95:$C$104,0),MATCH(CA$4,'Model Assumptions'!$C$95:$L$95,0))</f>
        <v>-200000</v>
      </c>
      <c r="CB171" s="150">
        <f>-INDEX(Costs,MATCH($C171,'Model Assumptions'!$C$95:$C$104,0),MATCH(CB$4,'Model Assumptions'!$C$95:$L$95,0))</f>
        <v>-200000</v>
      </c>
      <c r="CC171" s="150">
        <f>-INDEX(Costs,MATCH($C171,'Model Assumptions'!$C$95:$C$104,0),MATCH(CC$4,'Model Assumptions'!$C$95:$P$95,0))</f>
        <v>-200000</v>
      </c>
      <c r="CD171" s="150">
        <f>-INDEX(Costs,MATCH($C171,'Model Assumptions'!$C$95:$C$104,0),MATCH(CD$4,'Model Assumptions'!$C$95:$P$95,0))</f>
        <v>-200000</v>
      </c>
      <c r="CE171" s="150">
        <f>-INDEX(Costs,MATCH($C171,'Model Assumptions'!$C$95:$C$104,0),MATCH(CE$4,'Model Assumptions'!$C$95:$P$95,0))</f>
        <v>-200000</v>
      </c>
      <c r="CF171" s="150">
        <f>-INDEX(Costs,MATCH($C171,'Model Assumptions'!$C$95:$C$104,0),MATCH(CF$4,'Model Assumptions'!$C$95:$P$95,0))</f>
        <v>-200000</v>
      </c>
      <c r="CG171" s="150">
        <f>-INDEX(Costs,MATCH($C171,'Model Assumptions'!$C$95:$C$104,0),MATCH(CG$4,'Model Assumptions'!$C$95:$P$95,0))</f>
        <v>-200000</v>
      </c>
      <c r="CH171" s="150">
        <f>-INDEX(Costs,MATCH($C171,'Model Assumptions'!$C$95:$C$104,0),MATCH(CH$4,'Model Assumptions'!$C$95:$P$95,0))</f>
        <v>-200000</v>
      </c>
      <c r="CI171" s="150">
        <f>-INDEX(Costs,MATCH($C171,'Model Assumptions'!$C$95:$C$104,0),MATCH(CI$4,'Model Assumptions'!$C$95:$P$95,0))</f>
        <v>-200000</v>
      </c>
      <c r="CJ171" s="150">
        <f>-INDEX(Costs,MATCH($C171,'Model Assumptions'!$C$95:$C$104,0),MATCH(CJ$4,'Model Assumptions'!$C$95:$P$95,0))</f>
        <v>-200000</v>
      </c>
      <c r="CK171" s="150">
        <f>-INDEX(Costs,MATCH($C171,'Model Assumptions'!$C$95:$C$104,0),MATCH(CK$4,'Model Assumptions'!$C$95:$P$95,0))</f>
        <v>-200000</v>
      </c>
      <c r="CL171" s="150">
        <f>-INDEX(Costs,MATCH($C171,'Model Assumptions'!$C$95:$C$104,0),MATCH(CL$4,'Model Assumptions'!$C$95:$P$95,0))</f>
        <v>-200000</v>
      </c>
      <c r="CM171" s="150">
        <f>-INDEX(Costs,MATCH($C171,'Model Assumptions'!$C$95:$C$104,0),MATCH(CM$4,'Model Assumptions'!$C$95:$P$95,0))</f>
        <v>-200000</v>
      </c>
      <c r="CN171" s="150">
        <f>-INDEX(Costs,MATCH($C171,'Model Assumptions'!$C$95:$C$104,0),MATCH(CN$4,'Model Assumptions'!$C$95:$P$95,0))</f>
        <v>-200000</v>
      </c>
      <c r="CO171" s="150">
        <f>-INDEX(Costs,MATCH($C171,'Model Assumptions'!$C$95:$C$104,0),MATCH(CO$4,'Model Assumptions'!$C$95:$P$95,0))</f>
        <v>-200000</v>
      </c>
      <c r="CP171" s="150">
        <f>-INDEX(Costs,MATCH($C171,'Model Assumptions'!$C$95:$C$104,0),MATCH(CP$4,'Model Assumptions'!$C$95:$P$95,0))</f>
        <v>-200000</v>
      </c>
      <c r="CQ171" s="150">
        <f>-INDEX(Costs,MATCH($C171,'Model Assumptions'!$C$95:$C$104,0),MATCH(CQ$4,'Model Assumptions'!$C$95:$P$95,0))</f>
        <v>-200000</v>
      </c>
      <c r="CR171" s="150">
        <f>-INDEX(Costs,MATCH($C171,'Model Assumptions'!$C$95:$C$104,0),MATCH(CR$4,'Model Assumptions'!$C$95:$P$95,0))</f>
        <v>-200000</v>
      </c>
      <c r="CS171" s="150">
        <f>-INDEX(Costs,MATCH($C171,'Model Assumptions'!$C$95:$C$104,0),MATCH(CS$4,'Model Assumptions'!$C$95:$P$95,0))</f>
        <v>-200000</v>
      </c>
      <c r="CT171" s="150">
        <f>-INDEX(Costs,MATCH($C171,'Model Assumptions'!$C$95:$C$104,0),MATCH(CT$4,'Model Assumptions'!$C$95:$P$95,0))</f>
        <v>-200000</v>
      </c>
      <c r="CU171" s="150">
        <f>-INDEX(Costs,MATCH($C171,'Model Assumptions'!$C$95:$C$104,0),MATCH(CU$4,'Model Assumptions'!$C$95:$P$95,0))</f>
        <v>-200000</v>
      </c>
      <c r="CV171" s="150">
        <f>-INDEX(Costs,MATCH($C171,'Model Assumptions'!$C$95:$C$104,0),MATCH(CV$4,'Model Assumptions'!$C$95:$P$95,0))</f>
        <v>-200000</v>
      </c>
      <c r="CW171" s="150">
        <f>-INDEX(Costs,MATCH($C171,'Model Assumptions'!$C$95:$C$104,0),MATCH(CW$4,'Model Assumptions'!$C$95:$P$95,0))</f>
        <v>-200000</v>
      </c>
      <c r="CX171" s="150">
        <f>-INDEX(Costs,MATCH($C171,'Model Assumptions'!$C$95:$C$104,0),MATCH(CX$4,'Model Assumptions'!$C$95:$P$95,0))</f>
        <v>-200000</v>
      </c>
      <c r="CY171" s="150">
        <f>-INDEX(Costs,MATCH($C171,'Model Assumptions'!$C$95:$C$104,0),MATCH(CY$4,'Model Assumptions'!$C$95:$P$95,0))</f>
        <v>-200000</v>
      </c>
      <c r="CZ171" s="150">
        <f>-INDEX(Costs,MATCH($C171,'Model Assumptions'!$C$95:$C$104,0),MATCH(CZ$4,'Model Assumptions'!$C$95:$P$95,0))</f>
        <v>-200000</v>
      </c>
      <c r="DA171" s="150">
        <f>-INDEX(Costs,MATCH($C171,'Model Assumptions'!$C$95:$C$104,0),MATCH(DA$4,'Model Assumptions'!$C$95:$P$95,0))</f>
        <v>-200000</v>
      </c>
      <c r="DB171" s="150">
        <f>-INDEX(Costs,MATCH($C171,'Model Assumptions'!$C$95:$C$104,0),MATCH(DB$4,'Model Assumptions'!$C$95:$P$95,0))</f>
        <v>-200000</v>
      </c>
      <c r="DC171" s="150">
        <f>-INDEX(Costs,MATCH($C171,'Model Assumptions'!$C$95:$C$104,0),MATCH(DC$4,'Model Assumptions'!$C$95:$P$95,0))</f>
        <v>-200000</v>
      </c>
      <c r="DD171" s="150">
        <f>-INDEX(Costs,MATCH($C171,'Model Assumptions'!$C$95:$C$104,0),MATCH(DD$4,'Model Assumptions'!$C$95:$P$95,0))</f>
        <v>-200000</v>
      </c>
      <c r="DE171" s="150">
        <f>-INDEX(Costs,MATCH($C171,'Model Assumptions'!$C$95:$C$104,0),MATCH(DE$4,'Model Assumptions'!$C$95:$P$95,0))</f>
        <v>-200000</v>
      </c>
      <c r="DF171" s="150">
        <f>-INDEX(Costs,MATCH($C171,'Model Assumptions'!$C$95:$C$104,0),MATCH(DF$4,'Model Assumptions'!$C$95:$P$95,0))</f>
        <v>-200000</v>
      </c>
      <c r="DG171" s="150">
        <f>-INDEX(Costs,MATCH($C171,'Model Assumptions'!$C$95:$C$104,0),MATCH(DG$4,'Model Assumptions'!$C$95:$P$95,0))</f>
        <v>-200000</v>
      </c>
      <c r="DH171" s="150">
        <f>-INDEX(Costs,MATCH($C171,'Model Assumptions'!$C$95:$C$104,0),MATCH(DH$4,'Model Assumptions'!$C$95:$P$95,0))</f>
        <v>-200000</v>
      </c>
      <c r="DI171" s="150">
        <f>-INDEX(Costs,MATCH($C171,'Model Assumptions'!$C$95:$C$104,0),MATCH(DI$4,'Model Assumptions'!$C$95:$P$95,0))</f>
        <v>-200000</v>
      </c>
      <c r="DJ171" s="150">
        <f>-INDEX(Costs,MATCH($C171,'Model Assumptions'!$C$95:$C$104,0),MATCH(DJ$4,'Model Assumptions'!$C$95:$P$95,0))</f>
        <v>-200000</v>
      </c>
      <c r="DK171" s="150">
        <f>-INDEX(Costs,MATCH($C171,'Model Assumptions'!$C$95:$C$104,0),MATCH(DK$4,'Model Assumptions'!$C$95:$P$95,0))</f>
        <v>-200000</v>
      </c>
      <c r="DL171" s="150">
        <f>-INDEX(Costs,MATCH($C171,'Model Assumptions'!$C$95:$C$104,0),MATCH(DL$4,'Model Assumptions'!$C$95:$P$95,0))</f>
        <v>-200000</v>
      </c>
      <c r="DM171" s="150">
        <f>-INDEX(Costs,MATCH($C171,'Model Assumptions'!$C$95:$C$104,0),MATCH(DM$4,'Model Assumptions'!$C$95:$P$95,0))</f>
        <v>-200000</v>
      </c>
      <c r="DN171" s="150">
        <f>-INDEX(Costs,MATCH($C171,'Model Assumptions'!$C$95:$C$104,0),MATCH(DN$4,'Model Assumptions'!$C$95:$P$95,0))</f>
        <v>-200000</v>
      </c>
      <c r="DO171" s="150">
        <f>-INDEX(Costs,MATCH($C171,'Model Assumptions'!$C$95:$C$104,0),MATCH(DO$4,'Model Assumptions'!$C$95:$P$95,0))</f>
        <v>-200000</v>
      </c>
      <c r="DP171" s="150">
        <f>-INDEX(Costs,MATCH($C171,'Model Assumptions'!$C$95:$C$104,0),MATCH(DP$4,'Model Assumptions'!$C$95:$P$95,0))</f>
        <v>-200000</v>
      </c>
      <c r="DQ171" s="150">
        <f>-INDEX(Costs,MATCH($C171,'Model Assumptions'!$C$95:$C$104,0),MATCH(DQ$4,'Model Assumptions'!$C$95:$P$95,0))</f>
        <v>-200000</v>
      </c>
      <c r="DR171" s="150">
        <f>-INDEX(Costs,MATCH($C171,'Model Assumptions'!$C$95:$C$104,0),MATCH(DR$4,'Model Assumptions'!$C$95:$P$95,0))</f>
        <v>-200000</v>
      </c>
      <c r="DS171" s="150">
        <f>-INDEX(Costs,MATCH($C171,'Model Assumptions'!$C$95:$C$104,0),MATCH(DS$4,'Model Assumptions'!$C$95:$P$95,0))</f>
        <v>-200000</v>
      </c>
      <c r="DT171" s="150">
        <f>-INDEX(Costs,MATCH($C171,'Model Assumptions'!$C$95:$C$104,0),MATCH(DT$4,'Model Assumptions'!$C$95:$P$95,0))</f>
        <v>-200000</v>
      </c>
      <c r="DU171" s="150">
        <f>-INDEX(Costs,MATCH($C171,'Model Assumptions'!$C$95:$C$104,0),MATCH(DU$4,'Model Assumptions'!$C$95:$P$95,0))</f>
        <v>-200000</v>
      </c>
      <c r="DV171" s="150">
        <f>-INDEX(Costs,MATCH($C171,'Model Assumptions'!$C$95:$C$104,0),MATCH(DV$4,'Model Assumptions'!$C$95:$P$95,0))</f>
        <v>-200000</v>
      </c>
      <c r="DW171" s="150">
        <f>-INDEX(Costs,MATCH($C171,'Model Assumptions'!$C$95:$C$104,0),MATCH(DW$4,'Model Assumptions'!$C$95:$P$95,0))</f>
        <v>-200000</v>
      </c>
      <c r="DX171" s="150">
        <f>-INDEX(Costs,MATCH($C171,'Model Assumptions'!$C$95:$C$104,0),MATCH(DX$4,'Model Assumptions'!$C$95:$P$95,0))</f>
        <v>-200000</v>
      </c>
      <c r="DY171" s="150">
        <f>-INDEX(Costs,MATCH($C171,'Model Assumptions'!$C$95:$C$104,0),MATCH(DY$4,'Model Assumptions'!$C$95:$P$95,0))</f>
        <v>-200000</v>
      </c>
    </row>
    <row r="172" spans="3:129" s="37" customFormat="1" outlineLevel="2">
      <c r="C172" s="5" t="s">
        <v>332</v>
      </c>
      <c r="F172" s="5" t="s">
        <v>334</v>
      </c>
      <c r="H172" s="189"/>
      <c r="J172" s="150">
        <f ca="1">-INDEX(Costs,MATCH($C172,'Model Assumptions'!$C$95:$C$104,0),MATCH(J$4,'Model Assumptions'!$C$95:$L$95,0))*_TotalRevenueCash</f>
        <v>-45407.899150285564</v>
      </c>
      <c r="K172" s="150">
        <f ca="1">-INDEX(Costs,MATCH($C172,'Model Assumptions'!$C$95:$C$104,0),MATCH(K$4,'Model Assumptions'!$C$95:$L$95,0))*_TotalRevenueCash</f>
        <v>-46834.063304910065</v>
      </c>
      <c r="L172" s="150">
        <f ca="1">-INDEX(Costs,MATCH($C172,'Model Assumptions'!$C$95:$C$104,0),MATCH(L$4,'Model Assumptions'!$C$95:$L$95,0))*_TotalRevenueCash</f>
        <v>-48319.227317988305</v>
      </c>
      <c r="M172" s="150">
        <f ca="1">-INDEX(Costs,MATCH($C172,'Model Assumptions'!$C$95:$C$104,0),MATCH(M$4,'Model Assumptions'!$C$95:$L$95,0))*_TotalRevenueCash</f>
        <v>-49864.26642093579</v>
      </c>
      <c r="N172" s="150">
        <f ca="1">-INDEX(Costs,MATCH($C172,'Model Assumptions'!$C$95:$C$104,0),MATCH(N$4,'Model Assumptions'!$C$95:$L$95,0))*_TotalRevenueCash</f>
        <v>-51470.076397453784</v>
      </c>
      <c r="O172" s="150">
        <f ca="1">-INDEX(Costs,MATCH($C172,'Model Assumptions'!$C$95:$C$104,0),MATCH(O$4,'Model Assumptions'!$C$95:$L$95,0))*_TotalRevenueCash</f>
        <v>-53137.573964098592</v>
      </c>
      <c r="P172" s="150">
        <f ca="1">-INDEX(Costs,MATCH($C172,'Model Assumptions'!$C$95:$C$104,0),MATCH(P$4,'Model Assumptions'!$C$95:$L$95,0))*_TotalRevenueCash</f>
        <v>-54867.697158766809</v>
      </c>
      <c r="Q172" s="150">
        <f ca="1">-INDEX(Costs,MATCH($C172,'Model Assumptions'!$C$95:$C$104,0),MATCH(Q$4,'Model Assumptions'!$C$95:$L$95,0))*_TotalRevenueCash</f>
        <v>-56661.405737251975</v>
      </c>
      <c r="R172" s="150">
        <f ca="1">-INDEX(Costs,MATCH($C172,'Model Assumptions'!$C$95:$C$104,0),MATCH(R$4,'Model Assumptions'!$C$95:$L$95,0))*_TotalRevenueCash</f>
        <v>-58519.681578031188</v>
      </c>
      <c r="S172" s="150">
        <f ca="1">-INDEX(Costs,MATCH($C172,'Model Assumptions'!$C$95:$C$104,0),MATCH(S$4,'Model Assumptions'!$C$95:$L$95,0))*_TotalRevenueCash</f>
        <v>-60443.529095443104</v>
      </c>
      <c r="T172" s="150">
        <f ca="1">-INDEX(Costs,MATCH($C172,'Model Assumptions'!$C$95:$C$104,0),MATCH(T$4,'Model Assumptions'!$C$95:$L$95,0))*_TotalRevenueCash</f>
        <v>-62433.975661422191</v>
      </c>
      <c r="U172" s="150">
        <f ca="1">-INDEX(Costs,MATCH($C172,'Model Assumptions'!$C$95:$C$104,0),MATCH(U$4,'Model Assumptions'!$C$95:$L$95,0))*_TotalRevenueCash</f>
        <v>-64492.072035957623</v>
      </c>
      <c r="V172" s="150">
        <f ca="1">-INDEX(Costs,MATCH($C172,'Model Assumptions'!$C$95:$C$104,0),MATCH(V$4,'Model Assumptions'!$C$95:$L$95,0))*_TotalRevenueCash</f>
        <v>-66702.028214051665</v>
      </c>
      <c r="W172" s="150">
        <f ca="1">-INDEX(Costs,MATCH($C172,'Model Assumptions'!$C$95:$C$104,0),MATCH(W$4,'Model Assumptions'!$C$95:$L$95,0))*_TotalRevenueCash</f>
        <v>-68481.19127545158</v>
      </c>
      <c r="X172" s="150">
        <f ca="1">-INDEX(Costs,MATCH($C172,'Model Assumptions'!$C$95:$C$104,0),MATCH(X$4,'Model Assumptions'!$C$95:$L$95,0))*_TotalRevenueCash</f>
        <v>-70302.472277245557</v>
      </c>
      <c r="Y172" s="150">
        <f ca="1">-INDEX(Costs,MATCH($C172,'Model Assumptions'!$C$95:$C$104,0),MATCH(Y$4,'Model Assumptions'!$C$95:$L$95,0))*_TotalRevenueCash</f>
        <v>-72166.648231449828</v>
      </c>
      <c r="Z172" s="150">
        <f ca="1">-INDEX(Costs,MATCH($C172,'Model Assumptions'!$C$95:$C$104,0),MATCH(Z$4,'Model Assumptions'!$C$95:$L$95,0))*_TotalRevenueCash</f>
        <v>-74074.512343788854</v>
      </c>
      <c r="AA172" s="150">
        <f ca="1">-INDEX(Costs,MATCH($C172,'Model Assumptions'!$C$95:$C$104,0),MATCH(AA$4,'Model Assumptions'!$C$95:$L$95,0))*_TotalRevenueCash</f>
        <v>-76026.874331034822</v>
      </c>
      <c r="AB172" s="150">
        <f ca="1">-INDEX(Costs,MATCH($C172,'Model Assumptions'!$C$95:$C$104,0),MATCH(AB$4,'Model Assumptions'!$C$95:$L$95,0))*_TotalRevenueCash</f>
        <v>-78024.560744759307</v>
      </c>
      <c r="AC172" s="150">
        <f ca="1">-INDEX(Costs,MATCH($C172,'Model Assumptions'!$C$95:$C$104,0),MATCH(AC$4,'Model Assumptions'!$C$95:$L$95,0))*_TotalRevenueCash</f>
        <v>-80068.415301624482</v>
      </c>
      <c r="AD172" s="150">
        <f ca="1">-INDEX(Costs,MATCH($C172,'Model Assumptions'!$C$95:$C$104,0),MATCH(AD$4,'Model Assumptions'!$C$95:$L$95,0))*_TotalRevenueCash</f>
        <v>-82159.299220344546</v>
      </c>
      <c r="AE172" s="150">
        <f ca="1">-INDEX(Costs,MATCH($C172,'Model Assumptions'!$C$95:$C$104,0),MATCH(AE$4,'Model Assumptions'!$C$95:$L$95,0))*_TotalRevenueCash</f>
        <v>-84298.091565449387</v>
      </c>
      <c r="AF172" s="150">
        <f ca="1">-INDEX(Costs,MATCH($C172,'Model Assumptions'!$C$95:$C$104,0),MATCH(AF$4,'Model Assumptions'!$C$95:$L$95,0))*_TotalRevenueCash</f>
        <v>-86485.689597986609</v>
      </c>
      <c r="AG172" s="150">
        <f ca="1">-INDEX(Costs,MATCH($C172,'Model Assumptions'!$C$95:$C$104,0),MATCH(AG$4,'Model Assumptions'!$C$95:$L$95,0))*_TotalRevenueCash</f>
        <v>-88723.00913329958</v>
      </c>
      <c r="AH172" s="150">
        <f ca="1">-INDEX(Costs,MATCH($C172,'Model Assumptions'!$C$95:$C$104,0),MATCH(AH$4,'Model Assumptions'!$C$95:$L$95,0))*_TotalRevenueCash</f>
        <v>-91106.498352114882</v>
      </c>
      <c r="AI172" s="150">
        <f ca="1">-INDEX(Costs,MATCH($C172,'Model Assumptions'!$C$95:$C$104,0),MATCH(AI$4,'Model Assumptions'!$C$95:$L$95,0))*_TotalRevenueCash</f>
        <v>-93074.811998516045</v>
      </c>
      <c r="AJ172" s="150">
        <f ca="1">-INDEX(Costs,MATCH($C172,'Model Assumptions'!$C$95:$C$104,0),MATCH(AJ$4,'Model Assumptions'!$C$95:$L$95,0))*_TotalRevenueCash</f>
        <v>-95085.54831657013</v>
      </c>
      <c r="AK172" s="150">
        <f ca="1">-INDEX(Costs,MATCH($C172,'Model Assumptions'!$C$95:$C$104,0),MATCH(AK$4,'Model Assumptions'!$C$95:$L$95,0))*_TotalRevenueCash</f>
        <v>-97139.525195722978</v>
      </c>
      <c r="AL172" s="150">
        <f ca="1">-INDEX(Costs,MATCH($C172,'Model Assumptions'!$C$95:$C$104,0),MATCH(AL$4,'Model Assumptions'!$C$95:$L$95,0))*_TotalRevenueCash</f>
        <v>-99237.577188849158</v>
      </c>
      <c r="AM172" s="150">
        <f ca="1">-INDEX(Costs,MATCH($C172,'Model Assumptions'!$C$95:$C$104,0),MATCH(AM$4,'Model Assumptions'!$C$95:$L$95,0))*_TotalRevenueCash</f>
        <v>-101380.55584246424</v>
      </c>
      <c r="AN172" s="150">
        <f ca="1">-INDEX(Costs,MATCH($C172,'Model Assumptions'!$C$95:$C$104,0),MATCH(AN$4,'Model Assumptions'!$C$95:$L$95,0))*_TotalRevenueCash</f>
        <v>-103633.54295200785</v>
      </c>
      <c r="AO172" s="150">
        <f ca="1">-INDEX(Costs,MATCH($C172,'Model Assumptions'!$C$95:$C$104,0),MATCH(AO$4,'Model Assumptions'!$C$95:$L$95,0))*_TotalRevenueCash</f>
        <v>-105676.48610495585</v>
      </c>
      <c r="AP172" s="150">
        <f ca="1">-INDEX(Costs,MATCH($C172,'Model Assumptions'!$C$95:$C$104,0),MATCH(AP$4,'Model Assumptions'!$C$95:$L$95,0))*_TotalRevenueCash</f>
        <v>-107761.45458299964</v>
      </c>
      <c r="AQ172" s="150">
        <f ca="1">-INDEX(Costs,MATCH($C172,'Model Assumptions'!$C$95:$C$104,0),MATCH(AQ$4,'Model Assumptions'!$C$95:$L$95,0))*_TotalRevenueCash</f>
        <v>-109889.27722802077</v>
      </c>
      <c r="AR172" s="150">
        <f ca="1">-INDEX(Costs,MATCH($C172,'Model Assumptions'!$C$95:$C$104,0),MATCH(AR$4,'Model Assumptions'!$C$95:$L$95,0))*_TotalRevenueCash</f>
        <v>-112060.79957538463</v>
      </c>
      <c r="AS172" s="150">
        <f ca="1">-INDEX(Costs,MATCH($C172,'Model Assumptions'!$C$95:$C$104,0),MATCH(AS$4,'Model Assumptions'!$C$95:$L$95,0))*_TotalRevenueCash</f>
        <v>-114276.88418664367</v>
      </c>
      <c r="AT172" s="150">
        <f ca="1">-INDEX(Costs,MATCH($C172,'Model Assumptions'!$C$95:$C$104,0),MATCH(AT$4,'Model Assumptions'!$C$95:$L$95,0))*_TotalRevenueCash</f>
        <v>-77692.709443754065</v>
      </c>
      <c r="AU172" s="150">
        <f ca="1">-INDEX(Costs,MATCH($C172,'Model Assumptions'!$C$95:$C$104,0),MATCH(AU$4,'Model Assumptions'!$C$95:$L$95,0))*_TotalRevenueCash</f>
        <v>-79229.100494013197</v>
      </c>
      <c r="AV172" s="150">
        <f ca="1">-INDEX(Costs,MATCH($C172,'Model Assumptions'!$C$95:$C$104,0),MATCH(AV$4,'Model Assumptions'!$C$95:$L$95,0))*_TotalRevenueCash</f>
        <v>-80796.844231610332</v>
      </c>
      <c r="AW172" s="150">
        <f ca="1">-INDEX(Costs,MATCH($C172,'Model Assumptions'!$C$95:$C$104,0),MATCH(AW$4,'Model Assumptions'!$C$95:$L$95,0))*_TotalRevenueCash</f>
        <v>-82396.561461628953</v>
      </c>
      <c r="AX172" s="150">
        <f ca="1">-INDEX(Costs,MATCH($C172,'Model Assumptions'!$C$95:$C$104,0),MATCH(AX$4,'Model Assumptions'!$C$95:$L$95,0))*_TotalRevenueCash</f>
        <v>-84028.885467740765</v>
      </c>
      <c r="AY172" s="150">
        <f ca="1">-INDEX(Costs,MATCH($C172,'Model Assumptions'!$C$95:$C$104,0),MATCH(AY$4,'Model Assumptions'!$C$95:$L$95,0))*_TotalRevenueCash</f>
        <v>-85694.462261152701</v>
      </c>
      <c r="AZ172" s="150">
        <f ca="1">-INDEX(Costs,MATCH($C172,'Model Assumptions'!$C$95:$C$104,0),MATCH(AZ$4,'Model Assumptions'!$C$95:$L$95,0))*_TotalRevenueCash</f>
        <v>-87393.950834538977</v>
      </c>
      <c r="BA172" s="150">
        <f ca="1">-INDEX(Costs,MATCH($C172,'Model Assumptions'!$C$95:$C$104,0),MATCH(BA$4,'Model Assumptions'!$C$95:$L$95,0))*_TotalRevenueCash</f>
        <v>-89128.023421058082</v>
      </c>
      <c r="BB172" s="150">
        <f ca="1">-INDEX(Costs,MATCH($C172,'Model Assumptions'!$C$95:$C$104,0),MATCH(BB$4,'Model Assumptions'!$C$95:$L$95,0))*_TotalRevenueCash</f>
        <v>-90897.365758555927</v>
      </c>
      <c r="BC172" s="150">
        <f ca="1">-INDEX(Costs,MATCH($C172,'Model Assumptions'!$C$95:$C$104,0),MATCH(BC$4,'Model Assumptions'!$C$95:$L$95,0))*_TotalRevenueCash</f>
        <v>-92702.677359059671</v>
      </c>
      <c r="BD172" s="150">
        <f ca="1">-INDEX(Costs,MATCH($C172,'Model Assumptions'!$C$95:$C$104,0),MATCH(BD$4,'Model Assumptions'!$C$95:$L$95,0))*_TotalRevenueCash</f>
        <v>-94544.671783666869</v>
      </c>
      <c r="BE172" s="150">
        <f ca="1">-INDEX(Costs,MATCH($C172,'Model Assumptions'!$C$95:$C$104,0),MATCH(BE$4,'Model Assumptions'!$C$95:$L$95,0))*_TotalRevenueCash</f>
        <v>-96424.076922938621</v>
      </c>
      <c r="BF172" s="150">
        <f ca="1">-INDEX(Costs,MATCH($C172,'Model Assumptions'!$C$95:$C$104,0),MATCH(BF$4,'Model Assumptions'!$C$95:$L$95,0))*_TotalRevenueCash</f>
        <v>-98346.290758442541</v>
      </c>
      <c r="BG172" s="150">
        <f ca="1">-INDEX(Costs,MATCH($C172,'Model Assumptions'!$C$95:$C$104,0),MATCH(BG$4,'Model Assumptions'!$C$95:$L$95,0))*_TotalRevenueCash</f>
        <v>-100285.05748118773</v>
      </c>
      <c r="BH172" s="150">
        <f ca="1">-INDEX(Costs,MATCH($C172,'Model Assumptions'!$C$95:$C$104,0),MATCH(BH$4,'Model Assumptions'!$C$95:$L$95,0))*_TotalRevenueCash</f>
        <v>-102263.09568334882</v>
      </c>
      <c r="BI172" s="150">
        <f ca="1">-INDEX(Costs,MATCH($C172,'Model Assumptions'!$C$95:$C$104,0),MATCH(BI$4,'Model Assumptions'!$C$95:$L$95,0))*_TotalRevenueCash</f>
        <v>-104281.18583306448</v>
      </c>
      <c r="BJ172" s="150">
        <f ca="1">-INDEX(Costs,MATCH($C172,'Model Assumptions'!$C$95:$C$104,0),MATCH(BJ$4,'Model Assumptions'!$C$95:$L$95,0))*_TotalRevenueCash</f>
        <v>-106340.12405745068</v>
      </c>
      <c r="BK172" s="150">
        <f ca="1">-INDEX(Costs,MATCH($C172,'Model Assumptions'!$C$95:$C$104,0),MATCH(BK$4,'Model Assumptions'!$C$95:$L$95,0))*_TotalRevenueCash</f>
        <v>-108440.72245528415</v>
      </c>
      <c r="BL172" s="150">
        <f ca="1">-INDEX(Costs,MATCH($C172,'Model Assumptions'!$C$95:$C$104,0),MATCH(BL$4,'Model Assumptions'!$C$95:$L$95,0))*_TotalRevenueCash</f>
        <v>-110583.8094159442</v>
      </c>
      <c r="BM172" s="150">
        <f ca="1">-INDEX(Costs,MATCH($C172,'Model Assumptions'!$C$95:$C$104,0),MATCH(BM$4,'Model Assumptions'!$C$95:$L$95,0))*_TotalRevenueCash</f>
        <v>-112770.22994473863</v>
      </c>
      <c r="BN172" s="150">
        <f ca="1">-INDEX(Costs,MATCH($C172,'Model Assumptions'!$C$95:$C$104,0),MATCH(BN$4,'Model Assumptions'!$C$95:$L$95,0))*_TotalRevenueCash</f>
        <v>-115000.84599474097</v>
      </c>
      <c r="BO172" s="150">
        <f ca="1">-INDEX(Costs,MATCH($C172,'Model Assumptions'!$C$95:$C$104,0),MATCH(BO$4,'Model Assumptions'!$C$95:$L$95,0))*_TotalRevenueCash</f>
        <v>-117276.53680526899</v>
      </c>
      <c r="BP172" s="150">
        <f ca="1">-INDEX(Costs,MATCH($C172,'Model Assumptions'!$C$95:$C$104,0),MATCH(BP$4,'Model Assumptions'!$C$95:$L$95,0))*_TotalRevenueCash</f>
        <v>-119598.19924713805</v>
      </c>
      <c r="BQ172" s="150">
        <f ca="1">-INDEX(Costs,MATCH($C172,'Model Assumptions'!$C$95:$C$104,0),MATCH(BQ$4,'Model Assumptions'!$C$95:$L$95,0))*_TotalRevenueCash</f>
        <v>-121966.74817482354</v>
      </c>
      <c r="BR172" s="150">
        <f ca="1">-INDEX(Costs,MATCH($C172,'Model Assumptions'!$C$95:$C$104,0),MATCH(BR$4,'Model Assumptions'!$C$95:$L$95,0))*_TotalRevenueCash</f>
        <v>-186077.43243172936</v>
      </c>
      <c r="BS172" s="150">
        <f ca="1">-INDEX(Costs,MATCH($C172,'Model Assumptions'!$C$95:$C$104,0),MATCH(BS$4,'Model Assumptions'!$C$95:$L$95,0))*_TotalRevenueCash</f>
        <v>-189028.23898892137</v>
      </c>
      <c r="BT172" s="150">
        <f ca="1">-INDEX(Costs,MATCH($C172,'Model Assumptions'!$C$95:$C$104,0),MATCH(BT$4,'Model Assumptions'!$C$95:$L$95,0))*_TotalRevenueCash</f>
        <v>-191820.19940375991</v>
      </c>
      <c r="BU172" s="150">
        <f ca="1">-INDEX(Costs,MATCH($C172,'Model Assumptions'!$C$95:$C$104,0),MATCH(BU$4,'Model Assumptions'!$C$95:$L$95,0))*_TotalRevenueCash</f>
        <v>-194452.3153761329</v>
      </c>
      <c r="BV172" s="150">
        <f ca="1">-INDEX(Costs,MATCH($C172,'Model Assumptions'!$C$95:$C$104,0),MATCH(BV$4,'Model Assumptions'!$C$95:$L$95,0))*_TotalRevenueCash</f>
        <v>-196923.54685369864</v>
      </c>
      <c r="BW172" s="150">
        <f ca="1">-INDEX(Costs,MATCH($C172,'Model Assumptions'!$C$95:$C$104,0),MATCH(BW$4,'Model Assumptions'!$C$95:$L$95,0))*_TotalRevenueCash</f>
        <v>-199232.81141470355</v>
      </c>
      <c r="BX172" s="150">
        <f ca="1">-INDEX(Costs,MATCH($C172,'Model Assumptions'!$C$95:$C$104,0),MATCH(BX$4,'Model Assumptions'!$C$95:$L$95,0))*_TotalRevenueCash</f>
        <v>-201378.98363627747</v>
      </c>
      <c r="BY172" s="150">
        <f ca="1">-INDEX(Costs,MATCH($C172,'Model Assumptions'!$C$95:$C$104,0),MATCH(BY$4,'Model Assumptions'!$C$95:$L$95,0))*_TotalRevenueCash</f>
        <v>-203360.89444793842</v>
      </c>
      <c r="BZ172" s="150">
        <f ca="1">-INDEX(Costs,MATCH($C172,'Model Assumptions'!$C$95:$C$104,0),MATCH(BZ$4,'Model Assumptions'!$C$95:$L$95,0))*_TotalRevenueCash</f>
        <v>-205177.33047003139</v>
      </c>
      <c r="CA172" s="150">
        <f ca="1">-INDEX(Costs,MATCH($C172,'Model Assumptions'!$C$95:$C$104,0),MATCH(CA$4,'Model Assumptions'!$C$95:$L$95,0))*_TotalRevenueCash</f>
        <v>-206827.03333682319</v>
      </c>
      <c r="CB172" s="150">
        <f ca="1">-INDEX(Costs,MATCH($C172,'Model Assumptions'!$C$95:$C$104,0),MATCH(CB$4,'Model Assumptions'!$C$95:$L$95,0))*_TotalRevenueCash</f>
        <v>-208308.69900396524</v>
      </c>
      <c r="CC172" s="150">
        <f ca="1">-INDEX(Costs,MATCH($C172,'Model Assumptions'!$C$95:$C$104,0),MATCH(CC$4,'Model Assumptions'!$C$95:$P$95,0))*_TotalRevenueCash</f>
        <v>-209620.97704003425</v>
      </c>
      <c r="CD172" s="150">
        <f ca="1">-INDEX(Costs,MATCH($C172,'Model Assumptions'!$C$95:$C$104,0),MATCH(CD$4,'Model Assumptions'!$C$95:$P$95,0))*_TotalRevenueCash</f>
        <v>-210742.0750201375</v>
      </c>
      <c r="CE172" s="150">
        <f ca="1">-INDEX(Costs,MATCH($C172,'Model Assumptions'!$C$95:$C$104,0),MATCH(CE$4,'Model Assumptions'!$C$95:$P$95,0))*_TotalRevenueCash</f>
        <v>-211794.7045567765</v>
      </c>
      <c r="CF172" s="150">
        <f ca="1">-INDEX(Costs,MATCH($C172,'Model Assumptions'!$C$95:$C$104,0),MATCH(CF$4,'Model Assumptions'!$C$95:$P$95,0))*_TotalRevenueCash</f>
        <v>-212780.99431674447</v>
      </c>
      <c r="CG172" s="150">
        <f ca="1">-INDEX(Costs,MATCH($C172,'Model Assumptions'!$C$95:$C$104,0),MATCH(CG$4,'Model Assumptions'!$C$95:$P$95,0))*_TotalRevenueCash</f>
        <v>-213700.49142818205</v>
      </c>
      <c r="CH172" s="150">
        <f ca="1">-INDEX(Costs,MATCH($C172,'Model Assumptions'!$C$95:$C$104,0),MATCH(CH$4,'Model Assumptions'!$C$95:$P$95,0))*_TotalRevenueCash</f>
        <v>-214552.72522255589</v>
      </c>
      <c r="CI172" s="150">
        <f ca="1">-INDEX(Costs,MATCH($C172,'Model Assumptions'!$C$95:$C$104,0),MATCH(CI$4,'Model Assumptions'!$C$95:$P$95,0))*_TotalRevenueCash</f>
        <v>-215337.20696611769</v>
      </c>
      <c r="CJ172" s="150">
        <f ca="1">-INDEX(Costs,MATCH($C172,'Model Assumptions'!$C$95:$C$104,0),MATCH(CJ$4,'Model Assumptions'!$C$95:$P$95,0))*_TotalRevenueCash</f>
        <v>-216053.4295851182</v>
      </c>
      <c r="CK172" s="150">
        <f ca="1">-INDEX(Costs,MATCH($C172,'Model Assumptions'!$C$95:$C$104,0),MATCH(CK$4,'Model Assumptions'!$C$95:$P$95,0))*_TotalRevenueCash</f>
        <v>-216700.86738466049</v>
      </c>
      <c r="CL172" s="150">
        <f ca="1">-INDEX(Costs,MATCH($C172,'Model Assumptions'!$C$95:$C$104,0),MATCH(CL$4,'Model Assumptions'!$C$95:$P$95,0))*_TotalRevenueCash</f>
        <v>-217278.97576107385</v>
      </c>
      <c r="CM172" s="150">
        <f ca="1">-INDEX(Costs,MATCH($C172,'Model Assumptions'!$C$95:$C$104,0),MATCH(CM$4,'Model Assumptions'!$C$95:$P$95,0))*_TotalRevenueCash</f>
        <v>-217787.19090768683</v>
      </c>
      <c r="CN172" s="150">
        <f ca="1">-INDEX(Costs,MATCH($C172,'Model Assumptions'!$C$95:$C$104,0),MATCH(CN$4,'Model Assumptions'!$C$95:$P$95,0))*_TotalRevenueCash</f>
        <v>-218224.92951387673</v>
      </c>
      <c r="CO172" s="150">
        <f ca="1">-INDEX(Costs,MATCH($C172,'Model Assumptions'!$C$95:$C$104,0),MATCH(CO$4,'Model Assumptions'!$C$95:$P$95,0))*_TotalRevenueCash</f>
        <v>-218591.5884572686</v>
      </c>
      <c r="CP172" s="150">
        <f ca="1">-INDEX(Costs,MATCH($C172,'Model Assumptions'!$C$95:$C$104,0),MATCH(CP$4,'Model Assumptions'!$C$95:$P$95,0))*_TotalRevenueCash</f>
        <v>-218875.40828566247</v>
      </c>
      <c r="CQ172" s="150">
        <f ca="1">-INDEX(Costs,MATCH($C172,'Model Assumptions'!$C$95:$C$104,0),MATCH(CQ$4,'Model Assumptions'!$C$95:$P$95,0))*_TotalRevenueCash</f>
        <v>-219131.62112094485</v>
      </c>
      <c r="CR172" s="150">
        <f ca="1">-INDEX(Costs,MATCH($C172,'Model Assumptions'!$C$95:$C$104,0),MATCH(CR$4,'Model Assumptions'!$C$95:$P$95,0))*_TotalRevenueCash</f>
        <v>-219360.00788838306</v>
      </c>
      <c r="CS172" s="150">
        <f ca="1">-INDEX(Costs,MATCH($C172,'Model Assumptions'!$C$95:$C$104,0),MATCH(CS$4,'Model Assumptions'!$C$95:$P$95,0))*_TotalRevenueCash</f>
        <v>-219560.34156986562</v>
      </c>
      <c r="CT172" s="150">
        <f ca="1">-INDEX(Costs,MATCH($C172,'Model Assumptions'!$C$95:$C$104,0),MATCH(CT$4,'Model Assumptions'!$C$95:$P$95,0))*_TotalRevenueCash</f>
        <v>-219732.38731188656</v>
      </c>
      <c r="CU172" s="150">
        <f ca="1">-INDEX(Costs,MATCH($C172,'Model Assumptions'!$C$95:$C$104,0),MATCH(CU$4,'Model Assumptions'!$C$95:$P$95,0))*_TotalRevenueCash</f>
        <v>-219875.90230178757</v>
      </c>
      <c r="CV172" s="150">
        <f ca="1">-INDEX(Costs,MATCH($C172,'Model Assumptions'!$C$95:$C$104,0),MATCH(CV$4,'Model Assumptions'!$C$95:$P$95,0))*_TotalRevenueCash</f>
        <v>-219982.97795343673</v>
      </c>
      <c r="CW172" s="150">
        <f ca="1">-INDEX(Costs,MATCH($C172,'Model Assumptions'!$C$95:$C$104,0),MATCH(CW$4,'Model Assumptions'!$C$95:$P$95,0))*_TotalRevenueCash</f>
        <v>-220083.76994387308</v>
      </c>
      <c r="CX172" s="150">
        <f ca="1">-INDEX(Costs,MATCH($C172,'Model Assumptions'!$C$95:$C$104,0),MATCH(CX$4,'Model Assumptions'!$C$95:$P$95,0))*_TotalRevenueCash</f>
        <v>-220179.62509265391</v>
      </c>
      <c r="CY172" s="150">
        <f ca="1">-INDEX(Costs,MATCH($C172,'Model Assumptions'!$C$95:$C$104,0),MATCH(CY$4,'Model Assumptions'!$C$95:$P$95,0))*_TotalRevenueCash</f>
        <v>-220270.5141897607</v>
      </c>
      <c r="CZ172" s="150">
        <f ca="1">-INDEX(Costs,MATCH($C172,'Model Assumptions'!$C$95:$C$104,0),MATCH(CZ$4,'Model Assumptions'!$C$95:$P$95,0))*_TotalRevenueCash</f>
        <v>-220356.40674570651</v>
      </c>
      <c r="DA172" s="150">
        <f ca="1">-INDEX(Costs,MATCH($C172,'Model Assumptions'!$C$95:$C$104,0),MATCH(DA$4,'Model Assumptions'!$C$95:$P$95,0))*_TotalRevenueCash</f>
        <v>-220437.2709728991</v>
      </c>
      <c r="DB172" s="150">
        <f ca="1">-INDEX(Costs,MATCH($C172,'Model Assumptions'!$C$95:$C$104,0),MATCH(DB$4,'Model Assumptions'!$C$95:$P$95,0))*_TotalRevenueCash</f>
        <v>-220512.95200280225</v>
      </c>
      <c r="DC172" s="150">
        <f ca="1">-INDEX(Costs,MATCH($C172,'Model Assumptions'!$C$95:$C$104,0),MATCH(DC$4,'Model Assumptions'!$C$95:$P$95,0))*_TotalRevenueCash</f>
        <v>-220584.1680144968</v>
      </c>
      <c r="DD172" s="150">
        <f ca="1">-INDEX(Costs,MATCH($C172,'Model Assumptions'!$C$95:$C$104,0),MATCH(DD$4,'Model Assumptions'!$C$95:$P$95,0))*_TotalRevenueCash</f>
        <v>-220651.09273195424</v>
      </c>
      <c r="DE172" s="150">
        <f ca="1">-INDEX(Costs,MATCH($C172,'Model Assumptions'!$C$95:$C$104,0),MATCH(DE$4,'Model Assumptions'!$C$95:$P$95,0))*_TotalRevenueCash</f>
        <v>-220713.69748543465</v>
      </c>
      <c r="DF172" s="150">
        <f ca="1">-INDEX(Costs,MATCH($C172,'Model Assumptions'!$C$95:$C$104,0),MATCH(DF$4,'Model Assumptions'!$C$95:$P$95,0))*_TotalRevenueCash</f>
        <v>-220771.95246024165</v>
      </c>
      <c r="DG172" s="150">
        <f ca="1">-INDEX(Costs,MATCH($C172,'Model Assumptions'!$C$95:$C$104,0),MATCH(DG$4,'Model Assumptions'!$C$95:$P$95,0))*_TotalRevenueCash</f>
        <v>-220825.82667953917</v>
      </c>
      <c r="DH172" s="150">
        <f ca="1">-INDEX(Costs,MATCH($C172,'Model Assumptions'!$C$95:$C$104,0),MATCH(DH$4,'Model Assumptions'!$C$95:$P$95,0))*_TotalRevenueCash</f>
        <v>-220875.28798676719</v>
      </c>
      <c r="DI172" s="150">
        <f ca="1">-INDEX(Costs,MATCH($C172,'Model Assumptions'!$C$95:$C$104,0),MATCH(DI$4,'Model Assumptions'!$C$95:$P$95,0))*_TotalRevenueCash</f>
        <v>-220920.30302764883</v>
      </c>
      <c r="DJ172" s="150">
        <f ca="1">-INDEX(Costs,MATCH($C172,'Model Assumptions'!$C$95:$C$104,0),MATCH(DJ$4,'Model Assumptions'!$C$95:$P$95,0))*_TotalRevenueCash</f>
        <v>-220960.837231782</v>
      </c>
      <c r="DK172" s="150">
        <f ca="1">-INDEX(Costs,MATCH($C172,'Model Assumptions'!$C$95:$C$104,0),MATCH(DK$4,'Model Assumptions'!$C$95:$P$95,0))*_TotalRevenueCash</f>
        <v>-220996.85479380752</v>
      </c>
      <c r="DL172" s="150">
        <f ca="1">-INDEX(Costs,MATCH($C172,'Model Assumptions'!$C$95:$C$104,0),MATCH(DL$4,'Model Assumptions'!$C$95:$P$95,0))*_TotalRevenueCash</f>
        <v>-221028.31865414503</v>
      </c>
      <c r="DM172" s="150">
        <f ca="1">-INDEX(Costs,MATCH($C172,'Model Assumptions'!$C$95:$C$104,0),MATCH(DM$4,'Model Assumptions'!$C$95:$P$95,0))*_TotalRevenueCash</f>
        <v>-221055.19047929015</v>
      </c>
      <c r="DN172" s="150">
        <f ca="1">-INDEX(Costs,MATCH($C172,'Model Assumptions'!$C$95:$C$104,0),MATCH(DN$4,'Model Assumptions'!$C$95:$P$95,0))*_TotalRevenueCash</f>
        <v>-221076.68693420952</v>
      </c>
      <c r="DO172" s="150">
        <f ca="1">-INDEX(Costs,MATCH($C172,'Model Assumptions'!$C$95:$C$104,0),MATCH(DO$4,'Model Assumptions'!$C$95:$P$95,0))*_TotalRevenueCash</f>
        <v>-221096.35918294586</v>
      </c>
      <c r="DP172" s="150">
        <f ca="1">-INDEX(Costs,MATCH($C172,'Model Assumptions'!$C$95:$C$104,0),MATCH(DP$4,'Model Assumptions'!$C$95:$P$95,0))*_TotalRevenueCash</f>
        <v>-221114.19328454501</v>
      </c>
      <c r="DQ172" s="150">
        <f ca="1">-INDEX(Costs,MATCH($C172,'Model Assumptions'!$C$95:$C$104,0),MATCH(DQ$4,'Model Assumptions'!$C$95:$P$95,0))*_TotalRevenueCash</f>
        <v>-221130.1747919854</v>
      </c>
      <c r="DR172" s="150">
        <f ca="1">-INDEX(Costs,MATCH($C172,'Model Assumptions'!$C$95:$C$104,0),MATCH(DR$4,'Model Assumptions'!$C$95:$P$95,0))*_TotalRevenueCash</f>
        <v>-221144.28874614561</v>
      </c>
      <c r="DS172" s="150">
        <f ca="1">-INDEX(Costs,MATCH($C172,'Model Assumptions'!$C$95:$C$104,0),MATCH(DS$4,'Model Assumptions'!$C$95:$P$95,0))*_TotalRevenueCash</f>
        <v>-221156.51966779437</v>
      </c>
      <c r="DT172" s="150">
        <f ca="1">-INDEX(Costs,MATCH($C172,'Model Assumptions'!$C$95:$C$104,0),MATCH(DT$4,'Model Assumptions'!$C$95:$P$95,0))*_TotalRevenueCash</f>
        <v>-221166.85154939754</v>
      </c>
      <c r="DU172" s="150">
        <f ca="1">-INDEX(Costs,MATCH($C172,'Model Assumptions'!$C$95:$C$104,0),MATCH(DU$4,'Model Assumptions'!$C$95:$P$95,0))*_TotalRevenueCash</f>
        <v>-221175.26784673886</v>
      </c>
      <c r="DV172" s="150">
        <f ca="1">-INDEX(Costs,MATCH($C172,'Model Assumptions'!$C$95:$C$104,0),MATCH(DV$4,'Model Assumptions'!$C$95:$P$95,0))*_TotalRevenueCash</f>
        <v>-221181.75147035212</v>
      </c>
      <c r="DW172" s="150">
        <f ca="1">-INDEX(Costs,MATCH($C172,'Model Assumptions'!$C$95:$C$104,0),MATCH(DW$4,'Model Assumptions'!$C$95:$P$95,0))*_TotalRevenueCash</f>
        <v>-221186.28477675933</v>
      </c>
      <c r="DX172" s="150">
        <f ca="1">-INDEX(Costs,MATCH($C172,'Model Assumptions'!$C$95:$C$104,0),MATCH(DX$4,'Model Assumptions'!$C$95:$P$95,0))*_TotalRevenueCash</f>
        <v>-221188.84955951333</v>
      </c>
      <c r="DY172" s="150">
        <f ca="1">-INDEX(Costs,MATCH($C172,'Model Assumptions'!$C$95:$C$104,0),MATCH(DY$4,'Model Assumptions'!$C$95:$P$95,0))*_TotalRevenueCash</f>
        <v>-221189.42704003883</v>
      </c>
    </row>
    <row r="173" spans="3:129" s="37" customFormat="1" outlineLevel="2">
      <c r="C173" s="5" t="s">
        <v>333</v>
      </c>
      <c r="F173" s="5" t="s">
        <v>335</v>
      </c>
      <c r="J173" s="150">
        <f ca="1">-INDEX(Costs,MATCH($C173,'Model Assumptions'!$C$95:$C$104,0),MATCH(J$4,'Model Assumptions'!$C$95:$L$95,0))*_TotalRevenueCash</f>
        <v>-75679.831917142612</v>
      </c>
      <c r="K173" s="150">
        <f ca="1">-INDEX(Costs,MATCH($C173,'Model Assumptions'!$C$95:$C$104,0),MATCH(K$4,'Model Assumptions'!$C$95:$L$95,0))*_TotalRevenueCash</f>
        <v>-78056.772174850106</v>
      </c>
      <c r="L173" s="150">
        <f ca="1">-INDEX(Costs,MATCH($C173,'Model Assumptions'!$C$95:$C$104,0),MATCH(L$4,'Model Assumptions'!$C$95:$L$95,0))*_TotalRevenueCash</f>
        <v>-80532.045529980518</v>
      </c>
      <c r="M173" s="150">
        <f ca="1">-INDEX(Costs,MATCH($C173,'Model Assumptions'!$C$95:$C$104,0),MATCH(M$4,'Model Assumptions'!$C$95:$L$95,0))*_TotalRevenueCash</f>
        <v>-83107.11070155965</v>
      </c>
      <c r="N173" s="150">
        <f ca="1">-INDEX(Costs,MATCH($C173,'Model Assumptions'!$C$95:$C$104,0),MATCH(N$4,'Model Assumptions'!$C$95:$L$95,0))*_TotalRevenueCash</f>
        <v>-85783.460662422993</v>
      </c>
      <c r="O173" s="150">
        <f ca="1">-INDEX(Costs,MATCH($C173,'Model Assumptions'!$C$95:$C$104,0),MATCH(O$4,'Model Assumptions'!$C$95:$L$95,0))*_TotalRevenueCash</f>
        <v>-88562.623273497666</v>
      </c>
      <c r="P173" s="150">
        <f ca="1">-INDEX(Costs,MATCH($C173,'Model Assumptions'!$C$95:$C$104,0),MATCH(P$4,'Model Assumptions'!$C$95:$L$95,0))*_TotalRevenueCash</f>
        <v>-91446.161931278024</v>
      </c>
      <c r="Q173" s="150">
        <f ca="1">-INDEX(Costs,MATCH($C173,'Model Assumptions'!$C$95:$C$104,0),MATCH(Q$4,'Model Assumptions'!$C$95:$L$95,0))*_TotalRevenueCash</f>
        <v>-94435.676228753291</v>
      </c>
      <c r="R173" s="150">
        <f ca="1">-INDEX(Costs,MATCH($C173,'Model Assumptions'!$C$95:$C$104,0),MATCH(R$4,'Model Assumptions'!$C$95:$L$95,0))*_TotalRevenueCash</f>
        <v>-97532.802630051985</v>
      </c>
      <c r="S173" s="150">
        <f ca="1">-INDEX(Costs,MATCH($C173,'Model Assumptions'!$C$95:$C$104,0),MATCH(S$4,'Model Assumptions'!$C$95:$L$95,0))*_TotalRevenueCash</f>
        <v>-100739.21515907184</v>
      </c>
      <c r="T173" s="150">
        <f ca="1">-INDEX(Costs,MATCH($C173,'Model Assumptions'!$C$95:$C$104,0),MATCH(T$4,'Model Assumptions'!$C$95:$L$95,0))*_TotalRevenueCash</f>
        <v>-104056.62610237033</v>
      </c>
      <c r="U173" s="150">
        <f ca="1">-INDEX(Costs,MATCH($C173,'Model Assumptions'!$C$95:$C$104,0),MATCH(U$4,'Model Assumptions'!$C$95:$L$95,0))*_TotalRevenueCash</f>
        <v>-107486.78672659605</v>
      </c>
      <c r="V173" s="150">
        <f ca="1">-INDEX(Costs,MATCH($C173,'Model Assumptions'!$C$95:$C$104,0),MATCH(V$4,'Model Assumptions'!$C$95:$L$95,0))*_TotalRevenueCash</f>
        <v>-111170.04702341947</v>
      </c>
      <c r="W173" s="150">
        <f ca="1">-INDEX(Costs,MATCH($C173,'Model Assumptions'!$C$95:$C$104,0),MATCH(W$4,'Model Assumptions'!$C$95:$L$95,0))*_TotalRevenueCash</f>
        <v>-114135.3187924193</v>
      </c>
      <c r="X173" s="150">
        <f ca="1">-INDEX(Costs,MATCH($C173,'Model Assumptions'!$C$95:$C$104,0),MATCH(X$4,'Model Assumptions'!$C$95:$L$95,0))*_TotalRevenueCash</f>
        <v>-117170.78712874261</v>
      </c>
      <c r="Y173" s="150">
        <f ca="1">-INDEX(Costs,MATCH($C173,'Model Assumptions'!$C$95:$C$104,0),MATCH(Y$4,'Model Assumptions'!$C$95:$L$95,0))*_TotalRevenueCash</f>
        <v>-120277.74705241639</v>
      </c>
      <c r="Z173" s="150">
        <f ca="1">-INDEX(Costs,MATCH($C173,'Model Assumptions'!$C$95:$C$104,0),MATCH(Z$4,'Model Assumptions'!$C$95:$L$95,0))*_TotalRevenueCash</f>
        <v>-123457.52057298143</v>
      </c>
      <c r="AA173" s="150">
        <f ca="1">-INDEX(Costs,MATCH($C173,'Model Assumptions'!$C$95:$C$104,0),MATCH(AA$4,'Model Assumptions'!$C$95:$L$95,0))*_TotalRevenueCash</f>
        <v>-126711.45721839138</v>
      </c>
      <c r="AB173" s="150">
        <f ca="1">-INDEX(Costs,MATCH($C173,'Model Assumptions'!$C$95:$C$104,0),MATCH(AB$4,'Model Assumptions'!$C$95:$L$95,0))*_TotalRevenueCash</f>
        <v>-130040.93457459885</v>
      </c>
      <c r="AC173" s="150">
        <f ca="1">-INDEX(Costs,MATCH($C173,'Model Assumptions'!$C$95:$C$104,0),MATCH(AC$4,'Model Assumptions'!$C$95:$L$95,0))*_TotalRevenueCash</f>
        <v>-133447.3588360408</v>
      </c>
      <c r="AD173" s="150">
        <f ca="1">-INDEX(Costs,MATCH($C173,'Model Assumptions'!$C$95:$C$104,0),MATCH(AD$4,'Model Assumptions'!$C$95:$L$95,0))*_TotalRevenueCash</f>
        <v>-136932.16536724093</v>
      </c>
      <c r="AE173" s="150">
        <f ca="1">-INDEX(Costs,MATCH($C173,'Model Assumptions'!$C$95:$C$104,0),MATCH(AE$4,'Model Assumptions'!$C$95:$L$95,0))*_TotalRevenueCash</f>
        <v>-140496.819275749</v>
      </c>
      <c r="AF173" s="150">
        <f ca="1">-INDEX(Costs,MATCH($C173,'Model Assumptions'!$C$95:$C$104,0),MATCH(AF$4,'Model Assumptions'!$C$95:$L$95,0))*_TotalRevenueCash</f>
        <v>-144142.81599664438</v>
      </c>
      <c r="AG173" s="150">
        <f ca="1">-INDEX(Costs,MATCH($C173,'Model Assumptions'!$C$95:$C$104,0),MATCH(AG$4,'Model Assumptions'!$C$95:$L$95,0))*_TotalRevenueCash</f>
        <v>-147871.68188883265</v>
      </c>
      <c r="AH173" s="150">
        <f ca="1">-INDEX(Costs,MATCH($C173,'Model Assumptions'!$C$95:$C$104,0),MATCH(AH$4,'Model Assumptions'!$C$95:$L$95,0))*_TotalRevenueCash</f>
        <v>-151844.16392019147</v>
      </c>
      <c r="AI173" s="150">
        <f ca="1">-INDEX(Costs,MATCH($C173,'Model Assumptions'!$C$95:$C$104,0),MATCH(AI$4,'Model Assumptions'!$C$95:$L$95,0))*_TotalRevenueCash</f>
        <v>-155124.6866641934</v>
      </c>
      <c r="AJ173" s="150">
        <f ca="1">-INDEX(Costs,MATCH($C173,'Model Assumptions'!$C$95:$C$104,0),MATCH(AJ$4,'Model Assumptions'!$C$95:$L$95,0))*_TotalRevenueCash</f>
        <v>-158475.91386095024</v>
      </c>
      <c r="AK173" s="150">
        <f ca="1">-INDEX(Costs,MATCH($C173,'Model Assumptions'!$C$95:$C$104,0),MATCH(AK$4,'Model Assumptions'!$C$95:$L$95,0))*_TotalRevenueCash</f>
        <v>-161899.2086595383</v>
      </c>
      <c r="AL173" s="150">
        <f ca="1">-INDEX(Costs,MATCH($C173,'Model Assumptions'!$C$95:$C$104,0),MATCH(AL$4,'Model Assumptions'!$C$95:$L$95,0))*_TotalRevenueCash</f>
        <v>-165395.96198141528</v>
      </c>
      <c r="AM173" s="150">
        <f ca="1">-INDEX(Costs,MATCH($C173,'Model Assumptions'!$C$95:$C$104,0),MATCH(AM$4,'Model Assumptions'!$C$95:$L$95,0))*_TotalRevenueCash</f>
        <v>-168967.59307077376</v>
      </c>
      <c r="AN173" s="150">
        <f ca="1">-INDEX(Costs,MATCH($C173,'Model Assumptions'!$C$95:$C$104,0),MATCH(AN$4,'Model Assumptions'!$C$95:$L$95,0))*_TotalRevenueCash</f>
        <v>-172722.57158667978</v>
      </c>
      <c r="AO173" s="150">
        <f ca="1">-INDEX(Costs,MATCH($C173,'Model Assumptions'!$C$95:$C$104,0),MATCH(AO$4,'Model Assumptions'!$C$95:$L$95,0))*_TotalRevenueCash</f>
        <v>-176127.4768415931</v>
      </c>
      <c r="AP173" s="150">
        <f ca="1">-INDEX(Costs,MATCH($C173,'Model Assumptions'!$C$95:$C$104,0),MATCH(AP$4,'Model Assumptions'!$C$95:$L$95,0))*_TotalRevenueCash</f>
        <v>-179602.42430499941</v>
      </c>
      <c r="AQ173" s="150">
        <f ca="1">-INDEX(Costs,MATCH($C173,'Model Assumptions'!$C$95:$C$104,0),MATCH(AQ$4,'Model Assumptions'!$C$95:$L$95,0))*_TotalRevenueCash</f>
        <v>-183148.79538003463</v>
      </c>
      <c r="AR173" s="150">
        <f ca="1">-INDEX(Costs,MATCH($C173,'Model Assumptions'!$C$95:$C$104,0),MATCH(AR$4,'Model Assumptions'!$C$95:$L$95,0))*_TotalRevenueCash</f>
        <v>-186767.99929230774</v>
      </c>
      <c r="AS173" s="150">
        <f ca="1">-INDEX(Costs,MATCH($C173,'Model Assumptions'!$C$95:$C$104,0),MATCH(AS$4,'Model Assumptions'!$C$95:$L$95,0))*_TotalRevenueCash</f>
        <v>-190461.47364440613</v>
      </c>
      <c r="AT173" s="150">
        <f ca="1">-INDEX(Costs,MATCH($C173,'Model Assumptions'!$C$95:$C$104,0),MATCH(AT$4,'Model Assumptions'!$C$95:$L$95,0))*_TotalRevenueCash</f>
        <v>-155385.41888750813</v>
      </c>
      <c r="AU173" s="150">
        <f ca="1">-INDEX(Costs,MATCH($C173,'Model Assumptions'!$C$95:$C$104,0),MATCH(AU$4,'Model Assumptions'!$C$95:$L$95,0))*_TotalRevenueCash</f>
        <v>-158458.20098802639</v>
      </c>
      <c r="AV173" s="150">
        <f ca="1">-INDEX(Costs,MATCH($C173,'Model Assumptions'!$C$95:$C$104,0),MATCH(AV$4,'Model Assumptions'!$C$95:$L$95,0))*_TotalRevenueCash</f>
        <v>-161593.68846322066</v>
      </c>
      <c r="AW173" s="150">
        <f ca="1">-INDEX(Costs,MATCH($C173,'Model Assumptions'!$C$95:$C$104,0),MATCH(AW$4,'Model Assumptions'!$C$95:$L$95,0))*_TotalRevenueCash</f>
        <v>-164793.12292325791</v>
      </c>
      <c r="AX173" s="150">
        <f ca="1">-INDEX(Costs,MATCH($C173,'Model Assumptions'!$C$95:$C$104,0),MATCH(AX$4,'Model Assumptions'!$C$95:$L$95,0))*_TotalRevenueCash</f>
        <v>-168057.77093548153</v>
      </c>
      <c r="AY173" s="150">
        <f ca="1">-INDEX(Costs,MATCH($C173,'Model Assumptions'!$C$95:$C$104,0),MATCH(AY$4,'Model Assumptions'!$C$95:$L$95,0))*_TotalRevenueCash</f>
        <v>-171388.9245223054</v>
      </c>
      <c r="AZ173" s="150">
        <f ca="1">-INDEX(Costs,MATCH($C173,'Model Assumptions'!$C$95:$C$104,0),MATCH(AZ$4,'Model Assumptions'!$C$95:$L$95,0))*_TotalRevenueCash</f>
        <v>-174787.90166907795</v>
      </c>
      <c r="BA173" s="150">
        <f ca="1">-INDEX(Costs,MATCH($C173,'Model Assumptions'!$C$95:$C$104,0),MATCH(BA$4,'Model Assumptions'!$C$95:$L$95,0))*_TotalRevenueCash</f>
        <v>-178256.04684211616</v>
      </c>
      <c r="BB173" s="150">
        <f ca="1">-INDEX(Costs,MATCH($C173,'Model Assumptions'!$C$95:$C$104,0),MATCH(BB$4,'Model Assumptions'!$C$95:$L$95,0))*_TotalRevenueCash</f>
        <v>-181794.73151711185</v>
      </c>
      <c r="BC173" s="150">
        <f ca="1">-INDEX(Costs,MATCH($C173,'Model Assumptions'!$C$95:$C$104,0),MATCH(BC$4,'Model Assumptions'!$C$95:$L$95,0))*_TotalRevenueCash</f>
        <v>-185405.35471811934</v>
      </c>
      <c r="BD173" s="150">
        <f ca="1">-INDEX(Costs,MATCH($C173,'Model Assumptions'!$C$95:$C$104,0),MATCH(BD$4,'Model Assumptions'!$C$95:$L$95,0))*_TotalRevenueCash</f>
        <v>-189089.34356733374</v>
      </c>
      <c r="BE173" s="150">
        <f ca="1">-INDEX(Costs,MATCH($C173,'Model Assumptions'!$C$95:$C$104,0),MATCH(BE$4,'Model Assumptions'!$C$95:$L$95,0))*_TotalRevenueCash</f>
        <v>-192848.15384587724</v>
      </c>
      <c r="BF173" s="150">
        <f ca="1">-INDEX(Costs,MATCH($C173,'Model Assumptions'!$C$95:$C$104,0),MATCH(BF$4,'Model Assumptions'!$C$95:$L$95,0))*_TotalRevenueCash</f>
        <v>-196692.58151688508</v>
      </c>
      <c r="BG173" s="150">
        <f ca="1">-INDEX(Costs,MATCH($C173,'Model Assumptions'!$C$95:$C$104,0),MATCH(BG$4,'Model Assumptions'!$C$95:$L$95,0))*_TotalRevenueCash</f>
        <v>-200570.11496237546</v>
      </c>
      <c r="BH173" s="150">
        <f ca="1">-INDEX(Costs,MATCH($C173,'Model Assumptions'!$C$95:$C$104,0),MATCH(BH$4,'Model Assumptions'!$C$95:$L$95,0))*_TotalRevenueCash</f>
        <v>-204526.19136669763</v>
      </c>
      <c r="BI173" s="150">
        <f ca="1">-INDEX(Costs,MATCH($C173,'Model Assumptions'!$C$95:$C$104,0),MATCH(BI$4,'Model Assumptions'!$C$95:$L$95,0))*_TotalRevenueCash</f>
        <v>-208562.37166612895</v>
      </c>
      <c r="BJ173" s="150">
        <f ca="1">-INDEX(Costs,MATCH($C173,'Model Assumptions'!$C$95:$C$104,0),MATCH(BJ$4,'Model Assumptions'!$C$95:$L$95,0))*_TotalRevenueCash</f>
        <v>-212680.24811490136</v>
      </c>
      <c r="BK173" s="150">
        <f ca="1">-INDEX(Costs,MATCH($C173,'Model Assumptions'!$C$95:$C$104,0),MATCH(BK$4,'Model Assumptions'!$C$95:$L$95,0))*_TotalRevenueCash</f>
        <v>-216881.4449105683</v>
      </c>
      <c r="BL173" s="150">
        <f ca="1">-INDEX(Costs,MATCH($C173,'Model Assumptions'!$C$95:$C$104,0),MATCH(BL$4,'Model Assumptions'!$C$95:$L$95,0))*_TotalRevenueCash</f>
        <v>-221167.61883188839</v>
      </c>
      <c r="BM173" s="150">
        <f ca="1">-INDEX(Costs,MATCH($C173,'Model Assumptions'!$C$95:$C$104,0),MATCH(BM$4,'Model Assumptions'!$C$95:$L$95,0))*_TotalRevenueCash</f>
        <v>-225540.45988947726</v>
      </c>
      <c r="BN173" s="150">
        <f ca="1">-INDEX(Costs,MATCH($C173,'Model Assumptions'!$C$95:$C$104,0),MATCH(BN$4,'Model Assumptions'!$C$95:$L$95,0))*_TotalRevenueCash</f>
        <v>-230001.69198948194</v>
      </c>
      <c r="BO173" s="150">
        <f ca="1">-INDEX(Costs,MATCH($C173,'Model Assumptions'!$C$95:$C$104,0),MATCH(BO$4,'Model Assumptions'!$C$95:$L$95,0))*_TotalRevenueCash</f>
        <v>-234553.07361053798</v>
      </c>
      <c r="BP173" s="150">
        <f ca="1">-INDEX(Costs,MATCH($C173,'Model Assumptions'!$C$95:$C$104,0),MATCH(BP$4,'Model Assumptions'!$C$95:$L$95,0))*_TotalRevenueCash</f>
        <v>-239196.3984942761</v>
      </c>
      <c r="BQ173" s="150">
        <f ca="1">-INDEX(Costs,MATCH($C173,'Model Assumptions'!$C$95:$C$104,0),MATCH(BQ$4,'Model Assumptions'!$C$95:$L$95,0))*_TotalRevenueCash</f>
        <v>-243933.49634964709</v>
      </c>
      <c r="BR173" s="150">
        <f ca="1">-INDEX(Costs,MATCH($C173,'Model Assumptions'!$C$95:$C$104,0),MATCH(BR$4,'Model Assumptions'!$C$95:$L$95,0))*_TotalRevenueCash</f>
        <v>-248103.24324230582</v>
      </c>
      <c r="BS173" s="150">
        <f ca="1">-INDEX(Costs,MATCH($C173,'Model Assumptions'!$C$95:$C$104,0),MATCH(BS$4,'Model Assumptions'!$C$95:$L$95,0))*_TotalRevenueCash</f>
        <v>-252037.65198522853</v>
      </c>
      <c r="BT173" s="150">
        <f ca="1">-INDEX(Costs,MATCH($C173,'Model Assumptions'!$C$95:$C$104,0),MATCH(BT$4,'Model Assumptions'!$C$95:$L$95,0))*_TotalRevenueCash</f>
        <v>-255760.26587167991</v>
      </c>
      <c r="BU173" s="150">
        <f ca="1">-INDEX(Costs,MATCH($C173,'Model Assumptions'!$C$95:$C$104,0),MATCH(BU$4,'Model Assumptions'!$C$95:$L$95,0))*_TotalRevenueCash</f>
        <v>-259269.75383484387</v>
      </c>
      <c r="BV173" s="150">
        <f ca="1">-INDEX(Costs,MATCH($C173,'Model Assumptions'!$C$95:$C$104,0),MATCH(BV$4,'Model Assumptions'!$C$95:$L$95,0))*_TotalRevenueCash</f>
        <v>-262564.7291382649</v>
      </c>
      <c r="BW173" s="150">
        <f ca="1">-INDEX(Costs,MATCH($C173,'Model Assumptions'!$C$95:$C$104,0),MATCH(BW$4,'Model Assumptions'!$C$95:$L$95,0))*_TotalRevenueCash</f>
        <v>-265643.74855293805</v>
      </c>
      <c r="BX173" s="150">
        <f ca="1">-INDEX(Costs,MATCH($C173,'Model Assumptions'!$C$95:$C$104,0),MATCH(BX$4,'Model Assumptions'!$C$95:$L$95,0))*_TotalRevenueCash</f>
        <v>-268505.31151503662</v>
      </c>
      <c r="BY173" s="150">
        <f ca="1">-INDEX(Costs,MATCH($C173,'Model Assumptions'!$C$95:$C$104,0),MATCH(BY$4,'Model Assumptions'!$C$95:$L$95,0))*_TotalRevenueCash</f>
        <v>-271147.8592639179</v>
      </c>
      <c r="BZ173" s="150">
        <f ca="1">-INDEX(Costs,MATCH($C173,'Model Assumptions'!$C$95:$C$104,0),MATCH(BZ$4,'Model Assumptions'!$C$95:$L$95,0))*_TotalRevenueCash</f>
        <v>-273569.77396004187</v>
      </c>
      <c r="CA173" s="150">
        <f ca="1">-INDEX(Costs,MATCH($C173,'Model Assumptions'!$C$95:$C$104,0),MATCH(CA$4,'Model Assumptions'!$C$95:$L$95,0))*_TotalRevenueCash</f>
        <v>-275769.37778243097</v>
      </c>
      <c r="CB173" s="150">
        <f ca="1">-INDEX(Costs,MATCH($C173,'Model Assumptions'!$C$95:$C$104,0),MATCH(CB$4,'Model Assumptions'!$C$95:$L$95,0))*_TotalRevenueCash</f>
        <v>-277744.93200528703</v>
      </c>
      <c r="CC173" s="150">
        <f ca="1">-INDEX(Costs,MATCH($C173,'Model Assumptions'!$C$95:$C$104,0),MATCH(CC$4,'Model Assumptions'!$C$95:$P$95,0))*_TotalRevenueCash</f>
        <v>-279494.63605337904</v>
      </c>
      <c r="CD173" s="150">
        <f ca="1">-INDEX(Costs,MATCH($C173,'Model Assumptions'!$C$95:$C$104,0),MATCH(CD$4,'Model Assumptions'!$C$95:$P$95,0))*_TotalRevenueCash</f>
        <v>-280989.43336018338</v>
      </c>
      <c r="CE173" s="150">
        <f ca="1">-INDEX(Costs,MATCH($C173,'Model Assumptions'!$C$95:$C$104,0),MATCH(CE$4,'Model Assumptions'!$C$95:$P$95,0))*_TotalRevenueCash</f>
        <v>-282392.93940903532</v>
      </c>
      <c r="CF173" s="150">
        <f ca="1">-INDEX(Costs,MATCH($C173,'Model Assumptions'!$C$95:$C$104,0),MATCH(CF$4,'Model Assumptions'!$C$95:$P$95,0))*_TotalRevenueCash</f>
        <v>-283707.992422326</v>
      </c>
      <c r="CG173" s="150">
        <f ca="1">-INDEX(Costs,MATCH($C173,'Model Assumptions'!$C$95:$C$104,0),MATCH(CG$4,'Model Assumptions'!$C$95:$P$95,0))*_TotalRevenueCash</f>
        <v>-284933.98857090942</v>
      </c>
      <c r="CH173" s="150">
        <f ca="1">-INDEX(Costs,MATCH($C173,'Model Assumptions'!$C$95:$C$104,0),MATCH(CH$4,'Model Assumptions'!$C$95:$P$95,0))*_TotalRevenueCash</f>
        <v>-286070.30029674119</v>
      </c>
      <c r="CI173" s="150">
        <f ca="1">-INDEX(Costs,MATCH($C173,'Model Assumptions'!$C$95:$C$104,0),MATCH(CI$4,'Model Assumptions'!$C$95:$P$95,0))*_TotalRevenueCash</f>
        <v>-287116.27595482359</v>
      </c>
      <c r="CJ173" s="150">
        <f ca="1">-INDEX(Costs,MATCH($C173,'Model Assumptions'!$C$95:$C$104,0),MATCH(CJ$4,'Model Assumptions'!$C$95:$P$95,0))*_TotalRevenueCash</f>
        <v>-288071.2394468243</v>
      </c>
      <c r="CK173" s="150">
        <f ca="1">-INDEX(Costs,MATCH($C173,'Model Assumptions'!$C$95:$C$104,0),MATCH(CK$4,'Model Assumptions'!$C$95:$P$95,0))*_TotalRevenueCash</f>
        <v>-288934.48984621401</v>
      </c>
      <c r="CL173" s="150">
        <f ca="1">-INDEX(Costs,MATCH($C173,'Model Assumptions'!$C$95:$C$104,0),MATCH(CL$4,'Model Assumptions'!$C$95:$P$95,0))*_TotalRevenueCash</f>
        <v>-289705.30101476511</v>
      </c>
      <c r="CM173" s="150">
        <f ca="1">-INDEX(Costs,MATCH($C173,'Model Assumptions'!$C$95:$C$104,0),MATCH(CM$4,'Model Assumptions'!$C$95:$P$95,0))*_TotalRevenueCash</f>
        <v>-290382.92121024913</v>
      </c>
      <c r="CN173" s="150">
        <f ca="1">-INDEX(Costs,MATCH($C173,'Model Assumptions'!$C$95:$C$104,0),MATCH(CN$4,'Model Assumptions'!$C$95:$P$95,0))*_TotalRevenueCash</f>
        <v>-290966.572685169</v>
      </c>
      <c r="CO173" s="150">
        <f ca="1">-INDEX(Costs,MATCH($C173,'Model Assumptions'!$C$95:$C$104,0),MATCH(CO$4,'Model Assumptions'!$C$95:$P$95,0))*_TotalRevenueCash</f>
        <v>-291455.45127635816</v>
      </c>
      <c r="CP173" s="150">
        <f ca="1">-INDEX(Costs,MATCH($C173,'Model Assumptions'!$C$95:$C$104,0),MATCH(CP$4,'Model Assumptions'!$C$95:$P$95,0))*_TotalRevenueCash</f>
        <v>-291833.87771421665</v>
      </c>
      <c r="CQ173" s="150">
        <f ca="1">-INDEX(Costs,MATCH($C173,'Model Assumptions'!$C$95:$C$104,0),MATCH(CQ$4,'Model Assumptions'!$C$95:$P$95,0))*_TotalRevenueCash</f>
        <v>-292175.49482792651</v>
      </c>
      <c r="CR173" s="150">
        <f ca="1">-INDEX(Costs,MATCH($C173,'Model Assumptions'!$C$95:$C$104,0),MATCH(CR$4,'Model Assumptions'!$C$95:$P$95,0))*_TotalRevenueCash</f>
        <v>-292480.01051784406</v>
      </c>
      <c r="CS173" s="150">
        <f ca="1">-INDEX(Costs,MATCH($C173,'Model Assumptions'!$C$95:$C$104,0),MATCH(CS$4,'Model Assumptions'!$C$95:$P$95,0))*_TotalRevenueCash</f>
        <v>-292747.12209315418</v>
      </c>
      <c r="CT173" s="150">
        <f ca="1">-INDEX(Costs,MATCH($C173,'Model Assumptions'!$C$95:$C$104,0),MATCH(CT$4,'Model Assumptions'!$C$95:$P$95,0))*_TotalRevenueCash</f>
        <v>-292976.5164158488</v>
      </c>
      <c r="CU173" s="150">
        <f ca="1">-INDEX(Costs,MATCH($C173,'Model Assumptions'!$C$95:$C$104,0),MATCH(CU$4,'Model Assumptions'!$C$95:$P$95,0))*_TotalRevenueCash</f>
        <v>-293167.86973571678</v>
      </c>
      <c r="CV173" s="150">
        <f ca="1">-INDEX(Costs,MATCH($C173,'Model Assumptions'!$C$95:$C$104,0),MATCH(CV$4,'Model Assumptions'!$C$95:$P$95,0))*_TotalRevenueCash</f>
        <v>-293310.63727124903</v>
      </c>
      <c r="CW173" s="150">
        <f ca="1">-INDEX(Costs,MATCH($C173,'Model Assumptions'!$C$95:$C$104,0),MATCH(CW$4,'Model Assumptions'!$C$95:$P$95,0))*_TotalRevenueCash</f>
        <v>-293445.02659183077</v>
      </c>
      <c r="CX173" s="150">
        <f ca="1">-INDEX(Costs,MATCH($C173,'Model Assumptions'!$C$95:$C$104,0),MATCH(CX$4,'Model Assumptions'!$C$95:$P$95,0))*_TotalRevenueCash</f>
        <v>-293572.83345687191</v>
      </c>
      <c r="CY173" s="150">
        <f ca="1">-INDEX(Costs,MATCH($C173,'Model Assumptions'!$C$95:$C$104,0),MATCH(CY$4,'Model Assumptions'!$C$95:$P$95,0))*_TotalRevenueCash</f>
        <v>-293694.01891968097</v>
      </c>
      <c r="CZ173" s="150">
        <f ca="1">-INDEX(Costs,MATCH($C173,'Model Assumptions'!$C$95:$C$104,0),MATCH(CZ$4,'Model Assumptions'!$C$95:$P$95,0))*_TotalRevenueCash</f>
        <v>-293808.54232760868</v>
      </c>
      <c r="DA173" s="150">
        <f ca="1">-INDEX(Costs,MATCH($C173,'Model Assumptions'!$C$95:$C$104,0),MATCH(DA$4,'Model Assumptions'!$C$95:$P$95,0))*_TotalRevenueCash</f>
        <v>-293916.36129719886</v>
      </c>
      <c r="DB173" s="150">
        <f ca="1">-INDEX(Costs,MATCH($C173,'Model Assumptions'!$C$95:$C$104,0),MATCH(DB$4,'Model Assumptions'!$C$95:$P$95,0))*_TotalRevenueCash</f>
        <v>-294017.26933706971</v>
      </c>
      <c r="DC173" s="150">
        <f ca="1">-INDEX(Costs,MATCH($C173,'Model Assumptions'!$C$95:$C$104,0),MATCH(DC$4,'Model Assumptions'!$C$95:$P$95,0))*_TotalRevenueCash</f>
        <v>-294112.22401932906</v>
      </c>
      <c r="DD173" s="150">
        <f ca="1">-INDEX(Costs,MATCH($C173,'Model Assumptions'!$C$95:$C$104,0),MATCH(DD$4,'Model Assumptions'!$C$95:$P$95,0))*_TotalRevenueCash</f>
        <v>-294201.45697593904</v>
      </c>
      <c r="DE173" s="150">
        <f ca="1">-INDEX(Costs,MATCH($C173,'Model Assumptions'!$C$95:$C$104,0),MATCH(DE$4,'Model Assumptions'!$C$95:$P$95,0))*_TotalRevenueCash</f>
        <v>-294284.92998057953</v>
      </c>
      <c r="DF173" s="150">
        <f ca="1">-INDEX(Costs,MATCH($C173,'Model Assumptions'!$C$95:$C$104,0),MATCH(DF$4,'Model Assumptions'!$C$95:$P$95,0))*_TotalRevenueCash</f>
        <v>-294362.60328032222</v>
      </c>
      <c r="DG173" s="150">
        <f ca="1">-INDEX(Costs,MATCH($C173,'Model Assumptions'!$C$95:$C$104,0),MATCH(DG$4,'Model Assumptions'!$C$95:$P$95,0))*_TotalRevenueCash</f>
        <v>-294434.43557271891</v>
      </c>
      <c r="DH173" s="150">
        <f ca="1">-INDEX(Costs,MATCH($C173,'Model Assumptions'!$C$95:$C$104,0),MATCH(DH$4,'Model Assumptions'!$C$95:$P$95,0))*_TotalRevenueCash</f>
        <v>-294500.38398235629</v>
      </c>
      <c r="DI173" s="150">
        <f ca="1">-INDEX(Costs,MATCH($C173,'Model Assumptions'!$C$95:$C$104,0),MATCH(DI$4,'Model Assumptions'!$C$95:$P$95,0))*_TotalRevenueCash</f>
        <v>-294560.4040368651</v>
      </c>
      <c r="DJ173" s="150">
        <f ca="1">-INDEX(Costs,MATCH($C173,'Model Assumptions'!$C$95:$C$104,0),MATCH(DJ$4,'Model Assumptions'!$C$95:$P$95,0))*_TotalRevenueCash</f>
        <v>-294614.44964237598</v>
      </c>
      <c r="DK173" s="150">
        <f ca="1">-INDEX(Costs,MATCH($C173,'Model Assumptions'!$C$95:$C$104,0),MATCH(DK$4,'Model Assumptions'!$C$95:$P$95,0))*_TotalRevenueCash</f>
        <v>-294662.47305841005</v>
      </c>
      <c r="DL173" s="150">
        <f ca="1">-INDEX(Costs,MATCH($C173,'Model Assumptions'!$C$95:$C$104,0),MATCH(DL$4,'Model Assumptions'!$C$95:$P$95,0))*_TotalRevenueCash</f>
        <v>-294704.42487219337</v>
      </c>
      <c r="DM173" s="150">
        <f ca="1">-INDEX(Costs,MATCH($C173,'Model Assumptions'!$C$95:$C$104,0),MATCH(DM$4,'Model Assumptions'!$C$95:$P$95,0))*_TotalRevenueCash</f>
        <v>-294740.25397238688</v>
      </c>
      <c r="DN173" s="150">
        <f ca="1">-INDEX(Costs,MATCH($C173,'Model Assumptions'!$C$95:$C$104,0),MATCH(DN$4,'Model Assumptions'!$C$95:$P$95,0))*_TotalRevenueCash</f>
        <v>-294768.91591227939</v>
      </c>
      <c r="DO173" s="150">
        <f ca="1">-INDEX(Costs,MATCH($C173,'Model Assumptions'!$C$95:$C$104,0),MATCH(DO$4,'Model Assumptions'!$C$95:$P$95,0))*_TotalRevenueCash</f>
        <v>-294795.14557726117</v>
      </c>
      <c r="DP173" s="150">
        <f ca="1">-INDEX(Costs,MATCH($C173,'Model Assumptions'!$C$95:$C$104,0),MATCH(DP$4,'Model Assumptions'!$C$95:$P$95,0))*_TotalRevenueCash</f>
        <v>-294818.92437939334</v>
      </c>
      <c r="DQ173" s="150">
        <f ca="1">-INDEX(Costs,MATCH($C173,'Model Assumptions'!$C$95:$C$104,0),MATCH(DQ$4,'Model Assumptions'!$C$95:$P$95,0))*_TotalRevenueCash</f>
        <v>-294840.23305598053</v>
      </c>
      <c r="DR173" s="150">
        <f ca="1">-INDEX(Costs,MATCH($C173,'Model Assumptions'!$C$95:$C$104,0),MATCH(DR$4,'Model Assumptions'!$C$95:$P$95,0))*_TotalRevenueCash</f>
        <v>-294859.05166152748</v>
      </c>
      <c r="DS173" s="150">
        <f ca="1">-INDEX(Costs,MATCH($C173,'Model Assumptions'!$C$95:$C$104,0),MATCH(DS$4,'Model Assumptions'!$C$95:$P$95,0))*_TotalRevenueCash</f>
        <v>-294875.35955705919</v>
      </c>
      <c r="DT173" s="150">
        <f ca="1">-INDEX(Costs,MATCH($C173,'Model Assumptions'!$C$95:$C$104,0),MATCH(DT$4,'Model Assumptions'!$C$95:$P$95,0))*_TotalRevenueCash</f>
        <v>-294889.13539919676</v>
      </c>
      <c r="DU173" s="150">
        <f ca="1">-INDEX(Costs,MATCH($C173,'Model Assumptions'!$C$95:$C$104,0),MATCH(DU$4,'Model Assumptions'!$C$95:$P$95,0))*_TotalRevenueCash</f>
        <v>-294900.35712898517</v>
      </c>
      <c r="DV173" s="150">
        <f ca="1">-INDEX(Costs,MATCH($C173,'Model Assumptions'!$C$95:$C$104,0),MATCH(DV$4,'Model Assumptions'!$C$95:$P$95,0))*_TotalRevenueCash</f>
        <v>-294909.00196046947</v>
      </c>
      <c r="DW173" s="150">
        <f ca="1">-INDEX(Costs,MATCH($C173,'Model Assumptions'!$C$95:$C$104,0),MATCH(DW$4,'Model Assumptions'!$C$95:$P$95,0))*_TotalRevenueCash</f>
        <v>-294915.04636901245</v>
      </c>
      <c r="DX173" s="150">
        <f ca="1">-INDEX(Costs,MATCH($C173,'Model Assumptions'!$C$95:$C$104,0),MATCH(DX$4,'Model Assumptions'!$C$95:$P$95,0))*_TotalRevenueCash</f>
        <v>-294918.46607935114</v>
      </c>
      <c r="DY173" s="150">
        <f ca="1">-INDEX(Costs,MATCH($C173,'Model Assumptions'!$C$95:$C$104,0),MATCH(DY$4,'Model Assumptions'!$C$95:$P$95,0))*_TotalRevenueCash</f>
        <v>-294919.23605338513</v>
      </c>
    </row>
    <row r="174" spans="3:129" s="381" customFormat="1" outlineLevel="2">
      <c r="C174" s="8" t="s">
        <v>410</v>
      </c>
      <c r="D174" s="37"/>
      <c r="E174" s="37"/>
      <c r="F174" s="5" t="s">
        <v>232</v>
      </c>
      <c r="G174" s="385"/>
      <c r="H174" s="388"/>
      <c r="I174" s="389"/>
      <c r="J174" s="150">
        <f ca="1">-INDEX(Costs,MATCH($C174,'Model Assumptions'!$C$95:$C$104,0),MATCH(J$4,'Model Assumptions'!$C$95:$L$95,0))*_TotalRevenueCash</f>
        <v>-227039.49575142784</v>
      </c>
      <c r="K174" s="150">
        <f ca="1">-INDEX(Costs,MATCH($C174,'Model Assumptions'!$C$95:$C$104,0),MATCH(K$4,'Model Assumptions'!$C$95:$L$95,0))*_TotalRevenueCash</f>
        <v>-234170.31652455032</v>
      </c>
      <c r="L174" s="150">
        <f ca="1">-INDEX(Costs,MATCH($C174,'Model Assumptions'!$C$95:$C$104,0),MATCH(L$4,'Model Assumptions'!$C$95:$L$95,0))*_TotalRevenueCash</f>
        <v>-241596.13658994154</v>
      </c>
      <c r="M174" s="150">
        <f ca="1">-INDEX(Costs,MATCH($C174,'Model Assumptions'!$C$95:$C$104,0),MATCH(M$4,'Model Assumptions'!$C$95:$L$95,0))*_TotalRevenueCash</f>
        <v>-249321.33210467894</v>
      </c>
      <c r="N174" s="150">
        <f ca="1">-INDEX(Costs,MATCH($C174,'Model Assumptions'!$C$95:$C$104,0),MATCH(N$4,'Model Assumptions'!$C$95:$L$95,0))*_TotalRevenueCash</f>
        <v>-257350.38198726892</v>
      </c>
      <c r="O174" s="150">
        <f ca="1">-INDEX(Costs,MATCH($C174,'Model Assumptions'!$C$95:$C$104,0),MATCH(O$4,'Model Assumptions'!$C$95:$L$95,0))*_TotalRevenueCash</f>
        <v>-265687.86982049298</v>
      </c>
      <c r="P174" s="150">
        <f ca="1">-INDEX(Costs,MATCH($C174,'Model Assumptions'!$C$95:$C$104,0),MATCH(P$4,'Model Assumptions'!$C$95:$L$95,0))*_TotalRevenueCash</f>
        <v>-274338.48579383403</v>
      </c>
      <c r="Q174" s="150">
        <f ca="1">-INDEX(Costs,MATCH($C174,'Model Assumptions'!$C$95:$C$104,0),MATCH(Q$4,'Model Assumptions'!$C$95:$L$95,0))*_TotalRevenueCash</f>
        <v>-283307.02868625987</v>
      </c>
      <c r="R174" s="150">
        <f ca="1">-INDEX(Costs,MATCH($C174,'Model Assumptions'!$C$95:$C$104,0),MATCH(R$4,'Model Assumptions'!$C$95:$L$95,0))*_TotalRevenueCash</f>
        <v>-292598.40789015591</v>
      </c>
      <c r="S174" s="150">
        <f ca="1">-INDEX(Costs,MATCH($C174,'Model Assumptions'!$C$95:$C$104,0),MATCH(S$4,'Model Assumptions'!$C$95:$L$95,0))*_TotalRevenueCash</f>
        <v>-302217.64547721553</v>
      </c>
      <c r="T174" s="150">
        <f ca="1">-INDEX(Costs,MATCH($C174,'Model Assumptions'!$C$95:$C$104,0),MATCH(T$4,'Model Assumptions'!$C$95:$L$95,0))*_TotalRevenueCash</f>
        <v>-312169.87830711098</v>
      </c>
      <c r="U174" s="150">
        <f ca="1">-INDEX(Costs,MATCH($C174,'Model Assumptions'!$C$95:$C$104,0),MATCH(U$4,'Model Assumptions'!$C$95:$L$95,0))*_TotalRevenueCash</f>
        <v>-322460.36017978814</v>
      </c>
      <c r="V174" s="150">
        <f ca="1">-INDEX(Costs,MATCH($C174,'Model Assumptions'!$C$95:$C$104,0),MATCH(V$4,'Model Assumptions'!$C$95:$L$95,0))*_TotalRevenueCash</f>
        <v>-333510.14107025834</v>
      </c>
      <c r="W174" s="150">
        <f ca="1">-INDEX(Costs,MATCH($C174,'Model Assumptions'!$C$95:$C$104,0),MATCH(W$4,'Model Assumptions'!$C$95:$L$95,0))*_TotalRevenueCash</f>
        <v>-342405.95637725788</v>
      </c>
      <c r="X174" s="150">
        <f ca="1">-INDEX(Costs,MATCH($C174,'Model Assumptions'!$C$95:$C$104,0),MATCH(X$4,'Model Assumptions'!$C$95:$L$95,0))*_TotalRevenueCash</f>
        <v>-351512.36138622777</v>
      </c>
      <c r="Y174" s="150">
        <f ca="1">-INDEX(Costs,MATCH($C174,'Model Assumptions'!$C$95:$C$104,0),MATCH(Y$4,'Model Assumptions'!$C$95:$L$95,0))*_TotalRevenueCash</f>
        <v>-360833.24115724914</v>
      </c>
      <c r="Z174" s="150">
        <f ca="1">-INDEX(Costs,MATCH($C174,'Model Assumptions'!$C$95:$C$104,0),MATCH(Z$4,'Model Assumptions'!$C$95:$L$95,0))*_TotalRevenueCash</f>
        <v>-370372.56171894429</v>
      </c>
      <c r="AA174" s="150">
        <f ca="1">-INDEX(Costs,MATCH($C174,'Model Assumptions'!$C$95:$C$104,0),MATCH(AA$4,'Model Assumptions'!$C$95:$L$95,0))*_TotalRevenueCash</f>
        <v>-380134.37165517412</v>
      </c>
      <c r="AB174" s="150">
        <f ca="1">-INDEX(Costs,MATCH($C174,'Model Assumptions'!$C$95:$C$104,0),MATCH(AB$4,'Model Assumptions'!$C$95:$L$95,0))*_TotalRevenueCash</f>
        <v>-390122.8037237965</v>
      </c>
      <c r="AC174" s="150">
        <f ca="1">-INDEX(Costs,MATCH($C174,'Model Assumptions'!$C$95:$C$104,0),MATCH(AC$4,'Model Assumptions'!$C$95:$L$95,0))*_TotalRevenueCash</f>
        <v>-400342.07650812244</v>
      </c>
      <c r="AD174" s="150">
        <f ca="1">-INDEX(Costs,MATCH($C174,'Model Assumptions'!$C$95:$C$104,0),MATCH(AD$4,'Model Assumptions'!$C$95:$L$95,0))*_TotalRevenueCash</f>
        <v>-410796.49610172276</v>
      </c>
      <c r="AE174" s="150">
        <f ca="1">-INDEX(Costs,MATCH($C174,'Model Assumptions'!$C$95:$C$104,0),MATCH(AE$4,'Model Assumptions'!$C$95:$L$95,0))*_TotalRevenueCash</f>
        <v>-421490.45782724692</v>
      </c>
      <c r="AF174" s="150">
        <f ca="1">-INDEX(Costs,MATCH($C174,'Model Assumptions'!$C$95:$C$104,0),MATCH(AF$4,'Model Assumptions'!$C$95:$L$95,0))*_TotalRevenueCash</f>
        <v>-432428.44798993308</v>
      </c>
      <c r="AG174" s="150">
        <f ca="1">-INDEX(Costs,MATCH($C174,'Model Assumptions'!$C$95:$C$104,0),MATCH(AG$4,'Model Assumptions'!$C$95:$L$95,0))*_TotalRevenueCash</f>
        <v>-443615.0456664979</v>
      </c>
      <c r="AH174" s="150">
        <f ca="1">-INDEX(Costs,MATCH($C174,'Model Assumptions'!$C$95:$C$104,0),MATCH(AH$4,'Model Assumptions'!$C$95:$L$95,0))*_TotalRevenueCash</f>
        <v>-455532.4917605744</v>
      </c>
      <c r="AI174" s="150">
        <f ca="1">-INDEX(Costs,MATCH($C174,'Model Assumptions'!$C$95:$C$104,0),MATCH(AI$4,'Model Assumptions'!$C$95:$L$95,0))*_TotalRevenueCash</f>
        <v>-465374.05999258021</v>
      </c>
      <c r="AJ174" s="150">
        <f ca="1">-INDEX(Costs,MATCH($C174,'Model Assumptions'!$C$95:$C$104,0),MATCH(AJ$4,'Model Assumptions'!$C$95:$L$95,0))*_TotalRevenueCash</f>
        <v>-475427.74158285063</v>
      </c>
      <c r="AK174" s="150">
        <f ca="1">-INDEX(Costs,MATCH($C174,'Model Assumptions'!$C$95:$C$104,0),MATCH(AK$4,'Model Assumptions'!$C$95:$L$95,0))*_TotalRevenueCash</f>
        <v>-485697.6259786149</v>
      </c>
      <c r="AL174" s="150">
        <f ca="1">-INDEX(Costs,MATCH($C174,'Model Assumptions'!$C$95:$C$104,0),MATCH(AL$4,'Model Assumptions'!$C$95:$L$95,0))*_TotalRevenueCash</f>
        <v>-496187.88594424573</v>
      </c>
      <c r="AM174" s="150">
        <f ca="1">-INDEX(Costs,MATCH($C174,'Model Assumptions'!$C$95:$C$104,0),MATCH(AM$4,'Model Assumptions'!$C$95:$L$95,0))*_TotalRevenueCash</f>
        <v>-506902.77921232115</v>
      </c>
      <c r="AN174" s="150">
        <f ca="1">-INDEX(Costs,MATCH($C174,'Model Assumptions'!$C$95:$C$104,0),MATCH(AN$4,'Model Assumptions'!$C$95:$L$95,0))*_TotalRevenueCash</f>
        <v>-518167.71476003923</v>
      </c>
      <c r="AO174" s="150">
        <f ca="1">-INDEX(Costs,MATCH($C174,'Model Assumptions'!$C$95:$C$104,0),MATCH(AO$4,'Model Assumptions'!$C$95:$L$95,0))*_TotalRevenueCash</f>
        <v>-528382.43052477925</v>
      </c>
      <c r="AP174" s="150">
        <f ca="1">-INDEX(Costs,MATCH($C174,'Model Assumptions'!$C$95:$C$104,0),MATCH(AP$4,'Model Assumptions'!$C$95:$L$95,0))*_TotalRevenueCash</f>
        <v>-538807.27291499812</v>
      </c>
      <c r="AQ174" s="150">
        <f ca="1">-INDEX(Costs,MATCH($C174,'Model Assumptions'!$C$95:$C$104,0),MATCH(AQ$4,'Model Assumptions'!$C$95:$L$95,0))*_TotalRevenueCash</f>
        <v>-549446.3861401038</v>
      </c>
      <c r="AR174" s="150">
        <f ca="1">-INDEX(Costs,MATCH($C174,'Model Assumptions'!$C$95:$C$104,0),MATCH(AR$4,'Model Assumptions'!$C$95:$L$95,0))*_TotalRevenueCash</f>
        <v>-560303.99787692318</v>
      </c>
      <c r="AS174" s="150">
        <f ca="1">-INDEX(Costs,MATCH($C174,'Model Assumptions'!$C$95:$C$104,0),MATCH(AS$4,'Model Assumptions'!$C$95:$L$95,0))*_TotalRevenueCash</f>
        <v>-571384.42093321832</v>
      </c>
      <c r="AT174" s="150">
        <f ca="1">-INDEX(Costs,MATCH($C174,'Model Assumptions'!$C$95:$C$104,0),MATCH(AT$4,'Model Assumptions'!$C$95:$L$95,0))*_TotalRevenueCash</f>
        <v>-582695.3208281555</v>
      </c>
      <c r="AU174" s="150">
        <f ca="1">-INDEX(Costs,MATCH($C174,'Model Assumptions'!$C$95:$C$104,0),MATCH(AU$4,'Model Assumptions'!$C$95:$L$95,0))*_TotalRevenueCash</f>
        <v>-594218.25370509899</v>
      </c>
      <c r="AV174" s="150">
        <f ca="1">-INDEX(Costs,MATCH($C174,'Model Assumptions'!$C$95:$C$104,0),MATCH(AV$4,'Model Assumptions'!$C$95:$L$95,0))*_TotalRevenueCash</f>
        <v>-605976.33173707745</v>
      </c>
      <c r="AW174" s="150">
        <f ca="1">-INDEX(Costs,MATCH($C174,'Model Assumptions'!$C$95:$C$104,0),MATCH(AW$4,'Model Assumptions'!$C$95:$L$95,0))*_TotalRevenueCash</f>
        <v>-617974.21096221718</v>
      </c>
      <c r="AX174" s="150">
        <f ca="1">-INDEX(Costs,MATCH($C174,'Model Assumptions'!$C$95:$C$104,0),MATCH(AX$4,'Model Assumptions'!$C$95:$L$95,0))*_TotalRevenueCash</f>
        <v>-630216.64100805565</v>
      </c>
      <c r="AY174" s="150">
        <f ca="1">-INDEX(Costs,MATCH($C174,'Model Assumptions'!$C$95:$C$104,0),MATCH(AY$4,'Model Assumptions'!$C$95:$L$95,0))*_TotalRevenueCash</f>
        <v>-642708.46695864515</v>
      </c>
      <c r="AZ174" s="150">
        <f ca="1">-INDEX(Costs,MATCH($C174,'Model Assumptions'!$C$95:$C$104,0),MATCH(AZ$4,'Model Assumptions'!$C$95:$L$95,0))*_TotalRevenueCash</f>
        <v>-655454.6312590423</v>
      </c>
      <c r="BA174" s="150">
        <f ca="1">-INDEX(Costs,MATCH($C174,'Model Assumptions'!$C$95:$C$104,0),MATCH(BA$4,'Model Assumptions'!$C$95:$L$95,0))*_TotalRevenueCash</f>
        <v>-668460.17565793556</v>
      </c>
      <c r="BB174" s="150">
        <f ca="1">-INDEX(Costs,MATCH($C174,'Model Assumptions'!$C$95:$C$104,0),MATCH(BB$4,'Model Assumptions'!$C$95:$L$95,0))*_TotalRevenueCash</f>
        <v>-681730.24318916944</v>
      </c>
      <c r="BC174" s="150">
        <f ca="1">-INDEX(Costs,MATCH($C174,'Model Assumptions'!$C$95:$C$104,0),MATCH(BC$4,'Model Assumptions'!$C$95:$L$95,0))*_TotalRevenueCash</f>
        <v>-695270.08019294753</v>
      </c>
      <c r="BD174" s="150">
        <f ca="1">-INDEX(Costs,MATCH($C174,'Model Assumptions'!$C$95:$C$104,0),MATCH(BD$4,'Model Assumptions'!$C$95:$L$95,0))*_TotalRevenueCash</f>
        <v>-709085.03837750154</v>
      </c>
      <c r="BE174" s="150">
        <f ca="1">-INDEX(Costs,MATCH($C174,'Model Assumptions'!$C$95:$C$104,0),MATCH(BE$4,'Model Assumptions'!$C$95:$L$95,0))*_TotalRevenueCash</f>
        <v>-723180.57692203962</v>
      </c>
      <c r="BF174" s="150">
        <f ca="1">-INDEX(Costs,MATCH($C174,'Model Assumptions'!$C$95:$C$104,0),MATCH(BF$4,'Model Assumptions'!$C$95:$L$95,0))*_TotalRevenueCash</f>
        <v>-737597.18068831903</v>
      </c>
      <c r="BG174" s="150">
        <f ca="1">-INDEX(Costs,MATCH($C174,'Model Assumptions'!$C$95:$C$104,0),MATCH(BG$4,'Model Assumptions'!$C$95:$L$95,0))*_TotalRevenueCash</f>
        <v>-752137.93110890791</v>
      </c>
      <c r="BH174" s="150">
        <f ca="1">-INDEX(Costs,MATCH($C174,'Model Assumptions'!$C$95:$C$104,0),MATCH(BH$4,'Model Assumptions'!$C$95:$L$95,0))*_TotalRevenueCash</f>
        <v>-766973.21762511611</v>
      </c>
      <c r="BI174" s="150">
        <f ca="1">-INDEX(Costs,MATCH($C174,'Model Assumptions'!$C$95:$C$104,0),MATCH(BI$4,'Model Assumptions'!$C$95:$L$95,0))*_TotalRevenueCash</f>
        <v>-782108.8937479835</v>
      </c>
      <c r="BJ174" s="150">
        <f ca="1">-INDEX(Costs,MATCH($C174,'Model Assumptions'!$C$95:$C$104,0),MATCH(BJ$4,'Model Assumptions'!$C$95:$L$95,0))*_TotalRevenueCash</f>
        <v>-797550.93043088017</v>
      </c>
      <c r="BK174" s="150">
        <f ca="1">-INDEX(Costs,MATCH($C174,'Model Assumptions'!$C$95:$C$104,0),MATCH(BK$4,'Model Assumptions'!$C$95:$L$95,0))*_TotalRevenueCash</f>
        <v>-813305.41841463104</v>
      </c>
      <c r="BL174" s="150">
        <f ca="1">-INDEX(Costs,MATCH($C174,'Model Assumptions'!$C$95:$C$104,0),MATCH(BL$4,'Model Assumptions'!$C$95:$L$95,0))*_TotalRevenueCash</f>
        <v>-829378.5706195815</v>
      </c>
      <c r="BM174" s="150">
        <f ca="1">-INDEX(Costs,MATCH($C174,'Model Assumptions'!$C$95:$C$104,0),MATCH(BM$4,'Model Assumptions'!$C$95:$L$95,0))*_TotalRevenueCash</f>
        <v>-845776.72458553978</v>
      </c>
      <c r="BN174" s="150">
        <f ca="1">-INDEX(Costs,MATCH($C174,'Model Assumptions'!$C$95:$C$104,0),MATCH(BN$4,'Model Assumptions'!$C$95:$L$95,0))*_TotalRevenueCash</f>
        <v>-862506.34496055718</v>
      </c>
      <c r="BO174" s="150">
        <f ca="1">-INDEX(Costs,MATCH($C174,'Model Assumptions'!$C$95:$C$104,0),MATCH(BO$4,'Model Assumptions'!$C$95:$L$95,0))*_TotalRevenueCash</f>
        <v>-879574.02603951737</v>
      </c>
      <c r="BP174" s="150">
        <f ca="1">-INDEX(Costs,MATCH($C174,'Model Assumptions'!$C$95:$C$104,0),MATCH(BP$4,'Model Assumptions'!$C$95:$L$95,0))*_TotalRevenueCash</f>
        <v>-896986.49435353535</v>
      </c>
      <c r="BQ174" s="150">
        <f ca="1">-INDEX(Costs,MATCH($C174,'Model Assumptions'!$C$95:$C$104,0),MATCH(BQ$4,'Model Assumptions'!$C$95:$L$95,0))*_TotalRevenueCash</f>
        <v>-914750.61131117656</v>
      </c>
      <c r="BR174" s="150">
        <f ca="1">-INDEX(Costs,MATCH($C174,'Model Assumptions'!$C$95:$C$104,0),MATCH(BR$4,'Model Assumptions'!$C$95:$L$95,0))*_TotalRevenueCash</f>
        <v>-930387.16215864674</v>
      </c>
      <c r="BS174" s="150">
        <f ca="1">-INDEX(Costs,MATCH($C174,'Model Assumptions'!$C$95:$C$104,0),MATCH(BS$4,'Model Assumptions'!$C$95:$L$95,0))*_TotalRevenueCash</f>
        <v>-945141.19494460686</v>
      </c>
      <c r="BT174" s="150">
        <f ca="1">-INDEX(Costs,MATCH($C174,'Model Assumptions'!$C$95:$C$104,0),MATCH(BT$4,'Model Assumptions'!$C$95:$L$95,0))*_TotalRevenueCash</f>
        <v>-959100.99701879953</v>
      </c>
      <c r="BU174" s="150">
        <f ca="1">-INDEX(Costs,MATCH($C174,'Model Assumptions'!$C$95:$C$104,0),MATCH(BU$4,'Model Assumptions'!$C$95:$L$95,0))*_TotalRevenueCash</f>
        <v>-972261.57688066445</v>
      </c>
      <c r="BV174" s="150">
        <f ca="1">-INDEX(Costs,MATCH($C174,'Model Assumptions'!$C$95:$C$104,0),MATCH(BV$4,'Model Assumptions'!$C$95:$L$95,0))*_TotalRevenueCash</f>
        <v>-984617.73426849325</v>
      </c>
      <c r="BW174" s="150">
        <f ca="1">-INDEX(Costs,MATCH($C174,'Model Assumptions'!$C$95:$C$104,0),MATCH(BW$4,'Model Assumptions'!$C$95:$L$95,0))*_TotalRevenueCash</f>
        <v>-996164.0570735177</v>
      </c>
      <c r="BX174" s="150">
        <f ca="1">-INDEX(Costs,MATCH($C174,'Model Assumptions'!$C$95:$C$104,0),MATCH(BX$4,'Model Assumptions'!$C$95:$L$95,0))*_TotalRevenueCash</f>
        <v>-1006894.9181813874</v>
      </c>
      <c r="BY174" s="150">
        <f ca="1">-INDEX(Costs,MATCH($C174,'Model Assumptions'!$C$95:$C$104,0),MATCH(BY$4,'Model Assumptions'!$C$95:$L$95,0))*_TotalRevenueCash</f>
        <v>-1016804.4722396921</v>
      </c>
      <c r="BZ174" s="150">
        <f ca="1">-INDEX(Costs,MATCH($C174,'Model Assumptions'!$C$95:$C$104,0),MATCH(BZ$4,'Model Assumptions'!$C$95:$L$95,0))*_TotalRevenueCash</f>
        <v>-1025886.6523501569</v>
      </c>
      <c r="CA174" s="150">
        <f ca="1">-INDEX(Costs,MATCH($C174,'Model Assumptions'!$C$95:$C$104,0),MATCH(CA$4,'Model Assumptions'!$C$95:$L$95,0))*_TotalRevenueCash</f>
        <v>-1034135.166684116</v>
      </c>
      <c r="CB174" s="150">
        <f ca="1">-INDEX(Costs,MATCH($C174,'Model Assumptions'!$C$95:$C$104,0),MATCH(CB$4,'Model Assumptions'!$C$95:$L$95,0))*_TotalRevenueCash</f>
        <v>-1041543.4950198262</v>
      </c>
      <c r="CC174" s="150">
        <f ca="1">-INDEX(Costs,MATCH($C174,'Model Assumptions'!$C$95:$C$104,0),MATCH(CC$4,'Model Assumptions'!$C$95:$P$95,0))*_TotalRevenueCash</f>
        <v>-1048104.8852001713</v>
      </c>
      <c r="CD174" s="150">
        <f ca="1">-INDEX(Costs,MATCH($C174,'Model Assumptions'!$C$95:$C$104,0),MATCH(CD$4,'Model Assumptions'!$C$95:$P$95,0))*_TotalRevenueCash</f>
        <v>-1053710.3751006876</v>
      </c>
      <c r="CE174" s="150">
        <f ca="1">-INDEX(Costs,MATCH($C174,'Model Assumptions'!$C$95:$C$104,0),MATCH(CE$4,'Model Assumptions'!$C$95:$P$95,0))*_TotalRevenueCash</f>
        <v>-1058973.5227838825</v>
      </c>
      <c r="CF174" s="150">
        <f ca="1">-INDEX(Costs,MATCH($C174,'Model Assumptions'!$C$95:$C$104,0),MATCH(CF$4,'Model Assumptions'!$C$95:$P$95,0))*_TotalRevenueCash</f>
        <v>-1063904.9715837224</v>
      </c>
      <c r="CG174" s="150">
        <f ca="1">-INDEX(Costs,MATCH($C174,'Model Assumptions'!$C$95:$C$104,0),MATCH(CG$4,'Model Assumptions'!$C$95:$P$95,0))*_TotalRevenueCash</f>
        <v>-1068502.4571409102</v>
      </c>
      <c r="CH174" s="150">
        <f ca="1">-INDEX(Costs,MATCH($C174,'Model Assumptions'!$C$95:$C$104,0),MATCH(CH$4,'Model Assumptions'!$C$95:$P$95,0))*_TotalRevenueCash</f>
        <v>-1072763.6261127794</v>
      </c>
      <c r="CI174" s="150">
        <f ca="1">-INDEX(Costs,MATCH($C174,'Model Assumptions'!$C$95:$C$104,0),MATCH(CI$4,'Model Assumptions'!$C$95:$P$95,0))*_TotalRevenueCash</f>
        <v>-1076686.0348305884</v>
      </c>
      <c r="CJ174" s="150">
        <f ca="1">-INDEX(Costs,MATCH($C174,'Model Assumptions'!$C$95:$C$104,0),MATCH(CJ$4,'Model Assumptions'!$C$95:$P$95,0))*_TotalRevenueCash</f>
        <v>-1080267.1479255909</v>
      </c>
      <c r="CK174" s="150">
        <f ca="1">-INDEX(Costs,MATCH($C174,'Model Assumptions'!$C$95:$C$104,0),MATCH(CK$4,'Model Assumptions'!$C$95:$P$95,0))*_TotalRevenueCash</f>
        <v>-1083504.3369233026</v>
      </c>
      <c r="CL174" s="150">
        <f ca="1">-INDEX(Costs,MATCH($C174,'Model Assumptions'!$C$95:$C$104,0),MATCH(CL$4,'Model Assumptions'!$C$95:$P$95,0))*_TotalRevenueCash</f>
        <v>-1086394.8788053691</v>
      </c>
      <c r="CM174" s="150">
        <f ca="1">-INDEX(Costs,MATCH($C174,'Model Assumptions'!$C$95:$C$104,0),MATCH(CM$4,'Model Assumptions'!$C$95:$P$95,0))*_TotalRevenueCash</f>
        <v>-1088935.954538434</v>
      </c>
      <c r="CN174" s="150">
        <f ca="1">-INDEX(Costs,MATCH($C174,'Model Assumptions'!$C$95:$C$104,0),MATCH(CN$4,'Model Assumptions'!$C$95:$P$95,0))*_TotalRevenueCash</f>
        <v>-1091124.6475693837</v>
      </c>
      <c r="CO174" s="150">
        <f ca="1">-INDEX(Costs,MATCH($C174,'Model Assumptions'!$C$95:$C$104,0),MATCH(CO$4,'Model Assumptions'!$C$95:$P$95,0))*_TotalRevenueCash</f>
        <v>-1092957.9422863431</v>
      </c>
      <c r="CP174" s="150">
        <f ca="1">-INDEX(Costs,MATCH($C174,'Model Assumptions'!$C$95:$C$104,0),MATCH(CP$4,'Model Assumptions'!$C$95:$P$95,0))*_TotalRevenueCash</f>
        <v>-1094377.0414283124</v>
      </c>
      <c r="CQ174" s="150">
        <f ca="1">-INDEX(Costs,MATCH($C174,'Model Assumptions'!$C$95:$C$104,0),MATCH(CQ$4,'Model Assumptions'!$C$95:$P$95,0))*_TotalRevenueCash</f>
        <v>-1095658.1056047243</v>
      </c>
      <c r="CR174" s="150">
        <f ca="1">-INDEX(Costs,MATCH($C174,'Model Assumptions'!$C$95:$C$104,0),MATCH(CR$4,'Model Assumptions'!$C$95:$P$95,0))*_TotalRevenueCash</f>
        <v>-1096800.0394419152</v>
      </c>
      <c r="CS174" s="150">
        <f ca="1">-INDEX(Costs,MATCH($C174,'Model Assumptions'!$C$95:$C$104,0),MATCH(CS$4,'Model Assumptions'!$C$95:$P$95,0))*_TotalRevenueCash</f>
        <v>-1097801.7078493279</v>
      </c>
      <c r="CT174" s="150">
        <f ca="1">-INDEX(Costs,MATCH($C174,'Model Assumptions'!$C$95:$C$104,0),MATCH(CT$4,'Model Assumptions'!$C$95:$P$95,0))*_TotalRevenueCash</f>
        <v>-1098661.9365594329</v>
      </c>
      <c r="CU174" s="150">
        <f ca="1">-INDEX(Costs,MATCH($C174,'Model Assumptions'!$C$95:$C$104,0),MATCH(CU$4,'Model Assumptions'!$C$95:$P$95,0))*_TotalRevenueCash</f>
        <v>-1099379.5115089379</v>
      </c>
      <c r="CV174" s="150">
        <f ca="1">-INDEX(Costs,MATCH($C174,'Model Assumptions'!$C$95:$C$104,0),MATCH(CV$4,'Model Assumptions'!$C$95:$P$95,0))*_TotalRevenueCash</f>
        <v>-1099914.8897671837</v>
      </c>
      <c r="CW174" s="150">
        <f ca="1">-INDEX(Costs,MATCH($C174,'Model Assumptions'!$C$95:$C$104,0),MATCH(CW$4,'Model Assumptions'!$C$95:$P$95,0))*_TotalRevenueCash</f>
        <v>-1100418.8497193654</v>
      </c>
      <c r="CX174" s="150">
        <f ca="1">-INDEX(Costs,MATCH($C174,'Model Assumptions'!$C$95:$C$104,0),MATCH(CX$4,'Model Assumptions'!$C$95:$P$95,0))*_TotalRevenueCash</f>
        <v>-1100898.1254632694</v>
      </c>
      <c r="CY174" s="150">
        <f ca="1">-INDEX(Costs,MATCH($C174,'Model Assumptions'!$C$95:$C$104,0),MATCH(CY$4,'Model Assumptions'!$C$95:$P$95,0))*_TotalRevenueCash</f>
        <v>-1101352.5709488036</v>
      </c>
      <c r="CZ174" s="150">
        <f ca="1">-INDEX(Costs,MATCH($C174,'Model Assumptions'!$C$95:$C$104,0),MATCH(CZ$4,'Model Assumptions'!$C$95:$P$95,0))*_TotalRevenueCash</f>
        <v>-1101782.0337285325</v>
      </c>
      <c r="DA174" s="150">
        <f ca="1">-INDEX(Costs,MATCH($C174,'Model Assumptions'!$C$95:$C$104,0),MATCH(DA$4,'Model Assumptions'!$C$95:$P$95,0))*_TotalRevenueCash</f>
        <v>-1102186.3548644956</v>
      </c>
      <c r="DB174" s="150">
        <f ca="1">-INDEX(Costs,MATCH($C174,'Model Assumptions'!$C$95:$C$104,0),MATCH(DB$4,'Model Assumptions'!$C$95:$P$95,0))*_TotalRevenueCash</f>
        <v>-1102564.7600140113</v>
      </c>
      <c r="DC174" s="150">
        <f ca="1">-INDEX(Costs,MATCH($C174,'Model Assumptions'!$C$95:$C$104,0),MATCH(DC$4,'Model Assumptions'!$C$95:$P$95,0))*_TotalRevenueCash</f>
        <v>-1102920.840072484</v>
      </c>
      <c r="DD174" s="150">
        <f ca="1">-INDEX(Costs,MATCH($C174,'Model Assumptions'!$C$95:$C$104,0),MATCH(DD$4,'Model Assumptions'!$C$95:$P$95,0))*_TotalRevenueCash</f>
        <v>-1103255.4636597713</v>
      </c>
      <c r="DE174" s="150">
        <f ca="1">-INDEX(Costs,MATCH($C174,'Model Assumptions'!$C$95:$C$104,0),MATCH(DE$4,'Model Assumptions'!$C$95:$P$95,0))*_TotalRevenueCash</f>
        <v>-1103568.4874271732</v>
      </c>
      <c r="DF174" s="150">
        <f ca="1">-INDEX(Costs,MATCH($C174,'Model Assumptions'!$C$95:$C$104,0),MATCH(DF$4,'Model Assumptions'!$C$95:$P$95,0))*_TotalRevenueCash</f>
        <v>-1103859.7623012082</v>
      </c>
      <c r="DG174" s="150">
        <f ca="1">-INDEX(Costs,MATCH($C174,'Model Assumptions'!$C$95:$C$104,0),MATCH(DG$4,'Model Assumptions'!$C$95:$P$95,0))*_TotalRevenueCash</f>
        <v>-1104129.1333976958</v>
      </c>
      <c r="DH174" s="150">
        <f ca="1">-INDEX(Costs,MATCH($C174,'Model Assumptions'!$C$95:$C$104,0),MATCH(DH$4,'Model Assumptions'!$C$95:$P$95,0))*_TotalRevenueCash</f>
        <v>-1104376.439933836</v>
      </c>
      <c r="DI174" s="150">
        <f ca="1">-INDEX(Costs,MATCH($C174,'Model Assumptions'!$C$95:$C$104,0),MATCH(DI$4,'Model Assumptions'!$C$95:$P$95,0))*_TotalRevenueCash</f>
        <v>-1104601.5151382443</v>
      </c>
      <c r="DJ174" s="150">
        <f ca="1">-INDEX(Costs,MATCH($C174,'Model Assumptions'!$C$95:$C$104,0),MATCH(DJ$4,'Model Assumptions'!$C$95:$P$95,0))*_TotalRevenueCash</f>
        <v>-1104804.1861589099</v>
      </c>
      <c r="DK174" s="150">
        <f ca="1">-INDEX(Costs,MATCH($C174,'Model Assumptions'!$C$95:$C$104,0),MATCH(DK$4,'Model Assumptions'!$C$95:$P$95,0))*_TotalRevenueCash</f>
        <v>-1104984.2739690375</v>
      </c>
      <c r="DL174" s="150">
        <f ca="1">-INDEX(Costs,MATCH($C174,'Model Assumptions'!$C$95:$C$104,0),MATCH(DL$4,'Model Assumptions'!$C$95:$P$95,0))*_TotalRevenueCash</f>
        <v>-1105141.5932707251</v>
      </c>
      <c r="DM174" s="150">
        <f ca="1">-INDEX(Costs,MATCH($C174,'Model Assumptions'!$C$95:$C$104,0),MATCH(DM$4,'Model Assumptions'!$C$95:$P$95,0))*_TotalRevenueCash</f>
        <v>-1105275.9523964508</v>
      </c>
      <c r="DN174" s="150">
        <f ca="1">-INDEX(Costs,MATCH($C174,'Model Assumptions'!$C$95:$C$104,0),MATCH(DN$4,'Model Assumptions'!$C$95:$P$95,0))*_TotalRevenueCash</f>
        <v>-1105383.4346710476</v>
      </c>
      <c r="DO174" s="150">
        <f ca="1">-INDEX(Costs,MATCH($C174,'Model Assumptions'!$C$95:$C$104,0),MATCH(DO$4,'Model Assumptions'!$C$95:$P$95,0))*_TotalRevenueCash</f>
        <v>-1105481.7959147294</v>
      </c>
      <c r="DP174" s="150">
        <f ca="1">-INDEX(Costs,MATCH($C174,'Model Assumptions'!$C$95:$C$104,0),MATCH(DP$4,'Model Assumptions'!$C$95:$P$95,0))*_TotalRevenueCash</f>
        <v>-1105570.966422725</v>
      </c>
      <c r="DQ174" s="150">
        <f ca="1">-INDEX(Costs,MATCH($C174,'Model Assumptions'!$C$95:$C$104,0),MATCH(DQ$4,'Model Assumptions'!$C$95:$P$95,0))*_TotalRevenueCash</f>
        <v>-1105650.8739599269</v>
      </c>
      <c r="DR174" s="150">
        <f ca="1">-INDEX(Costs,MATCH($C174,'Model Assumptions'!$C$95:$C$104,0),MATCH(DR$4,'Model Assumptions'!$C$95:$P$95,0))*_TotalRevenueCash</f>
        <v>-1105721.443730728</v>
      </c>
      <c r="DS174" s="150">
        <f ca="1">-INDEX(Costs,MATCH($C174,'Model Assumptions'!$C$95:$C$104,0),MATCH(DS$4,'Model Assumptions'!$C$95:$P$95,0))*_TotalRevenueCash</f>
        <v>-1105782.5983389718</v>
      </c>
      <c r="DT174" s="150">
        <f ca="1">-INDEX(Costs,MATCH($C174,'Model Assumptions'!$C$95:$C$104,0),MATCH(DT$4,'Model Assumptions'!$C$95:$P$95,0))*_TotalRevenueCash</f>
        <v>-1105834.2577469877</v>
      </c>
      <c r="DU174" s="150">
        <f ca="1">-INDEX(Costs,MATCH($C174,'Model Assumptions'!$C$95:$C$104,0),MATCH(DU$4,'Model Assumptions'!$C$95:$P$95,0))*_TotalRevenueCash</f>
        <v>-1105876.3392336944</v>
      </c>
      <c r="DV174" s="150">
        <f ca="1">-INDEX(Costs,MATCH($C174,'Model Assumptions'!$C$95:$C$104,0),MATCH(DV$4,'Model Assumptions'!$C$95:$P$95,0))*_TotalRevenueCash</f>
        <v>-1105908.7573517605</v>
      </c>
      <c r="DW174" s="150">
        <f ca="1">-INDEX(Costs,MATCH($C174,'Model Assumptions'!$C$95:$C$104,0),MATCH(DW$4,'Model Assumptions'!$C$95:$P$95,0))*_TotalRevenueCash</f>
        <v>-1105931.4238837967</v>
      </c>
      <c r="DX174" s="150">
        <f ca="1">-INDEX(Costs,MATCH($C174,'Model Assumptions'!$C$95:$C$104,0),MATCH(DX$4,'Model Assumptions'!$C$95:$P$95,0))*_TotalRevenueCash</f>
        <v>-1105944.2477975667</v>
      </c>
      <c r="DY174" s="150">
        <f ca="1">-INDEX(Costs,MATCH($C174,'Model Assumptions'!$C$95:$C$104,0),MATCH(DY$4,'Model Assumptions'!$C$95:$P$95,0))*_TotalRevenueCash</f>
        <v>-1105947.1352001943</v>
      </c>
    </row>
    <row r="175" spans="3:129" s="37" customFormat="1" outlineLevel="2">
      <c r="C175" s="5" t="s">
        <v>336</v>
      </c>
      <c r="F175" s="5" t="s">
        <v>345</v>
      </c>
      <c r="I175" s="189"/>
      <c r="J175" s="150">
        <f ca="1">(_PLMgmtcost+_PLSalaries)*INDEX(Costs,6,MATCH(J$4,'Model Assumptions'!$C$95:$L$95,0))</f>
        <v>-17081.579830057115</v>
      </c>
      <c r="K175" s="150">
        <f ca="1">(_PLMgmtcost+_PLSalaries)*INDEX(Costs,6,MATCH(K$4,'Model Assumptions'!$C$95:$L$95,0))</f>
        <v>-17366.812660982014</v>
      </c>
      <c r="L175" s="150">
        <f ca="1">(_PLMgmtcost+_PLSalaries)*INDEX(Costs,6,MATCH(L$4,'Model Assumptions'!$C$95:$L$95,0))</f>
        <v>-17663.845463597663</v>
      </c>
      <c r="M175" s="150">
        <f ca="1">(_PLMgmtcost+_PLSalaries)*INDEX(Costs,6,MATCH(M$4,'Model Assumptions'!$C$95:$L$95,0))</f>
        <v>-17972.85328418716</v>
      </c>
      <c r="N175" s="150">
        <f ca="1">(_PLMgmtcost+_PLSalaries)*INDEX(Costs,6,MATCH(N$4,'Model Assumptions'!$C$95:$L$95,0))</f>
        <v>-18294.015279490759</v>
      </c>
      <c r="O175" s="150">
        <f ca="1">(_PLMgmtcost+_PLSalaries)*INDEX(Costs,6,MATCH(O$4,'Model Assumptions'!$C$95:$L$95,0))</f>
        <v>-18627.514792819718</v>
      </c>
      <c r="P175" s="150">
        <f ca="1">(_PLMgmtcost+_PLSalaries)*INDEX(Costs,6,MATCH(P$4,'Model Assumptions'!$C$95:$L$95,0))</f>
        <v>-18973.539431753361</v>
      </c>
      <c r="Q175" s="150">
        <f ca="1">(_PLMgmtcost+_PLSalaries)*INDEX(Costs,6,MATCH(Q$4,'Model Assumptions'!$C$95:$L$95,0))</f>
        <v>-19332.281147450394</v>
      </c>
      <c r="R175" s="150">
        <f ca="1">(_PLMgmtcost+_PLSalaries)*INDEX(Costs,6,MATCH(R$4,'Model Assumptions'!$C$95:$L$95,0))</f>
        <v>-19703.936315606235</v>
      </c>
      <c r="S175" s="150">
        <f ca="1">(_PLMgmtcost+_PLSalaries)*INDEX(Costs,6,MATCH(S$4,'Model Assumptions'!$C$95:$L$95,0))</f>
        <v>-20088.70581908862</v>
      </c>
      <c r="T175" s="150">
        <f ca="1">(_PLMgmtcost+_PLSalaries)*INDEX(Costs,6,MATCH(T$4,'Model Assumptions'!$C$95:$L$95,0))</f>
        <v>-20486.795132284438</v>
      </c>
      <c r="U175" s="150">
        <f ca="1">(_PLMgmtcost+_PLSalaries)*INDEX(Costs,6,MATCH(U$4,'Model Assumptions'!$C$95:$L$95,0))</f>
        <v>-20898.414407191525</v>
      </c>
      <c r="V175" s="150">
        <f ca="1">(_PLMgmtcost+_PLSalaries)*INDEX(Costs,6,MATCH(V$4,'Model Assumptions'!$C$95:$L$95,0))</f>
        <v>-21340.405642810332</v>
      </c>
      <c r="W175" s="150">
        <f ca="1">(_PLMgmtcost+_PLSalaries)*INDEX(Costs,6,MATCH(W$4,'Model Assumptions'!$C$95:$L$95,0))</f>
        <v>-21696.238255090313</v>
      </c>
      <c r="X175" s="150">
        <f ca="1">(_PLMgmtcost+_PLSalaries)*INDEX(Costs,6,MATCH(X$4,'Model Assumptions'!$C$95:$L$95,0))</f>
        <v>-22060.494455449112</v>
      </c>
      <c r="Y175" s="150">
        <f ca="1">(_PLMgmtcost+_PLSalaries)*INDEX(Costs,6,MATCH(Y$4,'Model Assumptions'!$C$95:$L$95,0))</f>
        <v>-22433.329646289963</v>
      </c>
      <c r="Z175" s="150">
        <f ca="1">(_PLMgmtcost+_PLSalaries)*INDEX(Costs,6,MATCH(Z$4,'Model Assumptions'!$C$95:$L$95,0))</f>
        <v>-22814.902468757769</v>
      </c>
      <c r="AA175" s="150">
        <f ca="1">(_PLMgmtcost+_PLSalaries)*INDEX(Costs,6,MATCH(AA$4,'Model Assumptions'!$C$95:$L$95,0))</f>
        <v>-23205.374866206963</v>
      </c>
      <c r="AB175" s="150">
        <f ca="1">(_PLMgmtcost+_PLSalaries)*INDEX(Costs,6,MATCH(AB$4,'Model Assumptions'!$C$95:$L$95,0))</f>
        <v>-23604.912148951862</v>
      </c>
      <c r="AC175" s="150">
        <f ca="1">(_PLMgmtcost+_PLSalaries)*INDEX(Costs,6,MATCH(AC$4,'Model Assumptions'!$C$95:$L$95,0))</f>
        <v>-24013.6830603249</v>
      </c>
      <c r="AD175" s="150">
        <f ca="1">(_PLMgmtcost+_PLSalaries)*INDEX(Costs,6,MATCH(AD$4,'Model Assumptions'!$C$95:$L$95,0))</f>
        <v>-24431.859844068913</v>
      </c>
      <c r="AE175" s="150">
        <f ca="1">(_PLMgmtcost+_PLSalaries)*INDEX(Costs,6,MATCH(AE$4,'Model Assumptions'!$C$95:$L$95,0))</f>
        <v>-24859.618313089879</v>
      </c>
      <c r="AF175" s="150">
        <f ca="1">(_PLMgmtcost+_PLSalaries)*INDEX(Costs,6,MATCH(AF$4,'Model Assumptions'!$C$95:$L$95,0))</f>
        <v>-25297.137919597324</v>
      </c>
      <c r="AG175" s="150">
        <f ca="1">(_PLMgmtcost+_PLSalaries)*INDEX(Costs,6,MATCH(AG$4,'Model Assumptions'!$C$95:$L$95,0))</f>
        <v>-25744.601826659917</v>
      </c>
      <c r="AH175" s="150">
        <f ca="1">(_PLMgmtcost+_PLSalaries)*INDEX(Costs,6,MATCH(AH$4,'Model Assumptions'!$C$95:$L$95,0))</f>
        <v>-26221.299670422977</v>
      </c>
      <c r="AI175" s="150">
        <f ca="1">(_PLMgmtcost+_PLSalaries)*INDEX(Costs,6,MATCH(AI$4,'Model Assumptions'!$C$95:$L$95,0))</f>
        <v>-26614.96239970321</v>
      </c>
      <c r="AJ175" s="150">
        <f ca="1">(_PLMgmtcost+_PLSalaries)*INDEX(Costs,6,MATCH(AJ$4,'Model Assumptions'!$C$95:$L$95,0))</f>
        <v>-27017.10966331403</v>
      </c>
      <c r="AK175" s="150">
        <f ca="1">(_PLMgmtcost+_PLSalaries)*INDEX(Costs,6,MATCH(AK$4,'Model Assumptions'!$C$95:$L$95,0))</f>
        <v>-27427.905039144596</v>
      </c>
      <c r="AL175" s="150">
        <f ca="1">(_PLMgmtcost+_PLSalaries)*INDEX(Costs,6,MATCH(AL$4,'Model Assumptions'!$C$95:$L$95,0))</f>
        <v>-27847.515437769831</v>
      </c>
      <c r="AM175" s="150">
        <f ca="1">(_PLMgmtcost+_PLSalaries)*INDEX(Costs,6,MATCH(AM$4,'Model Assumptions'!$C$95:$L$95,0))</f>
        <v>-28276.111168492847</v>
      </c>
      <c r="AN175" s="150">
        <f ca="1">(_PLMgmtcost+_PLSalaries)*INDEX(Costs,6,MATCH(AN$4,'Model Assumptions'!$C$95:$L$95,0))</f>
        <v>-28726.708590401569</v>
      </c>
      <c r="AO175" s="150">
        <f ca="1">(_PLMgmtcost+_PLSalaries)*INDEX(Costs,6,MATCH(AO$4,'Model Assumptions'!$C$95:$L$95,0))</f>
        <v>-29135.297220991171</v>
      </c>
      <c r="AP175" s="150">
        <f ca="1">(_PLMgmtcost+_PLSalaries)*INDEX(Costs,6,MATCH(AP$4,'Model Assumptions'!$C$95:$L$95,0))</f>
        <v>-29552.290916599926</v>
      </c>
      <c r="AQ175" s="150">
        <f ca="1">(_PLMgmtcost+_PLSalaries)*INDEX(Costs,6,MATCH(AQ$4,'Model Assumptions'!$C$95:$L$95,0))</f>
        <v>-29977.855445604153</v>
      </c>
      <c r="AR175" s="150">
        <f ca="1">(_PLMgmtcost+_PLSalaries)*INDEX(Costs,6,MATCH(AR$4,'Model Assumptions'!$C$95:$L$95,0))</f>
        <v>-30412.159915076929</v>
      </c>
      <c r="AS175" s="150">
        <f ca="1">(_PLMgmtcost+_PLSalaries)*INDEX(Costs,6,MATCH(AS$4,'Model Assumptions'!$C$95:$L$95,0))</f>
        <v>-30855.376837328735</v>
      </c>
      <c r="AT175" s="150">
        <f ca="1">(_PLMgmtcost+_PLSalaries)*INDEX(Costs,6,MATCH(AT$4,'Model Assumptions'!$C$95:$L$95,0))</f>
        <v>-23480.859624844663</v>
      </c>
      <c r="AU175" s="150">
        <f ca="1">(_PLMgmtcost+_PLSalaries)*INDEX(Costs,6,MATCH(AU$4,'Model Assumptions'!$C$95:$L$95,0))</f>
        <v>-23826.547611152968</v>
      </c>
      <c r="AV175" s="150">
        <f ca="1">(_PLMgmtcost+_PLSalaries)*INDEX(Costs,6,MATCH(AV$4,'Model Assumptions'!$C$95:$L$95,0))</f>
        <v>-24179.289952112322</v>
      </c>
      <c r="AW175" s="150">
        <f ca="1">(_PLMgmtcost+_PLSalaries)*INDEX(Costs,6,MATCH(AW$4,'Model Assumptions'!$C$95:$L$95,0))</f>
        <v>-24539.226328866516</v>
      </c>
      <c r="AX175" s="150">
        <f ca="1">(_PLMgmtcost+_PLSalaries)*INDEX(Costs,6,MATCH(AX$4,'Model Assumptions'!$C$95:$L$95,0))</f>
        <v>-24906.499230241669</v>
      </c>
      <c r="AY175" s="150">
        <f ca="1">(_PLMgmtcost+_PLSalaries)*INDEX(Costs,6,MATCH(AY$4,'Model Assumptions'!$C$95:$L$95,0))</f>
        <v>-25281.254008759355</v>
      </c>
      <c r="AZ175" s="150">
        <f ca="1">(_PLMgmtcost+_PLSalaries)*INDEX(Costs,6,MATCH(AZ$4,'Model Assumptions'!$C$95:$L$95,0))</f>
        <v>-25663.638937771269</v>
      </c>
      <c r="BA175" s="150">
        <f ca="1">(_PLMgmtcost+_PLSalaries)*INDEX(Costs,6,MATCH(BA$4,'Model Assumptions'!$C$95:$L$95,0))</f>
        <v>-26053.805269738066</v>
      </c>
      <c r="BB175" s="150">
        <f ca="1">(_PLMgmtcost+_PLSalaries)*INDEX(Costs,6,MATCH(BB$4,'Model Assumptions'!$C$95:$L$95,0))</f>
        <v>-26451.907295675082</v>
      </c>
      <c r="BC175" s="150">
        <f ca="1">(_PLMgmtcost+_PLSalaries)*INDEX(Costs,6,MATCH(BC$4,'Model Assumptions'!$C$95:$L$95,0))</f>
        <v>-26858.102405788424</v>
      </c>
      <c r="BD175" s="150">
        <f ca="1">(_PLMgmtcost+_PLSalaries)*INDEX(Costs,6,MATCH(BD$4,'Model Assumptions'!$C$95:$L$95,0))</f>
        <v>-27272.551151325046</v>
      </c>
      <c r="BE175" s="150">
        <f ca="1">(_PLMgmtcost+_PLSalaries)*INDEX(Costs,6,MATCH(BE$4,'Model Assumptions'!$C$95:$L$95,0))</f>
        <v>-27695.417307661188</v>
      </c>
      <c r="BF175" s="150">
        <f ca="1">(_PLMgmtcost+_PLSalaries)*INDEX(Costs,6,MATCH(BF$4,'Model Assumptions'!$C$95:$L$95,0))</f>
        <v>-28127.91542064957</v>
      </c>
      <c r="BG175" s="150">
        <f ca="1">(_PLMgmtcost+_PLSalaries)*INDEX(Costs,6,MATCH(BG$4,'Model Assumptions'!$C$95:$L$95,0))</f>
        <v>-28564.137933267237</v>
      </c>
      <c r="BH175" s="150">
        <f ca="1">(_PLMgmtcost+_PLSalaries)*INDEX(Costs,6,MATCH(BH$4,'Model Assumptions'!$C$95:$L$95,0))</f>
        <v>-29009.196528753484</v>
      </c>
      <c r="BI175" s="150">
        <f ca="1">(_PLMgmtcost+_PLSalaries)*INDEX(Costs,6,MATCH(BI$4,'Model Assumptions'!$C$95:$L$95,0))</f>
        <v>-29463.266812439502</v>
      </c>
      <c r="BJ175" s="150">
        <f ca="1">(_PLMgmtcost+_PLSalaries)*INDEX(Costs,6,MATCH(BJ$4,'Model Assumptions'!$C$95:$L$95,0))</f>
        <v>-29926.527912926405</v>
      </c>
      <c r="BK175" s="150">
        <f ca="1">(_PLMgmtcost+_PLSalaries)*INDEX(Costs,6,MATCH(BK$4,'Model Assumptions'!$C$95:$L$95,0))</f>
        <v>-30399.162552438931</v>
      </c>
      <c r="BL175" s="150">
        <f ca="1">(_PLMgmtcost+_PLSalaries)*INDEX(Costs,6,MATCH(BL$4,'Model Assumptions'!$C$95:$L$95,0))</f>
        <v>-30881.357118587443</v>
      </c>
      <c r="BM175" s="150">
        <f ca="1">(_PLMgmtcost+_PLSalaries)*INDEX(Costs,6,MATCH(BM$4,'Model Assumptions'!$C$95:$L$95,0))</f>
        <v>-31373.301737566191</v>
      </c>
      <c r="BN175" s="150">
        <f ca="1">(_PLMgmtcost+_PLSalaries)*INDEX(Costs,6,MATCH(BN$4,'Model Assumptions'!$C$95:$L$95,0))</f>
        <v>-31875.190348816719</v>
      </c>
      <c r="BO175" s="150">
        <f ca="1">(_PLMgmtcost+_PLSalaries)*INDEX(Costs,6,MATCH(BO$4,'Model Assumptions'!$C$95:$L$95,0))</f>
        <v>-32387.220781185522</v>
      </c>
      <c r="BP175" s="150">
        <f ca="1">(_PLMgmtcost+_PLSalaries)*INDEX(Costs,6,MATCH(BP$4,'Model Assumptions'!$C$95:$L$95,0))</f>
        <v>-32909.59483060606</v>
      </c>
      <c r="BQ175" s="150">
        <f ca="1">(_PLMgmtcost+_PLSalaries)*INDEX(Costs,6,MATCH(BQ$4,'Model Assumptions'!$C$95:$L$95,0))</f>
        <v>-33442.518339335293</v>
      </c>
      <c r="BR175" s="150">
        <f ca="1">(_PLMgmtcost+_PLSalaries)*INDEX(Costs,6,MATCH(BR$4,'Model Assumptions'!$C$95:$L$95,0))</f>
        <v>-33911.614864759395</v>
      </c>
      <c r="BS175" s="150">
        <f ca="1">(_PLMgmtcost+_PLSalaries)*INDEX(Costs,6,MATCH(BS$4,'Model Assumptions'!$C$95:$L$95,0))</f>
        <v>-34354.235848338205</v>
      </c>
      <c r="BT175" s="150">
        <f ca="1">(_PLMgmtcost+_PLSalaries)*INDEX(Costs,6,MATCH(BT$4,'Model Assumptions'!$C$95:$L$95,0))</f>
        <v>-34773.029910563986</v>
      </c>
      <c r="BU175" s="150">
        <f ca="1">(_PLMgmtcost+_PLSalaries)*INDEX(Costs,6,MATCH(BU$4,'Model Assumptions'!$C$95:$L$95,0))</f>
        <v>-35167.847306419935</v>
      </c>
      <c r="BV175" s="150">
        <f ca="1">(_PLMgmtcost+_PLSalaries)*INDEX(Costs,6,MATCH(BV$4,'Model Assumptions'!$C$95:$L$95,0))</f>
        <v>-35538.532028054797</v>
      </c>
      <c r="BW175" s="150">
        <f ca="1">(_PLMgmtcost+_PLSalaries)*INDEX(Costs,6,MATCH(BW$4,'Model Assumptions'!$C$95:$L$95,0))</f>
        <v>-35884.921712205527</v>
      </c>
      <c r="BX175" s="150">
        <f ca="1">(_PLMgmtcost+_PLSalaries)*INDEX(Costs,6,MATCH(BX$4,'Model Assumptions'!$C$95:$L$95,0))</f>
        <v>-36206.847545441618</v>
      </c>
      <c r="BY175" s="150">
        <f ca="1">(_PLMgmtcost+_PLSalaries)*INDEX(Costs,6,MATCH(BY$4,'Model Assumptions'!$C$95:$L$95,0))</f>
        <v>-36504.134167190765</v>
      </c>
      <c r="BZ175" s="150">
        <f ca="1">(_PLMgmtcost+_PLSalaries)*INDEX(Costs,6,MATCH(BZ$4,'Model Assumptions'!$C$95:$L$95,0))</f>
        <v>-36776.59957050471</v>
      </c>
      <c r="CA175" s="150">
        <f ca="1">(_PLMgmtcost+_PLSalaries)*INDEX(Costs,6,MATCH(CA$4,'Model Assumptions'!$C$95:$L$95,0))</f>
        <v>-37024.055000523476</v>
      </c>
      <c r="CB175" s="150">
        <f ca="1">(_PLMgmtcost+_PLSalaries)*INDEX(Costs,6,MATCH(CB$4,'Model Assumptions'!$C$95:$L$95,0))</f>
        <v>-37246.304850594781</v>
      </c>
      <c r="CC175" s="150">
        <f ca="1">(_PLMgmtcost+_PLSalaries)*INDEX(Costs,6,MATCH(CC$4,'Model Assumptions'!$C$95:$P$95,0))</f>
        <v>-37443.146556005137</v>
      </c>
      <c r="CD175" s="150">
        <f ca="1">(_PLMgmtcost+_PLSalaries)*INDEX(Costs,6,MATCH(CD$4,'Model Assumptions'!$C$95:$P$95,0))</f>
        <v>-37611.311253020627</v>
      </c>
      <c r="CE175" s="150">
        <f ca="1">(_PLMgmtcost+_PLSalaries)*INDEX(Costs,6,MATCH(CE$4,'Model Assumptions'!$C$95:$P$95,0))</f>
        <v>-37769.205683516469</v>
      </c>
      <c r="CF175" s="150">
        <f ca="1">(_PLMgmtcost+_PLSalaries)*INDEX(Costs,6,MATCH(CF$4,'Model Assumptions'!$C$95:$P$95,0))</f>
        <v>-37917.149147511671</v>
      </c>
      <c r="CG175" s="150">
        <f ca="1">(_PLMgmtcost+_PLSalaries)*INDEX(Costs,6,MATCH(CG$4,'Model Assumptions'!$C$95:$P$95,0))</f>
        <v>-38055.073714227306</v>
      </c>
      <c r="CH175" s="150">
        <f ca="1">(_PLMgmtcost+_PLSalaries)*INDEX(Costs,6,MATCH(CH$4,'Model Assumptions'!$C$95:$P$95,0))</f>
        <v>-38182.908783383376</v>
      </c>
      <c r="CI175" s="150">
        <f ca="1">(_PLMgmtcost+_PLSalaries)*INDEX(Costs,6,MATCH(CI$4,'Model Assumptions'!$C$95:$P$95,0))</f>
        <v>-38300.58104491765</v>
      </c>
      <c r="CJ175" s="150">
        <f ca="1">(_PLMgmtcost+_PLSalaries)*INDEX(Costs,6,MATCH(CJ$4,'Model Assumptions'!$C$95:$P$95,0))</f>
        <v>-38408.014437767728</v>
      </c>
      <c r="CK175" s="150">
        <f ca="1">(_PLMgmtcost+_PLSalaries)*INDEX(Costs,6,MATCH(CK$4,'Model Assumptions'!$C$95:$P$95,0))</f>
        <v>-38505.130107699079</v>
      </c>
      <c r="CL175" s="150">
        <f ca="1">(_PLMgmtcost+_PLSalaries)*INDEX(Costs,6,MATCH(CL$4,'Model Assumptions'!$C$95:$P$95,0))</f>
        <v>-38591.846364161072</v>
      </c>
      <c r="CM175" s="150">
        <f ca="1">(_PLMgmtcost+_PLSalaries)*INDEX(Costs,6,MATCH(CM$4,'Model Assumptions'!$C$95:$P$95,0))</f>
        <v>-38668.078636153019</v>
      </c>
      <c r="CN175" s="150">
        <f ca="1">(_PLMgmtcost+_PLSalaries)*INDEX(Costs,6,MATCH(CN$4,'Model Assumptions'!$C$95:$P$95,0))</f>
        <v>-38733.739427081513</v>
      </c>
      <c r="CO175" s="150">
        <f ca="1">(_PLMgmtcost+_PLSalaries)*INDEX(Costs,6,MATCH(CO$4,'Model Assumptions'!$C$95:$P$95,0))</f>
        <v>-38788.738268590292</v>
      </c>
      <c r="CP175" s="150">
        <f ca="1">(_PLMgmtcost+_PLSalaries)*INDEX(Costs,6,MATCH(CP$4,'Model Assumptions'!$C$95:$P$95,0))</f>
        <v>-38831.31124284937</v>
      </c>
      <c r="CQ175" s="150">
        <f ca="1">(_PLMgmtcost+_PLSalaries)*INDEX(Costs,6,MATCH(CQ$4,'Model Assumptions'!$C$95:$P$95,0))</f>
        <v>-38869.743168141729</v>
      </c>
      <c r="CR175" s="150">
        <f ca="1">(_PLMgmtcost+_PLSalaries)*INDEX(Costs,6,MATCH(CR$4,'Model Assumptions'!$C$95:$P$95,0))</f>
        <v>-38904.001183257453</v>
      </c>
      <c r="CS175" s="150">
        <f ca="1">(_PLMgmtcost+_PLSalaries)*INDEX(Costs,6,MATCH(CS$4,'Model Assumptions'!$C$95:$P$95,0))</f>
        <v>-38934.051235479834</v>
      </c>
      <c r="CT175" s="150">
        <f ca="1">(_PLMgmtcost+_PLSalaries)*INDEX(Costs,6,MATCH(CT$4,'Model Assumptions'!$C$95:$P$95,0))</f>
        <v>-38959.858096782984</v>
      </c>
      <c r="CU175" s="150">
        <f ca="1">(_PLMgmtcost+_PLSalaries)*INDEX(Costs,6,MATCH(CU$4,'Model Assumptions'!$C$95:$P$95,0))</f>
        <v>-38981.385345268136</v>
      </c>
      <c r="CV175" s="150">
        <f ca="1">(_PLMgmtcost+_PLSalaries)*INDEX(Costs,6,MATCH(CV$4,'Model Assumptions'!$C$95:$P$95,0))</f>
        <v>-38997.44669301551</v>
      </c>
      <c r="CW175" s="150">
        <f ca="1">(_PLMgmtcost+_PLSalaries)*INDEX(Costs,6,MATCH(CW$4,'Model Assumptions'!$C$95:$P$95,0))</f>
        <v>-39012.565491580957</v>
      </c>
      <c r="CX175" s="150">
        <f ca="1">(_PLMgmtcost+_PLSalaries)*INDEX(Costs,6,MATCH(CX$4,'Model Assumptions'!$C$95:$P$95,0))</f>
        <v>-39026.943763898082</v>
      </c>
      <c r="CY175" s="150">
        <f ca="1">(_PLMgmtcost+_PLSalaries)*INDEX(Costs,6,MATCH(CY$4,'Model Assumptions'!$C$95:$P$95,0))</f>
        <v>-39040.577128464109</v>
      </c>
      <c r="CZ175" s="150">
        <f ca="1">(_PLMgmtcost+_PLSalaries)*INDEX(Costs,6,MATCH(CZ$4,'Model Assumptions'!$C$95:$P$95,0))</f>
        <v>-39053.461011855972</v>
      </c>
      <c r="DA175" s="150">
        <f ca="1">(_PLMgmtcost+_PLSalaries)*INDEX(Costs,6,MATCH(DA$4,'Model Assumptions'!$C$95:$P$95,0))</f>
        <v>-39065.590645934863</v>
      </c>
      <c r="DB175" s="150">
        <f ca="1">(_PLMgmtcost+_PLSalaries)*INDEX(Costs,6,MATCH(DB$4,'Model Assumptions'!$C$95:$P$95,0))</f>
        <v>-39076.942800420336</v>
      </c>
      <c r="DC175" s="150">
        <f ca="1">(_PLMgmtcost+_PLSalaries)*INDEX(Costs,6,MATCH(DC$4,'Model Assumptions'!$C$95:$P$95,0))</f>
        <v>-39087.625202174517</v>
      </c>
      <c r="DD175" s="150">
        <f ca="1">(_PLMgmtcost+_PLSalaries)*INDEX(Costs,6,MATCH(DD$4,'Model Assumptions'!$C$95:$P$95,0))</f>
        <v>-39097.663909793133</v>
      </c>
      <c r="DE175" s="150">
        <f ca="1">(_PLMgmtcost+_PLSalaries)*INDEX(Costs,6,MATCH(DE$4,'Model Assumptions'!$C$95:$P$95,0))</f>
        <v>-39107.054622815194</v>
      </c>
      <c r="DF175" s="150">
        <f ca="1">(_PLMgmtcost+_PLSalaries)*INDEX(Costs,6,MATCH(DF$4,'Model Assumptions'!$C$95:$P$95,0))</f>
        <v>-39115.792869036246</v>
      </c>
      <c r="DG175" s="150">
        <f ca="1">(_PLMgmtcost+_PLSalaries)*INDEX(Costs,6,MATCH(DG$4,'Model Assumptions'!$C$95:$P$95,0))</f>
        <v>-39123.874001930875</v>
      </c>
      <c r="DH175" s="150">
        <f ca="1">(_PLMgmtcost+_PLSalaries)*INDEX(Costs,6,MATCH(DH$4,'Model Assumptions'!$C$95:$P$95,0))</f>
        <v>-39131.293198015075</v>
      </c>
      <c r="DI175" s="150">
        <f ca="1">(_PLMgmtcost+_PLSalaries)*INDEX(Costs,6,MATCH(DI$4,'Model Assumptions'!$C$95:$P$95,0))</f>
        <v>-39138.045454147323</v>
      </c>
      <c r="DJ175" s="150">
        <f ca="1">(_PLMgmtcost+_PLSalaries)*INDEX(Costs,6,MATCH(DJ$4,'Model Assumptions'!$C$95:$P$95,0))</f>
        <v>-39144.125584767295</v>
      </c>
      <c r="DK175" s="150">
        <f ca="1">(_PLMgmtcost+_PLSalaries)*INDEX(Costs,6,MATCH(DK$4,'Model Assumptions'!$C$95:$P$95,0))</f>
        <v>-39149.528219071122</v>
      </c>
      <c r="DL175" s="150">
        <f ca="1">(_PLMgmtcost+_PLSalaries)*INDEX(Costs,6,MATCH(DL$4,'Model Assumptions'!$C$95:$P$95,0))</f>
        <v>-39154.247798121753</v>
      </c>
      <c r="DM175" s="150">
        <f ca="1">(_PLMgmtcost+_PLSalaries)*INDEX(Costs,6,MATCH(DM$4,'Model Assumptions'!$C$95:$P$95,0))</f>
        <v>-39158.278571893519</v>
      </c>
      <c r="DN175" s="150">
        <f ca="1">(_PLMgmtcost+_PLSalaries)*INDEX(Costs,6,MATCH(DN$4,'Model Assumptions'!$C$95:$P$95,0))</f>
        <v>-39161.503040131429</v>
      </c>
      <c r="DO175" s="150">
        <f ca="1">(_PLMgmtcost+_PLSalaries)*INDEX(Costs,6,MATCH(DO$4,'Model Assumptions'!$C$95:$P$95,0))</f>
        <v>-39164.453877441876</v>
      </c>
      <c r="DP175" s="150">
        <f ca="1">(_PLMgmtcost+_PLSalaries)*INDEX(Costs,6,MATCH(DP$4,'Model Assumptions'!$C$95:$P$95,0))</f>
        <v>-39167.128992681748</v>
      </c>
      <c r="DQ175" s="150">
        <f ca="1">(_PLMgmtcost+_PLSalaries)*INDEX(Costs,6,MATCH(DQ$4,'Model Assumptions'!$C$95:$P$95,0))</f>
        <v>-39169.526218797808</v>
      </c>
      <c r="DR175" s="150">
        <f ca="1">(_PLMgmtcost+_PLSalaries)*INDEX(Costs,6,MATCH(DR$4,'Model Assumptions'!$C$95:$P$95,0))</f>
        <v>-39171.643311921842</v>
      </c>
      <c r="DS175" s="150">
        <f ca="1">(_PLMgmtcost+_PLSalaries)*INDEX(Costs,6,MATCH(DS$4,'Model Assumptions'!$C$95:$P$95,0))</f>
        <v>-39173.477950169152</v>
      </c>
      <c r="DT175" s="150">
        <f ca="1">(_PLMgmtcost+_PLSalaries)*INDEX(Costs,6,MATCH(DT$4,'Model Assumptions'!$C$95:$P$95,0))</f>
        <v>-39175.027732409631</v>
      </c>
      <c r="DU175" s="150">
        <f ca="1">(_PLMgmtcost+_PLSalaries)*INDEX(Costs,6,MATCH(DU$4,'Model Assumptions'!$C$95:$P$95,0))</f>
        <v>-39176.290177010829</v>
      </c>
      <c r="DV175" s="150">
        <f ca="1">(_PLMgmtcost+_PLSalaries)*INDEX(Costs,6,MATCH(DV$4,'Model Assumptions'!$C$95:$P$95,0))</f>
        <v>-39177.262720552812</v>
      </c>
      <c r="DW175" s="150">
        <f ca="1">(_PLMgmtcost+_PLSalaries)*INDEX(Costs,6,MATCH(DW$4,'Model Assumptions'!$C$95:$P$95,0))</f>
        <v>-39177.942716513899</v>
      </c>
      <c r="DX175" s="150">
        <f ca="1">(_PLMgmtcost+_PLSalaries)*INDEX(Costs,6,MATCH(DX$4,'Model Assumptions'!$C$95:$P$95,0))</f>
        <v>-39178.327433926999</v>
      </c>
      <c r="DY175" s="150">
        <f ca="1">(_PLMgmtcost+_PLSalaries)*INDEX(Costs,6,MATCH(DY$4,'Model Assumptions'!$C$95:$P$95,0))</f>
        <v>-39178.414056005829</v>
      </c>
    </row>
    <row r="176" spans="3:129" s="37" customFormat="1" outlineLevel="2">
      <c r="C176" s="5" t="s">
        <v>342</v>
      </c>
      <c r="F176" s="5" t="s">
        <v>346</v>
      </c>
      <c r="H176" s="189"/>
      <c r="J176" s="150">
        <f>-INDEX(Costs,MATCH($C176,'Model Assumptions'!$C$95:$C$104,0),MATCH(J$4,'Model Assumptions'!$C$95:$L$95,0))</f>
        <v>-200000</v>
      </c>
      <c r="K176" s="150">
        <f>-INDEX(Costs,MATCH($C176,'Model Assumptions'!$C$95:$C$104,0),MATCH(K$4,'Model Assumptions'!$C$95:$L$95,0))</f>
        <v>-200000</v>
      </c>
      <c r="L176" s="150">
        <f>-INDEX(Costs,MATCH($C176,'Model Assumptions'!$C$95:$C$104,0),MATCH(L$4,'Model Assumptions'!$C$95:$L$95,0))</f>
        <v>-200000</v>
      </c>
      <c r="M176" s="150">
        <f>-INDEX(Costs,MATCH($C176,'Model Assumptions'!$C$95:$C$104,0),MATCH(M$4,'Model Assumptions'!$C$95:$L$95,0))</f>
        <v>-200000</v>
      </c>
      <c r="N176" s="150">
        <f>-INDEX(Costs,MATCH($C176,'Model Assumptions'!$C$95:$C$104,0),MATCH(N$4,'Model Assumptions'!$C$95:$L$95,0))</f>
        <v>-200000</v>
      </c>
      <c r="O176" s="150">
        <f>-INDEX(Costs,MATCH($C176,'Model Assumptions'!$C$95:$C$104,0),MATCH(O$4,'Model Assumptions'!$C$95:$L$95,0))</f>
        <v>-200000</v>
      </c>
      <c r="P176" s="150">
        <f>-INDEX(Costs,MATCH($C176,'Model Assumptions'!$C$95:$C$104,0),MATCH(P$4,'Model Assumptions'!$C$95:$L$95,0))</f>
        <v>-200000</v>
      </c>
      <c r="Q176" s="150">
        <f>-INDEX(Costs,MATCH($C176,'Model Assumptions'!$C$95:$C$104,0),MATCH(Q$4,'Model Assumptions'!$C$95:$L$95,0))</f>
        <v>-200000</v>
      </c>
      <c r="R176" s="150">
        <f>-INDEX(Costs,MATCH($C176,'Model Assumptions'!$C$95:$C$104,0),MATCH(R$4,'Model Assumptions'!$C$95:$L$95,0))</f>
        <v>-200000</v>
      </c>
      <c r="S176" s="150">
        <f>-INDEX(Costs,MATCH($C176,'Model Assumptions'!$C$95:$C$104,0),MATCH(S$4,'Model Assumptions'!$C$95:$L$95,0))</f>
        <v>-200000</v>
      </c>
      <c r="T176" s="150">
        <f>-INDEX(Costs,MATCH($C176,'Model Assumptions'!$C$95:$C$104,0),MATCH(T$4,'Model Assumptions'!$C$95:$L$95,0))</f>
        <v>-200000</v>
      </c>
      <c r="U176" s="150">
        <f>-INDEX(Costs,MATCH($C176,'Model Assumptions'!$C$95:$C$104,0),MATCH(U$4,'Model Assumptions'!$C$95:$L$95,0))</f>
        <v>-200000</v>
      </c>
      <c r="V176" s="150">
        <f>-INDEX(Costs,MATCH($C176,'Model Assumptions'!$C$95:$C$104,0),MATCH(V$4,'Model Assumptions'!$C$95:$L$95,0))</f>
        <v>-200000</v>
      </c>
      <c r="W176" s="150">
        <f>-INDEX(Costs,MATCH($C176,'Model Assumptions'!$C$95:$C$104,0),MATCH(W$4,'Model Assumptions'!$C$95:$L$95,0))</f>
        <v>-200000</v>
      </c>
      <c r="X176" s="150">
        <f>-INDEX(Costs,MATCH($C176,'Model Assumptions'!$C$95:$C$104,0),MATCH(X$4,'Model Assumptions'!$C$95:$L$95,0))</f>
        <v>-200000</v>
      </c>
      <c r="Y176" s="150">
        <f>-INDEX(Costs,MATCH($C176,'Model Assumptions'!$C$95:$C$104,0),MATCH(Y$4,'Model Assumptions'!$C$95:$L$95,0))</f>
        <v>-200000</v>
      </c>
      <c r="Z176" s="150">
        <f>-INDEX(Costs,MATCH($C176,'Model Assumptions'!$C$95:$C$104,0),MATCH(Z$4,'Model Assumptions'!$C$95:$L$95,0))</f>
        <v>-200000</v>
      </c>
      <c r="AA176" s="150">
        <f>-INDEX(Costs,MATCH($C176,'Model Assumptions'!$C$95:$C$104,0),MATCH(AA$4,'Model Assumptions'!$C$95:$L$95,0))</f>
        <v>-200000</v>
      </c>
      <c r="AB176" s="150">
        <f>-INDEX(Costs,MATCH($C176,'Model Assumptions'!$C$95:$C$104,0),MATCH(AB$4,'Model Assumptions'!$C$95:$L$95,0))</f>
        <v>-200000</v>
      </c>
      <c r="AC176" s="150">
        <f>-INDEX(Costs,MATCH($C176,'Model Assumptions'!$C$95:$C$104,0),MATCH(AC$4,'Model Assumptions'!$C$95:$L$95,0))</f>
        <v>-200000</v>
      </c>
      <c r="AD176" s="150">
        <f>-INDEX(Costs,MATCH($C176,'Model Assumptions'!$C$95:$C$104,0),MATCH(AD$4,'Model Assumptions'!$C$95:$L$95,0))</f>
        <v>-200000</v>
      </c>
      <c r="AE176" s="150">
        <f>-INDEX(Costs,MATCH($C176,'Model Assumptions'!$C$95:$C$104,0),MATCH(AE$4,'Model Assumptions'!$C$95:$L$95,0))</f>
        <v>-200000</v>
      </c>
      <c r="AF176" s="150">
        <f>-INDEX(Costs,MATCH($C176,'Model Assumptions'!$C$95:$C$104,0),MATCH(AF$4,'Model Assumptions'!$C$95:$L$95,0))</f>
        <v>-200000</v>
      </c>
      <c r="AG176" s="150">
        <f>-INDEX(Costs,MATCH($C176,'Model Assumptions'!$C$95:$C$104,0),MATCH(AG$4,'Model Assumptions'!$C$95:$L$95,0))</f>
        <v>-200000</v>
      </c>
      <c r="AH176" s="150">
        <f>-INDEX(Costs,MATCH($C176,'Model Assumptions'!$C$95:$C$104,0),MATCH(AH$4,'Model Assumptions'!$C$95:$L$95,0))</f>
        <v>-200000</v>
      </c>
      <c r="AI176" s="150">
        <f>-INDEX(Costs,MATCH($C176,'Model Assumptions'!$C$95:$C$104,0),MATCH(AI$4,'Model Assumptions'!$C$95:$L$95,0))</f>
        <v>-200000</v>
      </c>
      <c r="AJ176" s="150">
        <f>-INDEX(Costs,MATCH($C176,'Model Assumptions'!$C$95:$C$104,0),MATCH(AJ$4,'Model Assumptions'!$C$95:$L$95,0))</f>
        <v>-200000</v>
      </c>
      <c r="AK176" s="150">
        <f>-INDEX(Costs,MATCH($C176,'Model Assumptions'!$C$95:$C$104,0),MATCH(AK$4,'Model Assumptions'!$C$95:$L$95,0))</f>
        <v>-200000</v>
      </c>
      <c r="AL176" s="150">
        <f>-INDEX(Costs,MATCH($C176,'Model Assumptions'!$C$95:$C$104,0),MATCH(AL$4,'Model Assumptions'!$C$95:$L$95,0))</f>
        <v>-200000</v>
      </c>
      <c r="AM176" s="150">
        <f>-INDEX(Costs,MATCH($C176,'Model Assumptions'!$C$95:$C$104,0),MATCH(AM$4,'Model Assumptions'!$C$95:$L$95,0))</f>
        <v>-200000</v>
      </c>
      <c r="AN176" s="150">
        <f>-INDEX(Costs,MATCH($C176,'Model Assumptions'!$C$95:$C$104,0),MATCH(AN$4,'Model Assumptions'!$C$95:$L$95,0))</f>
        <v>-200000</v>
      </c>
      <c r="AO176" s="150">
        <f>-INDEX(Costs,MATCH($C176,'Model Assumptions'!$C$95:$C$104,0),MATCH(AO$4,'Model Assumptions'!$C$95:$L$95,0))</f>
        <v>-200000</v>
      </c>
      <c r="AP176" s="150">
        <f>-INDEX(Costs,MATCH($C176,'Model Assumptions'!$C$95:$C$104,0),MATCH(AP$4,'Model Assumptions'!$C$95:$L$95,0))</f>
        <v>-200000</v>
      </c>
      <c r="AQ176" s="150">
        <f>-INDEX(Costs,MATCH($C176,'Model Assumptions'!$C$95:$C$104,0),MATCH(AQ$4,'Model Assumptions'!$C$95:$L$95,0))</f>
        <v>-200000</v>
      </c>
      <c r="AR176" s="150">
        <f>-INDEX(Costs,MATCH($C176,'Model Assumptions'!$C$95:$C$104,0),MATCH(AR$4,'Model Assumptions'!$C$95:$L$95,0))</f>
        <v>-200000</v>
      </c>
      <c r="AS176" s="150">
        <f>-INDEX(Costs,MATCH($C176,'Model Assumptions'!$C$95:$C$104,0),MATCH(AS$4,'Model Assumptions'!$C$95:$L$95,0))</f>
        <v>-200000</v>
      </c>
      <c r="AT176" s="150">
        <f>-INDEX(Costs,MATCH($C176,'Model Assumptions'!$C$95:$C$104,0),MATCH(AT$4,'Model Assumptions'!$C$95:$L$95,0))</f>
        <v>-200000</v>
      </c>
      <c r="AU176" s="150">
        <f>-INDEX(Costs,MATCH($C176,'Model Assumptions'!$C$95:$C$104,0),MATCH(AU$4,'Model Assumptions'!$C$95:$L$95,0))</f>
        <v>-200000</v>
      </c>
      <c r="AV176" s="150">
        <f>-INDEX(Costs,MATCH($C176,'Model Assumptions'!$C$95:$C$104,0),MATCH(AV$4,'Model Assumptions'!$C$95:$L$95,0))</f>
        <v>-200000</v>
      </c>
      <c r="AW176" s="150">
        <f>-INDEX(Costs,MATCH($C176,'Model Assumptions'!$C$95:$C$104,0),MATCH(AW$4,'Model Assumptions'!$C$95:$L$95,0))</f>
        <v>-200000</v>
      </c>
      <c r="AX176" s="150">
        <f>-INDEX(Costs,MATCH($C176,'Model Assumptions'!$C$95:$C$104,0),MATCH(AX$4,'Model Assumptions'!$C$95:$L$95,0))</f>
        <v>-200000</v>
      </c>
      <c r="AY176" s="150">
        <f>-INDEX(Costs,MATCH($C176,'Model Assumptions'!$C$95:$C$104,0),MATCH(AY$4,'Model Assumptions'!$C$95:$L$95,0))</f>
        <v>-200000</v>
      </c>
      <c r="AZ176" s="150">
        <f>-INDEX(Costs,MATCH($C176,'Model Assumptions'!$C$95:$C$104,0),MATCH(AZ$4,'Model Assumptions'!$C$95:$L$95,0))</f>
        <v>-200000</v>
      </c>
      <c r="BA176" s="150">
        <f>-INDEX(Costs,MATCH($C176,'Model Assumptions'!$C$95:$C$104,0),MATCH(BA$4,'Model Assumptions'!$C$95:$L$95,0))</f>
        <v>-200000</v>
      </c>
      <c r="BB176" s="150">
        <f>-INDEX(Costs,MATCH($C176,'Model Assumptions'!$C$95:$C$104,0),MATCH(BB$4,'Model Assumptions'!$C$95:$L$95,0))</f>
        <v>-200000</v>
      </c>
      <c r="BC176" s="150">
        <f>-INDEX(Costs,MATCH($C176,'Model Assumptions'!$C$95:$C$104,0),MATCH(BC$4,'Model Assumptions'!$C$95:$L$95,0))</f>
        <v>-200000</v>
      </c>
      <c r="BD176" s="150">
        <f>-INDEX(Costs,MATCH($C176,'Model Assumptions'!$C$95:$C$104,0),MATCH(BD$4,'Model Assumptions'!$C$95:$L$95,0))</f>
        <v>-200000</v>
      </c>
      <c r="BE176" s="150">
        <f>-INDEX(Costs,MATCH($C176,'Model Assumptions'!$C$95:$C$104,0),MATCH(BE$4,'Model Assumptions'!$C$95:$L$95,0))</f>
        <v>-200000</v>
      </c>
      <c r="BF176" s="150">
        <f>-INDEX(Costs,MATCH($C176,'Model Assumptions'!$C$95:$C$104,0),MATCH(BF$4,'Model Assumptions'!$C$95:$L$95,0))</f>
        <v>-200000</v>
      </c>
      <c r="BG176" s="150">
        <f>-INDEX(Costs,MATCH($C176,'Model Assumptions'!$C$95:$C$104,0),MATCH(BG$4,'Model Assumptions'!$C$95:$L$95,0))</f>
        <v>-200000</v>
      </c>
      <c r="BH176" s="150">
        <f>-INDEX(Costs,MATCH($C176,'Model Assumptions'!$C$95:$C$104,0),MATCH(BH$4,'Model Assumptions'!$C$95:$L$95,0))</f>
        <v>-200000</v>
      </c>
      <c r="BI176" s="150">
        <f>-INDEX(Costs,MATCH($C176,'Model Assumptions'!$C$95:$C$104,0),MATCH(BI$4,'Model Assumptions'!$C$95:$L$95,0))</f>
        <v>-200000</v>
      </c>
      <c r="BJ176" s="150">
        <f>-INDEX(Costs,MATCH($C176,'Model Assumptions'!$C$95:$C$104,0),MATCH(BJ$4,'Model Assumptions'!$C$95:$L$95,0))</f>
        <v>-200000</v>
      </c>
      <c r="BK176" s="150">
        <f>-INDEX(Costs,MATCH($C176,'Model Assumptions'!$C$95:$C$104,0),MATCH(BK$4,'Model Assumptions'!$C$95:$L$95,0))</f>
        <v>-200000</v>
      </c>
      <c r="BL176" s="150">
        <f>-INDEX(Costs,MATCH($C176,'Model Assumptions'!$C$95:$C$104,0),MATCH(BL$4,'Model Assumptions'!$C$95:$L$95,0))</f>
        <v>-200000</v>
      </c>
      <c r="BM176" s="150">
        <f>-INDEX(Costs,MATCH($C176,'Model Assumptions'!$C$95:$C$104,0),MATCH(BM$4,'Model Assumptions'!$C$95:$L$95,0))</f>
        <v>-200000</v>
      </c>
      <c r="BN176" s="150">
        <f>-INDEX(Costs,MATCH($C176,'Model Assumptions'!$C$95:$C$104,0),MATCH(BN$4,'Model Assumptions'!$C$95:$L$95,0))</f>
        <v>-200000</v>
      </c>
      <c r="BO176" s="150">
        <f>-INDEX(Costs,MATCH($C176,'Model Assumptions'!$C$95:$C$104,0),MATCH(BO$4,'Model Assumptions'!$C$95:$L$95,0))</f>
        <v>-200000</v>
      </c>
      <c r="BP176" s="150">
        <f>-INDEX(Costs,MATCH($C176,'Model Assumptions'!$C$95:$C$104,0),MATCH(BP$4,'Model Assumptions'!$C$95:$L$95,0))</f>
        <v>-200000</v>
      </c>
      <c r="BQ176" s="150">
        <f>-INDEX(Costs,MATCH($C176,'Model Assumptions'!$C$95:$C$104,0),MATCH(BQ$4,'Model Assumptions'!$C$95:$L$95,0))</f>
        <v>-200000</v>
      </c>
      <c r="BR176" s="150">
        <f>-INDEX(Costs,MATCH($C176,'Model Assumptions'!$C$95:$C$104,0),MATCH(BR$4,'Model Assumptions'!$C$95:$L$95,0))</f>
        <v>-200000</v>
      </c>
      <c r="BS176" s="150">
        <f>-INDEX(Costs,MATCH($C176,'Model Assumptions'!$C$95:$C$104,0),MATCH(BS$4,'Model Assumptions'!$C$95:$L$95,0))</f>
        <v>-200000</v>
      </c>
      <c r="BT176" s="150">
        <f>-INDEX(Costs,MATCH($C176,'Model Assumptions'!$C$95:$C$104,0),MATCH(BT$4,'Model Assumptions'!$C$95:$L$95,0))</f>
        <v>-200000</v>
      </c>
      <c r="BU176" s="150">
        <f>-INDEX(Costs,MATCH($C176,'Model Assumptions'!$C$95:$C$104,0),MATCH(BU$4,'Model Assumptions'!$C$95:$L$95,0))</f>
        <v>-200000</v>
      </c>
      <c r="BV176" s="150">
        <f>-INDEX(Costs,MATCH($C176,'Model Assumptions'!$C$95:$C$104,0),MATCH(BV$4,'Model Assumptions'!$C$95:$L$95,0))</f>
        <v>-200000</v>
      </c>
      <c r="BW176" s="150">
        <f>-INDEX(Costs,MATCH($C176,'Model Assumptions'!$C$95:$C$104,0),MATCH(BW$4,'Model Assumptions'!$C$95:$L$95,0))</f>
        <v>-200000</v>
      </c>
      <c r="BX176" s="150">
        <f>-INDEX(Costs,MATCH($C176,'Model Assumptions'!$C$95:$C$104,0),MATCH(BX$4,'Model Assumptions'!$C$95:$L$95,0))</f>
        <v>-200000</v>
      </c>
      <c r="BY176" s="150">
        <f>-INDEX(Costs,MATCH($C176,'Model Assumptions'!$C$95:$C$104,0),MATCH(BY$4,'Model Assumptions'!$C$95:$L$95,0))</f>
        <v>-200000</v>
      </c>
      <c r="BZ176" s="150">
        <f>-INDEX(Costs,MATCH($C176,'Model Assumptions'!$C$95:$C$104,0),MATCH(BZ$4,'Model Assumptions'!$C$95:$L$95,0))</f>
        <v>-200000</v>
      </c>
      <c r="CA176" s="150">
        <f>-INDEX(Costs,MATCH($C176,'Model Assumptions'!$C$95:$C$104,0),MATCH(CA$4,'Model Assumptions'!$C$95:$L$95,0))</f>
        <v>-200000</v>
      </c>
      <c r="CB176" s="150">
        <f>-INDEX(Costs,MATCH($C176,'Model Assumptions'!$C$95:$C$104,0),MATCH(CB$4,'Model Assumptions'!$C$95:$L$95,0))</f>
        <v>-200000</v>
      </c>
      <c r="CC176" s="150">
        <f>-INDEX(Costs,MATCH($C176,'Model Assumptions'!$C$95:$C$104,0),MATCH(CC$4,'Model Assumptions'!$C$95:$P$95,0))</f>
        <v>-200000</v>
      </c>
      <c r="CD176" s="150">
        <f>-INDEX(Costs,MATCH($C176,'Model Assumptions'!$C$95:$C$104,0),MATCH(CD$4,'Model Assumptions'!$C$95:$P$95,0))</f>
        <v>-200000</v>
      </c>
      <c r="CE176" s="150">
        <f>-INDEX(Costs,MATCH($C176,'Model Assumptions'!$C$95:$C$104,0),MATCH(CE$4,'Model Assumptions'!$C$95:$P$95,0))</f>
        <v>-200000</v>
      </c>
      <c r="CF176" s="150">
        <f>-INDEX(Costs,MATCH($C176,'Model Assumptions'!$C$95:$C$104,0),MATCH(CF$4,'Model Assumptions'!$C$95:$P$95,0))</f>
        <v>-200000</v>
      </c>
      <c r="CG176" s="150">
        <f>-INDEX(Costs,MATCH($C176,'Model Assumptions'!$C$95:$C$104,0),MATCH(CG$4,'Model Assumptions'!$C$95:$P$95,0))</f>
        <v>-200000</v>
      </c>
      <c r="CH176" s="150">
        <f>-INDEX(Costs,MATCH($C176,'Model Assumptions'!$C$95:$C$104,0),MATCH(CH$4,'Model Assumptions'!$C$95:$P$95,0))</f>
        <v>-200000</v>
      </c>
      <c r="CI176" s="150">
        <f>-INDEX(Costs,MATCH($C176,'Model Assumptions'!$C$95:$C$104,0),MATCH(CI$4,'Model Assumptions'!$C$95:$P$95,0))</f>
        <v>-200000</v>
      </c>
      <c r="CJ176" s="150">
        <f>-INDEX(Costs,MATCH($C176,'Model Assumptions'!$C$95:$C$104,0),MATCH(CJ$4,'Model Assumptions'!$C$95:$P$95,0))</f>
        <v>-200000</v>
      </c>
      <c r="CK176" s="150">
        <f>-INDEX(Costs,MATCH($C176,'Model Assumptions'!$C$95:$C$104,0),MATCH(CK$4,'Model Assumptions'!$C$95:$P$95,0))</f>
        <v>-200000</v>
      </c>
      <c r="CL176" s="150">
        <f>-INDEX(Costs,MATCH($C176,'Model Assumptions'!$C$95:$C$104,0),MATCH(CL$4,'Model Assumptions'!$C$95:$P$95,0))</f>
        <v>-200000</v>
      </c>
      <c r="CM176" s="150">
        <f>-INDEX(Costs,MATCH($C176,'Model Assumptions'!$C$95:$C$104,0),MATCH(CM$4,'Model Assumptions'!$C$95:$P$95,0))</f>
        <v>-200000</v>
      </c>
      <c r="CN176" s="150">
        <f>-INDEX(Costs,MATCH($C176,'Model Assumptions'!$C$95:$C$104,0),MATCH(CN$4,'Model Assumptions'!$C$95:$P$95,0))</f>
        <v>-200000</v>
      </c>
      <c r="CO176" s="150">
        <f>-INDEX(Costs,MATCH($C176,'Model Assumptions'!$C$95:$C$104,0),MATCH(CO$4,'Model Assumptions'!$C$95:$P$95,0))</f>
        <v>-200000</v>
      </c>
      <c r="CP176" s="150">
        <f>-INDEX(Costs,MATCH($C176,'Model Assumptions'!$C$95:$C$104,0),MATCH(CP$4,'Model Assumptions'!$C$95:$P$95,0))</f>
        <v>-200000</v>
      </c>
      <c r="CQ176" s="150">
        <f>-INDEX(Costs,MATCH($C176,'Model Assumptions'!$C$95:$C$104,0),MATCH(CQ$4,'Model Assumptions'!$C$95:$P$95,0))</f>
        <v>-200000</v>
      </c>
      <c r="CR176" s="150">
        <f>-INDEX(Costs,MATCH($C176,'Model Assumptions'!$C$95:$C$104,0),MATCH(CR$4,'Model Assumptions'!$C$95:$P$95,0))</f>
        <v>-200000</v>
      </c>
      <c r="CS176" s="150">
        <f>-INDEX(Costs,MATCH($C176,'Model Assumptions'!$C$95:$C$104,0),MATCH(CS$4,'Model Assumptions'!$C$95:$P$95,0))</f>
        <v>-200000</v>
      </c>
      <c r="CT176" s="150">
        <f>-INDEX(Costs,MATCH($C176,'Model Assumptions'!$C$95:$C$104,0),MATCH(CT$4,'Model Assumptions'!$C$95:$P$95,0))</f>
        <v>-200000</v>
      </c>
      <c r="CU176" s="150">
        <f>-INDEX(Costs,MATCH($C176,'Model Assumptions'!$C$95:$C$104,0),MATCH(CU$4,'Model Assumptions'!$C$95:$P$95,0))</f>
        <v>-200000</v>
      </c>
      <c r="CV176" s="150">
        <f>-INDEX(Costs,MATCH($C176,'Model Assumptions'!$C$95:$C$104,0),MATCH(CV$4,'Model Assumptions'!$C$95:$P$95,0))</f>
        <v>-200000</v>
      </c>
      <c r="CW176" s="150">
        <f>-INDEX(Costs,MATCH($C176,'Model Assumptions'!$C$95:$C$104,0),MATCH(CW$4,'Model Assumptions'!$C$95:$P$95,0))</f>
        <v>-200000</v>
      </c>
      <c r="CX176" s="150">
        <f>-INDEX(Costs,MATCH($C176,'Model Assumptions'!$C$95:$C$104,0),MATCH(CX$4,'Model Assumptions'!$C$95:$P$95,0))</f>
        <v>-200000</v>
      </c>
      <c r="CY176" s="150">
        <f>-INDEX(Costs,MATCH($C176,'Model Assumptions'!$C$95:$C$104,0),MATCH(CY$4,'Model Assumptions'!$C$95:$P$95,0))</f>
        <v>-200000</v>
      </c>
      <c r="CZ176" s="150">
        <f>-INDEX(Costs,MATCH($C176,'Model Assumptions'!$C$95:$C$104,0),MATCH(CZ$4,'Model Assumptions'!$C$95:$P$95,0))</f>
        <v>-200000</v>
      </c>
      <c r="DA176" s="150">
        <f>-INDEX(Costs,MATCH($C176,'Model Assumptions'!$C$95:$C$104,0),MATCH(DA$4,'Model Assumptions'!$C$95:$P$95,0))</f>
        <v>-200000</v>
      </c>
      <c r="DB176" s="150">
        <f>-INDEX(Costs,MATCH($C176,'Model Assumptions'!$C$95:$C$104,0),MATCH(DB$4,'Model Assumptions'!$C$95:$P$95,0))</f>
        <v>-200000</v>
      </c>
      <c r="DC176" s="150">
        <f>-INDEX(Costs,MATCH($C176,'Model Assumptions'!$C$95:$C$104,0),MATCH(DC$4,'Model Assumptions'!$C$95:$P$95,0))</f>
        <v>-200000</v>
      </c>
      <c r="DD176" s="150">
        <f>-INDEX(Costs,MATCH($C176,'Model Assumptions'!$C$95:$C$104,0),MATCH(DD$4,'Model Assumptions'!$C$95:$P$95,0))</f>
        <v>-200000</v>
      </c>
      <c r="DE176" s="150">
        <f>-INDEX(Costs,MATCH($C176,'Model Assumptions'!$C$95:$C$104,0),MATCH(DE$4,'Model Assumptions'!$C$95:$P$95,0))</f>
        <v>-200000</v>
      </c>
      <c r="DF176" s="150">
        <f>-INDEX(Costs,MATCH($C176,'Model Assumptions'!$C$95:$C$104,0),MATCH(DF$4,'Model Assumptions'!$C$95:$P$95,0))</f>
        <v>-200000</v>
      </c>
      <c r="DG176" s="150">
        <f>-INDEX(Costs,MATCH($C176,'Model Assumptions'!$C$95:$C$104,0),MATCH(DG$4,'Model Assumptions'!$C$95:$P$95,0))</f>
        <v>-200000</v>
      </c>
      <c r="DH176" s="150">
        <f>-INDEX(Costs,MATCH($C176,'Model Assumptions'!$C$95:$C$104,0),MATCH(DH$4,'Model Assumptions'!$C$95:$P$95,0))</f>
        <v>-200000</v>
      </c>
      <c r="DI176" s="150">
        <f>-INDEX(Costs,MATCH($C176,'Model Assumptions'!$C$95:$C$104,0),MATCH(DI$4,'Model Assumptions'!$C$95:$P$95,0))</f>
        <v>-200000</v>
      </c>
      <c r="DJ176" s="150">
        <f>-INDEX(Costs,MATCH($C176,'Model Assumptions'!$C$95:$C$104,0),MATCH(DJ$4,'Model Assumptions'!$C$95:$P$95,0))</f>
        <v>-200000</v>
      </c>
      <c r="DK176" s="150">
        <f>-INDEX(Costs,MATCH($C176,'Model Assumptions'!$C$95:$C$104,0),MATCH(DK$4,'Model Assumptions'!$C$95:$P$95,0))</f>
        <v>-200000</v>
      </c>
      <c r="DL176" s="150">
        <f>-INDEX(Costs,MATCH($C176,'Model Assumptions'!$C$95:$C$104,0),MATCH(DL$4,'Model Assumptions'!$C$95:$P$95,0))</f>
        <v>-200000</v>
      </c>
      <c r="DM176" s="150">
        <f>-INDEX(Costs,MATCH($C176,'Model Assumptions'!$C$95:$C$104,0),MATCH(DM$4,'Model Assumptions'!$C$95:$P$95,0))</f>
        <v>-200000</v>
      </c>
      <c r="DN176" s="150">
        <f>-INDEX(Costs,MATCH($C176,'Model Assumptions'!$C$95:$C$104,0),MATCH(DN$4,'Model Assumptions'!$C$95:$P$95,0))</f>
        <v>-200000</v>
      </c>
      <c r="DO176" s="150">
        <f>-INDEX(Costs,MATCH($C176,'Model Assumptions'!$C$95:$C$104,0),MATCH(DO$4,'Model Assumptions'!$C$95:$P$95,0))</f>
        <v>-200000</v>
      </c>
      <c r="DP176" s="150">
        <f>-INDEX(Costs,MATCH($C176,'Model Assumptions'!$C$95:$C$104,0),MATCH(DP$4,'Model Assumptions'!$C$95:$P$95,0))</f>
        <v>-200000</v>
      </c>
      <c r="DQ176" s="150">
        <f>-INDEX(Costs,MATCH($C176,'Model Assumptions'!$C$95:$C$104,0),MATCH(DQ$4,'Model Assumptions'!$C$95:$P$95,0))</f>
        <v>-200000</v>
      </c>
      <c r="DR176" s="150">
        <f>-INDEX(Costs,MATCH($C176,'Model Assumptions'!$C$95:$C$104,0),MATCH(DR$4,'Model Assumptions'!$C$95:$P$95,0))</f>
        <v>-200000</v>
      </c>
      <c r="DS176" s="150">
        <f>-INDEX(Costs,MATCH($C176,'Model Assumptions'!$C$95:$C$104,0),MATCH(DS$4,'Model Assumptions'!$C$95:$P$95,0))</f>
        <v>-200000</v>
      </c>
      <c r="DT176" s="150">
        <f>-INDEX(Costs,MATCH($C176,'Model Assumptions'!$C$95:$C$104,0),MATCH(DT$4,'Model Assumptions'!$C$95:$P$95,0))</f>
        <v>-200000</v>
      </c>
      <c r="DU176" s="150">
        <f>-INDEX(Costs,MATCH($C176,'Model Assumptions'!$C$95:$C$104,0),MATCH(DU$4,'Model Assumptions'!$C$95:$P$95,0))</f>
        <v>-200000</v>
      </c>
      <c r="DV176" s="150">
        <f>-INDEX(Costs,MATCH($C176,'Model Assumptions'!$C$95:$C$104,0),MATCH(DV$4,'Model Assumptions'!$C$95:$P$95,0))</f>
        <v>-200000</v>
      </c>
      <c r="DW176" s="150">
        <f>-INDEX(Costs,MATCH($C176,'Model Assumptions'!$C$95:$C$104,0),MATCH(DW$4,'Model Assumptions'!$C$95:$P$95,0))</f>
        <v>-200000</v>
      </c>
      <c r="DX176" s="150">
        <f>-INDEX(Costs,MATCH($C176,'Model Assumptions'!$C$95:$C$104,0),MATCH(DX$4,'Model Assumptions'!$C$95:$P$95,0))</f>
        <v>-200000</v>
      </c>
      <c r="DY176" s="150">
        <f>-INDEX(Costs,MATCH($C176,'Model Assumptions'!$C$95:$C$104,0),MATCH(DY$4,'Model Assumptions'!$C$95:$P$95,0))</f>
        <v>-200000</v>
      </c>
    </row>
    <row r="177" spans="3:129" outlineLevel="2">
      <c r="C177" s="5" t="s">
        <v>230</v>
      </c>
      <c r="F177" s="5" t="s">
        <v>347</v>
      </c>
      <c r="J177" s="150">
        <f ca="1">-INDEX(Costs,MATCH($C177,'Model Assumptions'!$C$95:$C$104,0),MATCH(J$4,'Model Assumptions'!$C$95:$L$95,0))*_TotalRevenueCash</f>
        <v>-15135.966383428522</v>
      </c>
      <c r="K177" s="150">
        <f ca="1">-INDEX(Costs,MATCH($C177,'Model Assumptions'!$C$95:$C$104,0),MATCH(K$4,'Model Assumptions'!$C$95:$L$95,0))*_TotalRevenueCash</f>
        <v>-15611.354434970022</v>
      </c>
      <c r="L177" s="150">
        <f ca="1">-INDEX(Costs,MATCH($C177,'Model Assumptions'!$C$95:$C$104,0),MATCH(L$4,'Model Assumptions'!$C$95:$L$95,0))*_TotalRevenueCash</f>
        <v>-16106.409105996103</v>
      </c>
      <c r="M177" s="150">
        <f ca="1">-INDEX(Costs,MATCH($C177,'Model Assumptions'!$C$95:$C$104,0),MATCH(M$4,'Model Assumptions'!$C$95:$L$95,0))*_TotalRevenueCash</f>
        <v>-16621.42214031193</v>
      </c>
      <c r="N177" s="150">
        <f ca="1">-INDEX(Costs,MATCH($C177,'Model Assumptions'!$C$95:$C$104,0),MATCH(N$4,'Model Assumptions'!$C$95:$L$95,0))*_TotalRevenueCash</f>
        <v>-17156.692132484597</v>
      </c>
      <c r="O177" s="150">
        <f ca="1">-INDEX(Costs,MATCH($C177,'Model Assumptions'!$C$95:$C$104,0),MATCH(O$4,'Model Assumptions'!$C$95:$L$95,0))*_TotalRevenueCash</f>
        <v>-17712.524654699533</v>
      </c>
      <c r="P177" s="150">
        <f ca="1">-INDEX(Costs,MATCH($C177,'Model Assumptions'!$C$95:$C$104,0),MATCH(P$4,'Model Assumptions'!$C$95:$L$95,0))*_TotalRevenueCash</f>
        <v>-18289.232386255604</v>
      </c>
      <c r="Q177" s="150">
        <f ca="1">-INDEX(Costs,MATCH($C177,'Model Assumptions'!$C$95:$C$104,0),MATCH(Q$4,'Model Assumptions'!$C$95:$L$95,0))*_TotalRevenueCash</f>
        <v>-18887.135245750658</v>
      </c>
      <c r="R177" s="150">
        <f ca="1">-INDEX(Costs,MATCH($C177,'Model Assumptions'!$C$95:$C$104,0),MATCH(R$4,'Model Assumptions'!$C$95:$L$95,0))*_TotalRevenueCash</f>
        <v>-19506.560526010398</v>
      </c>
      <c r="S177" s="150">
        <f ca="1">-INDEX(Costs,MATCH($C177,'Model Assumptions'!$C$95:$C$104,0),MATCH(S$4,'Model Assumptions'!$C$95:$L$95,0))*_TotalRevenueCash</f>
        <v>-20147.843031814369</v>
      </c>
      <c r="T177" s="150">
        <f ca="1">-INDEX(Costs,MATCH($C177,'Model Assumptions'!$C$95:$C$104,0),MATCH(T$4,'Model Assumptions'!$C$95:$L$95,0))*_TotalRevenueCash</f>
        <v>-20811.325220474067</v>
      </c>
      <c r="U177" s="150">
        <f ca="1">-INDEX(Costs,MATCH($C177,'Model Assumptions'!$C$95:$C$104,0),MATCH(U$4,'Model Assumptions'!$C$95:$L$95,0))*_TotalRevenueCash</f>
        <v>-21497.357345319208</v>
      </c>
      <c r="V177" s="150">
        <f ca="1">-INDEX(Costs,MATCH($C177,'Model Assumptions'!$C$95:$C$104,0),MATCH(V$4,'Model Assumptions'!$C$95:$L$95,0))*_TotalRevenueCash</f>
        <v>-22234.009404683889</v>
      </c>
      <c r="W177" s="150">
        <f ca="1">-INDEX(Costs,MATCH($C177,'Model Assumptions'!$C$95:$C$104,0),MATCH(W$4,'Model Assumptions'!$C$95:$L$95,0))*_TotalRevenueCash</f>
        <v>-22827.063758483859</v>
      </c>
      <c r="X177" s="150">
        <f ca="1">-INDEX(Costs,MATCH($C177,'Model Assumptions'!$C$95:$C$104,0),MATCH(X$4,'Model Assumptions'!$C$95:$L$95,0))*_TotalRevenueCash</f>
        <v>-23434.157425748519</v>
      </c>
      <c r="Y177" s="150">
        <f ca="1">-INDEX(Costs,MATCH($C177,'Model Assumptions'!$C$95:$C$104,0),MATCH(Y$4,'Model Assumptions'!$C$95:$L$95,0))*_TotalRevenueCash</f>
        <v>-24055.54941048328</v>
      </c>
      <c r="Z177" s="150">
        <f ca="1">-INDEX(Costs,MATCH($C177,'Model Assumptions'!$C$95:$C$104,0),MATCH(Z$4,'Model Assumptions'!$C$95:$L$95,0))*_TotalRevenueCash</f>
        <v>-24691.504114596286</v>
      </c>
      <c r="AA177" s="150">
        <f ca="1">-INDEX(Costs,MATCH($C177,'Model Assumptions'!$C$95:$C$104,0),MATCH(AA$4,'Model Assumptions'!$C$95:$L$95,0))*_TotalRevenueCash</f>
        <v>-25342.291443678278</v>
      </c>
      <c r="AB177" s="150">
        <f ca="1">-INDEX(Costs,MATCH($C177,'Model Assumptions'!$C$95:$C$104,0),MATCH(AB$4,'Model Assumptions'!$C$95:$L$95,0))*_TotalRevenueCash</f>
        <v>-26008.18691491977</v>
      </c>
      <c r="AC177" s="150">
        <f ca="1">-INDEX(Costs,MATCH($C177,'Model Assumptions'!$C$95:$C$104,0),MATCH(AC$4,'Model Assumptions'!$C$95:$L$95,0))*_TotalRevenueCash</f>
        <v>-26689.471767208161</v>
      </c>
      <c r="AD177" s="150">
        <f ca="1">-INDEX(Costs,MATCH($C177,'Model Assumptions'!$C$95:$C$104,0),MATCH(AD$4,'Model Assumptions'!$C$95:$L$95,0))*_TotalRevenueCash</f>
        <v>-27386.433073448185</v>
      </c>
      <c r="AE177" s="150">
        <f ca="1">-INDEX(Costs,MATCH($C177,'Model Assumptions'!$C$95:$C$104,0),MATCH(AE$4,'Model Assumptions'!$C$95:$L$95,0))*_TotalRevenueCash</f>
        <v>-28099.363855149797</v>
      </c>
      <c r="AF177" s="150">
        <f ca="1">-INDEX(Costs,MATCH($C177,'Model Assumptions'!$C$95:$C$104,0),MATCH(AF$4,'Model Assumptions'!$C$95:$L$95,0))*_TotalRevenueCash</f>
        <v>-28828.563199328873</v>
      </c>
      <c r="AG177" s="150">
        <f ca="1">-INDEX(Costs,MATCH($C177,'Model Assumptions'!$C$95:$C$104,0),MATCH(AG$4,'Model Assumptions'!$C$95:$L$95,0))*_TotalRevenueCash</f>
        <v>-29574.336377766529</v>
      </c>
      <c r="AH177" s="150">
        <f ca="1">-INDEX(Costs,MATCH($C177,'Model Assumptions'!$C$95:$C$104,0),MATCH(AH$4,'Model Assumptions'!$C$95:$L$95,0))*_TotalRevenueCash</f>
        <v>-30368.832784038295</v>
      </c>
      <c r="AI177" s="150">
        <f ca="1">-INDEX(Costs,MATCH($C177,'Model Assumptions'!$C$95:$C$104,0),MATCH(AI$4,'Model Assumptions'!$C$95:$L$95,0))*_TotalRevenueCash</f>
        <v>-31024.937332838683</v>
      </c>
      <c r="AJ177" s="150">
        <f ca="1">-INDEX(Costs,MATCH($C177,'Model Assumptions'!$C$95:$C$104,0),MATCH(AJ$4,'Model Assumptions'!$C$95:$L$95,0))*_TotalRevenueCash</f>
        <v>-31695.182772190044</v>
      </c>
      <c r="AK177" s="150">
        <f ca="1">-INDEX(Costs,MATCH($C177,'Model Assumptions'!$C$95:$C$104,0),MATCH(AK$4,'Model Assumptions'!$C$95:$L$95,0))*_TotalRevenueCash</f>
        <v>-32379.841731907662</v>
      </c>
      <c r="AL177" s="150">
        <f ca="1">-INDEX(Costs,MATCH($C177,'Model Assumptions'!$C$95:$C$104,0),MATCH(AL$4,'Model Assumptions'!$C$95:$L$95,0))*_TotalRevenueCash</f>
        <v>-33079.192396283055</v>
      </c>
      <c r="AM177" s="150">
        <f ca="1">-INDEX(Costs,MATCH($C177,'Model Assumptions'!$C$95:$C$104,0),MATCH(AM$4,'Model Assumptions'!$C$95:$L$95,0))*_TotalRevenueCash</f>
        <v>-33793.518614154746</v>
      </c>
      <c r="AN177" s="150">
        <f ca="1">-INDEX(Costs,MATCH($C177,'Model Assumptions'!$C$95:$C$104,0),MATCH(AN$4,'Model Assumptions'!$C$95:$L$95,0))*_TotalRevenueCash</f>
        <v>-34544.514317335954</v>
      </c>
      <c r="AO177" s="150">
        <f ca="1">-INDEX(Costs,MATCH($C177,'Model Assumptions'!$C$95:$C$104,0),MATCH(AO$4,'Model Assumptions'!$C$95:$L$95,0))*_TotalRevenueCash</f>
        <v>-35225.495368318618</v>
      </c>
      <c r="AP177" s="150">
        <f ca="1">-INDEX(Costs,MATCH($C177,'Model Assumptions'!$C$95:$C$104,0),MATCH(AP$4,'Model Assumptions'!$C$95:$L$95,0))*_TotalRevenueCash</f>
        <v>-35920.484860999881</v>
      </c>
      <c r="AQ177" s="150">
        <f ca="1">-INDEX(Costs,MATCH($C177,'Model Assumptions'!$C$95:$C$104,0),MATCH(AQ$4,'Model Assumptions'!$C$95:$L$95,0))*_TotalRevenueCash</f>
        <v>-36629.759076006929</v>
      </c>
      <c r="AR177" s="150">
        <f ca="1">-INDEX(Costs,MATCH($C177,'Model Assumptions'!$C$95:$C$104,0),MATCH(AR$4,'Model Assumptions'!$C$95:$L$95,0))*_TotalRevenueCash</f>
        <v>-37353.599858461544</v>
      </c>
      <c r="AS177" s="150">
        <f ca="1">-INDEX(Costs,MATCH($C177,'Model Assumptions'!$C$95:$C$104,0),MATCH(AS$4,'Model Assumptions'!$C$95:$L$95,0))*_TotalRevenueCash</f>
        <v>-38092.294728881221</v>
      </c>
      <c r="AT177" s="150">
        <f ca="1">-INDEX(Costs,MATCH($C177,'Model Assumptions'!$C$95:$C$104,0),MATCH(AT$4,'Model Assumptions'!$C$95:$L$95,0))*_TotalRevenueCash</f>
        <v>-38846.354721877033</v>
      </c>
      <c r="AU177" s="150">
        <f ca="1">-INDEX(Costs,MATCH($C177,'Model Assumptions'!$C$95:$C$104,0),MATCH(AU$4,'Model Assumptions'!$C$95:$L$95,0))*_TotalRevenueCash</f>
        <v>-39614.550247006599</v>
      </c>
      <c r="AV177" s="150">
        <f ca="1">-INDEX(Costs,MATCH($C177,'Model Assumptions'!$C$95:$C$104,0),MATCH(AV$4,'Model Assumptions'!$C$95:$L$95,0))*_TotalRevenueCash</f>
        <v>-40398.422115805166</v>
      </c>
      <c r="AW177" s="150">
        <f ca="1">-INDEX(Costs,MATCH($C177,'Model Assumptions'!$C$95:$C$104,0),MATCH(AW$4,'Model Assumptions'!$C$95:$L$95,0))*_TotalRevenueCash</f>
        <v>-41198.280730814477</v>
      </c>
      <c r="AX177" s="150">
        <f ca="1">-INDEX(Costs,MATCH($C177,'Model Assumptions'!$C$95:$C$104,0),MATCH(AX$4,'Model Assumptions'!$C$95:$L$95,0))*_TotalRevenueCash</f>
        <v>-42014.442733870383</v>
      </c>
      <c r="AY177" s="150">
        <f ca="1">-INDEX(Costs,MATCH($C177,'Model Assumptions'!$C$95:$C$104,0),MATCH(AY$4,'Model Assumptions'!$C$95:$L$95,0))*_TotalRevenueCash</f>
        <v>-42847.231130576351</v>
      </c>
      <c r="AZ177" s="150">
        <f ca="1">-INDEX(Costs,MATCH($C177,'Model Assumptions'!$C$95:$C$104,0),MATCH(AZ$4,'Model Assumptions'!$C$95:$L$95,0))*_TotalRevenueCash</f>
        <v>-43696.975417269488</v>
      </c>
      <c r="BA177" s="150">
        <f ca="1">-INDEX(Costs,MATCH($C177,'Model Assumptions'!$C$95:$C$104,0),MATCH(BA$4,'Model Assumptions'!$C$95:$L$95,0))*_TotalRevenueCash</f>
        <v>-44564.011710529041</v>
      </c>
      <c r="BB177" s="150">
        <f ca="1">-INDEX(Costs,MATCH($C177,'Model Assumptions'!$C$95:$C$104,0),MATCH(BB$4,'Model Assumptions'!$C$95:$L$95,0))*_TotalRevenueCash</f>
        <v>-45448.682879277963</v>
      </c>
      <c r="BC177" s="150">
        <f ca="1">-INDEX(Costs,MATCH($C177,'Model Assumptions'!$C$95:$C$104,0),MATCH(BC$4,'Model Assumptions'!$C$95:$L$95,0))*_TotalRevenueCash</f>
        <v>-46351.338679529836</v>
      </c>
      <c r="BD177" s="150">
        <f ca="1">-INDEX(Costs,MATCH($C177,'Model Assumptions'!$C$95:$C$104,0),MATCH(BD$4,'Model Assumptions'!$C$95:$L$95,0))*_TotalRevenueCash</f>
        <v>-47272.335891833434</v>
      </c>
      <c r="BE177" s="150">
        <f ca="1">-INDEX(Costs,MATCH($C177,'Model Assumptions'!$C$95:$C$104,0),MATCH(BE$4,'Model Assumptions'!$C$95:$L$95,0))*_TotalRevenueCash</f>
        <v>-48212.03846146931</v>
      </c>
      <c r="BF177" s="150">
        <f ca="1">-INDEX(Costs,MATCH($C177,'Model Assumptions'!$C$95:$C$104,0),MATCH(BF$4,'Model Assumptions'!$C$95:$L$95,0))*_TotalRevenueCash</f>
        <v>-49173.145379221271</v>
      </c>
      <c r="BG177" s="150">
        <f ca="1">-INDEX(Costs,MATCH($C177,'Model Assumptions'!$C$95:$C$104,0),MATCH(BG$4,'Model Assumptions'!$C$95:$L$95,0))*_TotalRevenueCash</f>
        <v>-50142.528740593865</v>
      </c>
      <c r="BH177" s="150">
        <f ca="1">-INDEX(Costs,MATCH($C177,'Model Assumptions'!$C$95:$C$104,0),MATCH(BH$4,'Model Assumptions'!$C$95:$L$95,0))*_TotalRevenueCash</f>
        <v>-51131.547841674408</v>
      </c>
      <c r="BI177" s="150">
        <f ca="1">-INDEX(Costs,MATCH($C177,'Model Assumptions'!$C$95:$C$104,0),MATCH(BI$4,'Model Assumptions'!$C$95:$L$95,0))*_TotalRevenueCash</f>
        <v>-52140.592916532238</v>
      </c>
      <c r="BJ177" s="150">
        <f ca="1">-INDEX(Costs,MATCH($C177,'Model Assumptions'!$C$95:$C$104,0),MATCH(BJ$4,'Model Assumptions'!$C$95:$L$95,0))*_TotalRevenueCash</f>
        <v>-53170.06202872534</v>
      </c>
      <c r="BK177" s="150">
        <f ca="1">-INDEX(Costs,MATCH($C177,'Model Assumptions'!$C$95:$C$104,0),MATCH(BK$4,'Model Assumptions'!$C$95:$L$95,0))*_TotalRevenueCash</f>
        <v>-54220.361227642075</v>
      </c>
      <c r="BL177" s="150">
        <f ca="1">-INDEX(Costs,MATCH($C177,'Model Assumptions'!$C$95:$C$104,0),MATCH(BL$4,'Model Assumptions'!$C$95:$L$95,0))*_TotalRevenueCash</f>
        <v>-55291.904707972099</v>
      </c>
      <c r="BM177" s="150">
        <f ca="1">-INDEX(Costs,MATCH($C177,'Model Assumptions'!$C$95:$C$104,0),MATCH(BM$4,'Model Assumptions'!$C$95:$L$95,0))*_TotalRevenueCash</f>
        <v>-56385.114972369316</v>
      </c>
      <c r="BN177" s="150">
        <f ca="1">-INDEX(Costs,MATCH($C177,'Model Assumptions'!$C$95:$C$104,0),MATCH(BN$4,'Model Assumptions'!$C$95:$L$95,0))*_TotalRevenueCash</f>
        <v>-57500.422997370486</v>
      </c>
      <c r="BO177" s="150">
        <f ca="1">-INDEX(Costs,MATCH($C177,'Model Assumptions'!$C$95:$C$104,0),MATCH(BO$4,'Model Assumptions'!$C$95:$L$95,0))*_TotalRevenueCash</f>
        <v>-58638.268402634494</v>
      </c>
      <c r="BP177" s="150">
        <f ca="1">-INDEX(Costs,MATCH($C177,'Model Assumptions'!$C$95:$C$104,0),MATCH(BP$4,'Model Assumptions'!$C$95:$L$95,0))*_TotalRevenueCash</f>
        <v>-59799.099623569025</v>
      </c>
      <c r="BQ177" s="150">
        <f ca="1">-INDEX(Costs,MATCH($C177,'Model Assumptions'!$C$95:$C$104,0),MATCH(BQ$4,'Model Assumptions'!$C$95:$L$95,0))*_TotalRevenueCash</f>
        <v>-60983.374087411772</v>
      </c>
      <c r="BR177" s="150">
        <f ca="1">-INDEX(Costs,MATCH($C177,'Model Assumptions'!$C$95:$C$104,0),MATCH(BR$4,'Model Assumptions'!$C$95:$L$95,0))*_TotalRevenueCash</f>
        <v>-62025.810810576455</v>
      </c>
      <c r="BS177" s="150">
        <f ca="1">-INDEX(Costs,MATCH($C177,'Model Assumptions'!$C$95:$C$104,0),MATCH(BS$4,'Model Assumptions'!$C$95:$L$95,0))*_TotalRevenueCash</f>
        <v>-63009.412996307132</v>
      </c>
      <c r="BT177" s="150">
        <f ca="1">-INDEX(Costs,MATCH($C177,'Model Assumptions'!$C$95:$C$104,0),MATCH(BT$4,'Model Assumptions'!$C$95:$L$95,0))*_TotalRevenueCash</f>
        <v>-63940.066467919976</v>
      </c>
      <c r="BU177" s="150">
        <f ca="1">-INDEX(Costs,MATCH($C177,'Model Assumptions'!$C$95:$C$104,0),MATCH(BU$4,'Model Assumptions'!$C$95:$L$95,0))*_TotalRevenueCash</f>
        <v>-64817.438458710967</v>
      </c>
      <c r="BV177" s="150">
        <f ca="1">-INDEX(Costs,MATCH($C177,'Model Assumptions'!$C$95:$C$104,0),MATCH(BV$4,'Model Assumptions'!$C$95:$L$95,0))*_TotalRevenueCash</f>
        <v>-65641.182284566225</v>
      </c>
      <c r="BW177" s="150">
        <f ca="1">-INDEX(Costs,MATCH($C177,'Model Assumptions'!$C$95:$C$104,0),MATCH(BW$4,'Model Assumptions'!$C$95:$L$95,0))*_TotalRevenueCash</f>
        <v>-66410.937138234513</v>
      </c>
      <c r="BX177" s="150">
        <f ca="1">-INDEX(Costs,MATCH($C177,'Model Assumptions'!$C$95:$C$104,0),MATCH(BX$4,'Model Assumptions'!$C$95:$L$95,0))*_TotalRevenueCash</f>
        <v>-67126.327878759155</v>
      </c>
      <c r="BY177" s="150">
        <f ca="1">-INDEX(Costs,MATCH($C177,'Model Assumptions'!$C$95:$C$104,0),MATCH(BY$4,'Model Assumptions'!$C$95:$L$95,0))*_TotalRevenueCash</f>
        <v>-67786.964815979474</v>
      </c>
      <c r="BZ177" s="150">
        <f ca="1">-INDEX(Costs,MATCH($C177,'Model Assumptions'!$C$95:$C$104,0),MATCH(BZ$4,'Model Assumptions'!$C$95:$L$95,0))*_TotalRevenueCash</f>
        <v>-68392.443490010468</v>
      </c>
      <c r="CA177" s="150">
        <f ca="1">-INDEX(Costs,MATCH($C177,'Model Assumptions'!$C$95:$C$104,0),MATCH(CA$4,'Model Assumptions'!$C$95:$L$95,0))*_TotalRevenueCash</f>
        <v>-68942.344445607741</v>
      </c>
      <c r="CB177" s="150">
        <f ca="1">-INDEX(Costs,MATCH($C177,'Model Assumptions'!$C$95:$C$104,0),MATCH(CB$4,'Model Assumptions'!$C$95:$L$95,0))*_TotalRevenueCash</f>
        <v>-69436.233001321758</v>
      </c>
      <c r="CC177" s="150">
        <f ca="1">-INDEX(Costs,MATCH($C177,'Model Assumptions'!$C$95:$C$104,0),MATCH(CC$4,'Model Assumptions'!$C$95:$P$95,0))*_TotalRevenueCash</f>
        <v>-69873.659013344761</v>
      </c>
      <c r="CD177" s="150">
        <f ca="1">-INDEX(Costs,MATCH($C177,'Model Assumptions'!$C$95:$C$104,0),MATCH(CD$4,'Model Assumptions'!$C$95:$P$95,0))*_TotalRevenueCash</f>
        <v>-70247.358340045845</v>
      </c>
      <c r="CE177" s="150">
        <f ca="1">-INDEX(Costs,MATCH($C177,'Model Assumptions'!$C$95:$C$104,0),MATCH(CE$4,'Model Assumptions'!$C$95:$P$95,0))*_TotalRevenueCash</f>
        <v>-70598.234852258829</v>
      </c>
      <c r="CF177" s="150">
        <f ca="1">-INDEX(Costs,MATCH($C177,'Model Assumptions'!$C$95:$C$104,0),MATCH(CF$4,'Model Assumptions'!$C$95:$P$95,0))*_TotalRevenueCash</f>
        <v>-70926.998105581501</v>
      </c>
      <c r="CG177" s="150">
        <f ca="1">-INDEX(Costs,MATCH($C177,'Model Assumptions'!$C$95:$C$104,0),MATCH(CG$4,'Model Assumptions'!$C$95:$P$95,0))*_TotalRevenueCash</f>
        <v>-71233.497142727356</v>
      </c>
      <c r="CH177" s="150">
        <f ca="1">-INDEX(Costs,MATCH($C177,'Model Assumptions'!$C$95:$C$104,0),MATCH(CH$4,'Model Assumptions'!$C$95:$P$95,0))*_TotalRevenueCash</f>
        <v>-71517.575074185297</v>
      </c>
      <c r="CI177" s="150">
        <f ca="1">-INDEX(Costs,MATCH($C177,'Model Assumptions'!$C$95:$C$104,0),MATCH(CI$4,'Model Assumptions'!$C$95:$P$95,0))*_TotalRevenueCash</f>
        <v>-71779.068988705898</v>
      </c>
      <c r="CJ177" s="150">
        <f ca="1">-INDEX(Costs,MATCH($C177,'Model Assumptions'!$C$95:$C$104,0),MATCH(CJ$4,'Model Assumptions'!$C$95:$P$95,0))*_TotalRevenueCash</f>
        <v>-72017.809861706075</v>
      </c>
      <c r="CK177" s="150">
        <f ca="1">-INDEX(Costs,MATCH($C177,'Model Assumptions'!$C$95:$C$104,0),MATCH(CK$4,'Model Assumptions'!$C$95:$P$95,0))*_TotalRevenueCash</f>
        <v>-72233.622461553503</v>
      </c>
      <c r="CL177" s="150">
        <f ca="1">-INDEX(Costs,MATCH($C177,'Model Assumptions'!$C$95:$C$104,0),MATCH(CL$4,'Model Assumptions'!$C$95:$P$95,0))*_TotalRevenueCash</f>
        <v>-72426.325253691277</v>
      </c>
      <c r="CM177" s="150">
        <f ca="1">-INDEX(Costs,MATCH($C177,'Model Assumptions'!$C$95:$C$104,0),MATCH(CM$4,'Model Assumptions'!$C$95:$P$95,0))*_TotalRevenueCash</f>
        <v>-72595.730302562282</v>
      </c>
      <c r="CN177" s="150">
        <f ca="1">-INDEX(Costs,MATCH($C177,'Model Assumptions'!$C$95:$C$104,0),MATCH(CN$4,'Model Assumptions'!$C$95:$P$95,0))*_TotalRevenueCash</f>
        <v>-72741.643171292249</v>
      </c>
      <c r="CO177" s="150">
        <f ca="1">-INDEX(Costs,MATCH($C177,'Model Assumptions'!$C$95:$C$104,0),MATCH(CO$4,'Model Assumptions'!$C$95:$P$95,0))*_TotalRevenueCash</f>
        <v>-72863.86281908954</v>
      </c>
      <c r="CP177" s="150">
        <f ca="1">-INDEX(Costs,MATCH($C177,'Model Assumptions'!$C$95:$C$104,0),MATCH(CP$4,'Model Assumptions'!$C$95:$P$95,0))*_TotalRevenueCash</f>
        <v>-72958.469428554163</v>
      </c>
      <c r="CQ177" s="150">
        <f ca="1">-INDEX(Costs,MATCH($C177,'Model Assumptions'!$C$95:$C$104,0),MATCH(CQ$4,'Model Assumptions'!$C$95:$P$95,0))*_TotalRevenueCash</f>
        <v>-73043.873706981627</v>
      </c>
      <c r="CR177" s="150">
        <f ca="1">-INDEX(Costs,MATCH($C177,'Model Assumptions'!$C$95:$C$104,0),MATCH(CR$4,'Model Assumptions'!$C$95:$P$95,0))*_TotalRevenueCash</f>
        <v>-73120.002629461014</v>
      </c>
      <c r="CS177" s="150">
        <f ca="1">-INDEX(Costs,MATCH($C177,'Model Assumptions'!$C$95:$C$104,0),MATCH(CS$4,'Model Assumptions'!$C$95:$P$95,0))*_TotalRevenueCash</f>
        <v>-73186.780523288544</v>
      </c>
      <c r="CT177" s="150">
        <f ca="1">-INDEX(Costs,MATCH($C177,'Model Assumptions'!$C$95:$C$104,0),MATCH(CT$4,'Model Assumptions'!$C$95:$P$95,0))*_TotalRevenueCash</f>
        <v>-73244.129103962201</v>
      </c>
      <c r="CU177" s="150">
        <f ca="1">-INDEX(Costs,MATCH($C177,'Model Assumptions'!$C$95:$C$104,0),MATCH(CU$4,'Model Assumptions'!$C$95:$P$95,0))*_TotalRevenueCash</f>
        <v>-73291.967433929196</v>
      </c>
      <c r="CV177" s="150">
        <f ca="1">-INDEX(Costs,MATCH($C177,'Model Assumptions'!$C$95:$C$104,0),MATCH(CV$4,'Model Assumptions'!$C$95:$P$95,0))*_TotalRevenueCash</f>
        <v>-73327.659317812257</v>
      </c>
      <c r="CW177" s="150">
        <f ca="1">-INDEX(Costs,MATCH($C177,'Model Assumptions'!$C$95:$C$104,0),MATCH(CW$4,'Model Assumptions'!$C$95:$P$95,0))*_TotalRevenueCash</f>
        <v>-73361.256647957693</v>
      </c>
      <c r="CX177" s="150">
        <f ca="1">-INDEX(Costs,MATCH($C177,'Model Assumptions'!$C$95:$C$104,0),MATCH(CX$4,'Model Assumptions'!$C$95:$P$95,0))*_TotalRevenueCash</f>
        <v>-73393.208364217979</v>
      </c>
      <c r="CY177" s="150">
        <f ca="1">-INDEX(Costs,MATCH($C177,'Model Assumptions'!$C$95:$C$104,0),MATCH(CY$4,'Model Assumptions'!$C$95:$P$95,0))*_TotalRevenueCash</f>
        <v>-73423.504729920242</v>
      </c>
      <c r="CZ177" s="150">
        <f ca="1">-INDEX(Costs,MATCH($C177,'Model Assumptions'!$C$95:$C$104,0),MATCH(CZ$4,'Model Assumptions'!$C$95:$P$95,0))*_TotalRevenueCash</f>
        <v>-73452.13558190217</v>
      </c>
      <c r="DA177" s="150">
        <f ca="1">-INDEX(Costs,MATCH($C177,'Model Assumptions'!$C$95:$C$104,0),MATCH(DA$4,'Model Assumptions'!$C$95:$P$95,0))*_TotalRevenueCash</f>
        <v>-73479.090324299716</v>
      </c>
      <c r="DB177" s="150">
        <f ca="1">-INDEX(Costs,MATCH($C177,'Model Assumptions'!$C$95:$C$104,0),MATCH(DB$4,'Model Assumptions'!$C$95:$P$95,0))*_TotalRevenueCash</f>
        <v>-73504.317334267427</v>
      </c>
      <c r="DC177" s="150">
        <f ca="1">-INDEX(Costs,MATCH($C177,'Model Assumptions'!$C$95:$C$104,0),MATCH(DC$4,'Model Assumptions'!$C$95:$P$95,0))*_TotalRevenueCash</f>
        <v>-73528.056004832266</v>
      </c>
      <c r="DD177" s="150">
        <f ca="1">-INDEX(Costs,MATCH($C177,'Model Assumptions'!$C$95:$C$104,0),MATCH(DD$4,'Model Assumptions'!$C$95:$P$95,0))*_TotalRevenueCash</f>
        <v>-73550.364243984761</v>
      </c>
      <c r="DE177" s="150">
        <f ca="1">-INDEX(Costs,MATCH($C177,'Model Assumptions'!$C$95:$C$104,0),MATCH(DE$4,'Model Assumptions'!$C$95:$P$95,0))*_TotalRevenueCash</f>
        <v>-73571.232495144883</v>
      </c>
      <c r="DF177" s="150">
        <f ca="1">-INDEX(Costs,MATCH($C177,'Model Assumptions'!$C$95:$C$104,0),MATCH(DF$4,'Model Assumptions'!$C$95:$P$95,0))*_TotalRevenueCash</f>
        <v>-73590.650820080555</v>
      </c>
      <c r="DG177" s="150">
        <f ca="1">-INDEX(Costs,MATCH($C177,'Model Assumptions'!$C$95:$C$104,0),MATCH(DG$4,'Model Assumptions'!$C$95:$P$95,0))*_TotalRevenueCash</f>
        <v>-73608.608893179728</v>
      </c>
      <c r="DH177" s="150">
        <f ca="1">-INDEX(Costs,MATCH($C177,'Model Assumptions'!$C$95:$C$104,0),MATCH(DH$4,'Model Assumptions'!$C$95:$P$95,0))*_TotalRevenueCash</f>
        <v>-73625.095995589072</v>
      </c>
      <c r="DI177" s="150">
        <f ca="1">-INDEX(Costs,MATCH($C177,'Model Assumptions'!$C$95:$C$104,0),MATCH(DI$4,'Model Assumptions'!$C$95:$P$95,0))*_TotalRevenueCash</f>
        <v>-73640.101009216276</v>
      </c>
      <c r="DJ177" s="150">
        <f ca="1">-INDEX(Costs,MATCH($C177,'Model Assumptions'!$C$95:$C$104,0),MATCH(DJ$4,'Model Assumptions'!$C$95:$P$95,0))*_TotalRevenueCash</f>
        <v>-73653.612410593996</v>
      </c>
      <c r="DK177" s="150">
        <f ca="1">-INDEX(Costs,MATCH($C177,'Model Assumptions'!$C$95:$C$104,0),MATCH(DK$4,'Model Assumptions'!$C$95:$P$95,0))*_TotalRevenueCash</f>
        <v>-73665.618264602512</v>
      </c>
      <c r="DL177" s="150">
        <f ca="1">-INDEX(Costs,MATCH($C177,'Model Assumptions'!$C$95:$C$104,0),MATCH(DL$4,'Model Assumptions'!$C$95:$P$95,0))*_TotalRevenueCash</f>
        <v>-73676.106218048342</v>
      </c>
      <c r="DM177" s="150">
        <f ca="1">-INDEX(Costs,MATCH($C177,'Model Assumptions'!$C$95:$C$104,0),MATCH(DM$4,'Model Assumptions'!$C$95:$P$95,0))*_TotalRevenueCash</f>
        <v>-73685.063493096721</v>
      </c>
      <c r="DN177" s="150">
        <f ca="1">-INDEX(Costs,MATCH($C177,'Model Assumptions'!$C$95:$C$104,0),MATCH(DN$4,'Model Assumptions'!$C$95:$P$95,0))*_TotalRevenueCash</f>
        <v>-73692.228978069848</v>
      </c>
      <c r="DO177" s="150">
        <f ca="1">-INDEX(Costs,MATCH($C177,'Model Assumptions'!$C$95:$C$104,0),MATCH(DO$4,'Model Assumptions'!$C$95:$P$95,0))*_TotalRevenueCash</f>
        <v>-73698.786394315292</v>
      </c>
      <c r="DP177" s="150">
        <f ca="1">-INDEX(Costs,MATCH($C177,'Model Assumptions'!$C$95:$C$104,0),MATCH(DP$4,'Model Assumptions'!$C$95:$P$95,0))*_TotalRevenueCash</f>
        <v>-73704.731094848335</v>
      </c>
      <c r="DQ177" s="150">
        <f ca="1">-INDEX(Costs,MATCH($C177,'Model Assumptions'!$C$95:$C$104,0),MATCH(DQ$4,'Model Assumptions'!$C$95:$P$95,0))*_TotalRevenueCash</f>
        <v>-73710.058263995132</v>
      </c>
      <c r="DR177" s="150">
        <f ca="1">-INDEX(Costs,MATCH($C177,'Model Assumptions'!$C$95:$C$104,0),MATCH(DR$4,'Model Assumptions'!$C$95:$P$95,0))*_TotalRevenueCash</f>
        <v>-73714.762915381871</v>
      </c>
      <c r="DS177" s="150">
        <f ca="1">-INDEX(Costs,MATCH($C177,'Model Assumptions'!$C$95:$C$104,0),MATCH(DS$4,'Model Assumptions'!$C$95:$P$95,0))*_TotalRevenueCash</f>
        <v>-73718.839889264797</v>
      </c>
      <c r="DT177" s="150">
        <f ca="1">-INDEX(Costs,MATCH($C177,'Model Assumptions'!$C$95:$C$104,0),MATCH(DT$4,'Model Assumptions'!$C$95:$P$95,0))*_TotalRevenueCash</f>
        <v>-73722.283849799191</v>
      </c>
      <c r="DU177" s="150">
        <f ca="1">-INDEX(Costs,MATCH($C177,'Model Assumptions'!$C$95:$C$104,0),MATCH(DU$4,'Model Assumptions'!$C$95:$P$95,0))*_TotalRevenueCash</f>
        <v>-73725.089282246292</v>
      </c>
      <c r="DV177" s="150">
        <f ca="1">-INDEX(Costs,MATCH($C177,'Model Assumptions'!$C$95:$C$104,0),MATCH(DV$4,'Model Assumptions'!$C$95:$P$95,0))*_TotalRevenueCash</f>
        <v>-73727.250490117367</v>
      </c>
      <c r="DW177" s="150">
        <f ca="1">-INDEX(Costs,MATCH($C177,'Model Assumptions'!$C$95:$C$104,0),MATCH(DW$4,'Model Assumptions'!$C$95:$P$95,0))*_TotalRevenueCash</f>
        <v>-73728.761592253111</v>
      </c>
      <c r="DX177" s="150">
        <f ca="1">-INDEX(Costs,MATCH($C177,'Model Assumptions'!$C$95:$C$104,0),MATCH(DX$4,'Model Assumptions'!$C$95:$P$95,0))*_TotalRevenueCash</f>
        <v>-73729.616519837786</v>
      </c>
      <c r="DY177" s="150">
        <f ca="1">-INDEX(Costs,MATCH($C177,'Model Assumptions'!$C$95:$C$104,0),MATCH(DY$4,'Model Assumptions'!$C$95:$P$95,0))*_TotalRevenueCash</f>
        <v>-73729.809013346283</v>
      </c>
    </row>
    <row r="178" spans="3:129" outlineLevel="1">
      <c r="C178" s="68" t="s">
        <v>413</v>
      </c>
      <c r="D178" s="56"/>
      <c r="E178" s="56"/>
      <c r="F178" s="56" t="s">
        <v>348</v>
      </c>
      <c r="G178" s="56"/>
      <c r="H178" s="56"/>
      <c r="I178" s="56"/>
      <c r="J178" s="241">
        <f ca="1">SUM(J171:J177)</f>
        <v>-780344.77303234173</v>
      </c>
      <c r="K178" s="241">
        <f t="shared" ref="K178:AO178" ca="1" si="410">SUM(K171:K177)</f>
        <v>-792039.3191002626</v>
      </c>
      <c r="L178" s="241">
        <f t="shared" ca="1" si="410"/>
        <v>-804217.66400750412</v>
      </c>
      <c r="M178" s="241">
        <f t="shared" ca="1" si="410"/>
        <v>-816886.98465167347</v>
      </c>
      <c r="N178" s="241">
        <f t="shared" ca="1" si="410"/>
        <v>-830054.62645912101</v>
      </c>
      <c r="O178" s="241">
        <f t="shared" ca="1" si="410"/>
        <v>-843728.10650560842</v>
      </c>
      <c r="P178" s="241">
        <f t="shared" ca="1" si="410"/>
        <v>-857915.1167018878</v>
      </c>
      <c r="Q178" s="241">
        <f t="shared" ca="1" si="410"/>
        <v>-872623.52704546624</v>
      </c>
      <c r="R178" s="241">
        <f t="shared" ca="1" si="410"/>
        <v>-887861.38893985574</v>
      </c>
      <c r="S178" s="241">
        <f t="shared" ca="1" si="410"/>
        <v>-903636.93858263339</v>
      </c>
      <c r="T178" s="241">
        <f t="shared" ca="1" si="410"/>
        <v>-919958.60042366188</v>
      </c>
      <c r="U178" s="241">
        <f t="shared" ca="1" si="410"/>
        <v>-936834.99069485266</v>
      </c>
      <c r="V178" s="241">
        <f t="shared" ca="1" si="410"/>
        <v>-954956.6313552236</v>
      </c>
      <c r="W178" s="241">
        <f t="shared" ca="1" si="410"/>
        <v>-969545.76845870283</v>
      </c>
      <c r="X178" s="241">
        <f t="shared" ca="1" si="410"/>
        <v>-984480.27267341362</v>
      </c>
      <c r="Y178" s="241">
        <f t="shared" ca="1" si="410"/>
        <v>-999766.51549788855</v>
      </c>
      <c r="Z178" s="241">
        <f t="shared" ca="1" si="410"/>
        <v>-1015411.0012190687</v>
      </c>
      <c r="AA178" s="241">
        <f t="shared" ca="1" si="410"/>
        <v>-1031420.3695144857</v>
      </c>
      <c r="AB178" s="241">
        <f t="shared" ca="1" si="410"/>
        <v>-1047801.3981070262</v>
      </c>
      <c r="AC178" s="241">
        <f t="shared" ca="1" si="410"/>
        <v>-1064561.0054733208</v>
      </c>
      <c r="AD178" s="241">
        <f t="shared" ca="1" si="410"/>
        <v>-1081706.2536068254</v>
      </c>
      <c r="AE178" s="241">
        <f t="shared" ca="1" si="410"/>
        <v>-1099244.3508366852</v>
      </c>
      <c r="AF178" s="241">
        <f t="shared" ca="1" si="410"/>
        <v>-1117182.6547034904</v>
      </c>
      <c r="AG178" s="241">
        <f t="shared" ca="1" si="410"/>
        <v>-1135528.6748930565</v>
      </c>
      <c r="AH178" s="241">
        <f t="shared" ca="1" si="410"/>
        <v>-1155073.2864873421</v>
      </c>
      <c r="AI178" s="241">
        <f t="shared" ca="1" si="410"/>
        <v>-1171213.4583878317</v>
      </c>
      <c r="AJ178" s="241">
        <f t="shared" ca="1" si="410"/>
        <v>-1187701.4961958753</v>
      </c>
      <c r="AK178" s="241">
        <f t="shared" ca="1" si="410"/>
        <v>-1204544.1066049284</v>
      </c>
      <c r="AL178" s="241">
        <f t="shared" ca="1" si="410"/>
        <v>-1221748.132948563</v>
      </c>
      <c r="AM178" s="241">
        <f t="shared" ca="1" si="410"/>
        <v>-1239320.5579082067</v>
      </c>
      <c r="AN178" s="241">
        <f t="shared" ca="1" si="410"/>
        <v>-1257795.0522064646</v>
      </c>
      <c r="AO178" s="241">
        <f t="shared" ca="1" si="410"/>
        <v>-1274547.1860606382</v>
      </c>
      <c r="AP178" s="241">
        <f t="shared" ref="AP178:BU178" ca="1" si="411">SUM(AP171:AP177)</f>
        <v>-1291643.9275805971</v>
      </c>
      <c r="AQ178" s="241">
        <f t="shared" ca="1" si="411"/>
        <v>-1309092.0732697702</v>
      </c>
      <c r="AR178" s="241">
        <f t="shared" ca="1" si="411"/>
        <v>-1326898.5565181542</v>
      </c>
      <c r="AS178" s="241">
        <f t="shared" ca="1" si="411"/>
        <v>-1345070.4503304781</v>
      </c>
      <c r="AT178" s="241">
        <f t="shared" ca="1" si="411"/>
        <v>-1278100.6635061393</v>
      </c>
      <c r="AU178" s="241">
        <f t="shared" ca="1" si="411"/>
        <v>-1295346.6530452981</v>
      </c>
      <c r="AV178" s="241">
        <f t="shared" ca="1" si="411"/>
        <v>-1312944.5764998258</v>
      </c>
      <c r="AW178" s="241">
        <f t="shared" ca="1" si="411"/>
        <v>-1330901.4024067849</v>
      </c>
      <c r="AX178" s="241">
        <f t="shared" ca="1" si="411"/>
        <v>-1349224.2393753899</v>
      </c>
      <c r="AY178" s="241">
        <f t="shared" ca="1" si="411"/>
        <v>-1367920.3388814388</v>
      </c>
      <c r="AZ178" s="241">
        <f t="shared" ca="1" si="411"/>
        <v>-1386997.0981176998</v>
      </c>
      <c r="BA178" s="241">
        <f t="shared" ca="1" si="411"/>
        <v>-1406462.0629013767</v>
      </c>
      <c r="BB178" s="241">
        <f t="shared" ca="1" si="411"/>
        <v>-1426322.9306397904</v>
      </c>
      <c r="BC178" s="241">
        <f t="shared" ca="1" si="411"/>
        <v>-1446587.5533554447</v>
      </c>
      <c r="BD178" s="241">
        <f t="shared" ca="1" si="411"/>
        <v>-1467263.9407716608</v>
      </c>
      <c r="BE178" s="241">
        <f t="shared" ca="1" si="411"/>
        <v>-1488360.2634599861</v>
      </c>
      <c r="BF178" s="241">
        <f t="shared" ca="1" si="411"/>
        <v>-1509937.1137635175</v>
      </c>
      <c r="BG178" s="241">
        <f t="shared" ca="1" si="411"/>
        <v>-1531699.7702263324</v>
      </c>
      <c r="BH178" s="241">
        <f t="shared" ca="1" si="411"/>
        <v>-1553903.2490455904</v>
      </c>
      <c r="BI178" s="241">
        <f t="shared" ca="1" si="411"/>
        <v>-1576556.3109761488</v>
      </c>
      <c r="BJ178" s="241">
        <f t="shared" ca="1" si="411"/>
        <v>-1599667.892544884</v>
      </c>
      <c r="BK178" s="241">
        <f t="shared" ca="1" si="411"/>
        <v>-1623247.1095605646</v>
      </c>
      <c r="BL178" s="241">
        <f t="shared" ca="1" si="411"/>
        <v>-1647303.2606939736</v>
      </c>
      <c r="BM178" s="241">
        <f t="shared" ca="1" si="411"/>
        <v>-1671845.8311296913</v>
      </c>
      <c r="BN178" s="241">
        <f t="shared" ca="1" si="411"/>
        <v>-1696884.4962909673</v>
      </c>
      <c r="BO178" s="241">
        <f t="shared" ca="1" si="411"/>
        <v>-1722429.1256391443</v>
      </c>
      <c r="BP178" s="241">
        <f t="shared" ca="1" si="411"/>
        <v>-1748489.7865491246</v>
      </c>
      <c r="BQ178" s="241">
        <f t="shared" ca="1" si="411"/>
        <v>-1775076.7482623942</v>
      </c>
      <c r="BR178" s="241">
        <f t="shared" ca="1" si="411"/>
        <v>-1860505.2635080176</v>
      </c>
      <c r="BS178" s="241">
        <f t="shared" ca="1" si="411"/>
        <v>-1883570.734763402</v>
      </c>
      <c r="BT178" s="241">
        <f t="shared" ca="1" si="411"/>
        <v>-1905394.5586727234</v>
      </c>
      <c r="BU178" s="241">
        <f t="shared" ca="1" si="411"/>
        <v>-1925968.9318567722</v>
      </c>
      <c r="BV178" s="241">
        <f t="shared" ref="BV178:CB178" ca="1" si="412">SUM(BV171:BV177)</f>
        <v>-1945285.7245730776</v>
      </c>
      <c r="BW178" s="241">
        <f t="shared" ca="1" si="412"/>
        <v>-1963336.4758915994</v>
      </c>
      <c r="BX178" s="241">
        <f t="shared" ca="1" si="412"/>
        <v>-1980112.3887569024</v>
      </c>
      <c r="BY178" s="241">
        <f t="shared" ca="1" si="412"/>
        <v>-1995604.3249347187</v>
      </c>
      <c r="BZ178" s="241">
        <f t="shared" ca="1" si="412"/>
        <v>-2009802.7998407451</v>
      </c>
      <c r="CA178" s="241">
        <f t="shared" ca="1" si="412"/>
        <v>-2022697.9772495013</v>
      </c>
      <c r="CB178" s="241">
        <f t="shared" ca="1" si="412"/>
        <v>-2034279.663880995</v>
      </c>
      <c r="CC178" s="241">
        <f ca="1">SUM(CC171:CC177)</f>
        <v>-2044537.3038629345</v>
      </c>
      <c r="CD178" s="241">
        <f t="shared" ref="CD178:DY178" ca="1" si="413">SUM(CD171:CD177)</f>
        <v>-2053300.5530740749</v>
      </c>
      <c r="CE178" s="241">
        <f t="shared" ca="1" si="413"/>
        <v>-2061528.6072854698</v>
      </c>
      <c r="CF178" s="241">
        <f t="shared" ca="1" si="413"/>
        <v>-2069238.1055758861</v>
      </c>
      <c r="CG178" s="241">
        <f t="shared" ca="1" si="413"/>
        <v>-2076425.5079969564</v>
      </c>
      <c r="CH178" s="241">
        <f t="shared" ca="1" si="413"/>
        <v>-2083087.1354896454</v>
      </c>
      <c r="CI178" s="241">
        <f t="shared" ca="1" si="413"/>
        <v>-2089219.1677851535</v>
      </c>
      <c r="CJ178" s="241">
        <f t="shared" ca="1" si="413"/>
        <v>-2094817.6412570071</v>
      </c>
      <c r="CK178" s="241">
        <f t="shared" ca="1" si="413"/>
        <v>-2099878.44672343</v>
      </c>
      <c r="CL178" s="241">
        <f t="shared" ca="1" si="413"/>
        <v>-2104397.3271990605</v>
      </c>
      <c r="CM178" s="241">
        <f t="shared" ca="1" si="413"/>
        <v>-2108369.8755950853</v>
      </c>
      <c r="CN178" s="241">
        <f t="shared" ca="1" si="413"/>
        <v>-2111791.5323668029</v>
      </c>
      <c r="CO178" s="241">
        <f t="shared" ca="1" si="413"/>
        <v>-2114657.5831076493</v>
      </c>
      <c r="CP178" s="241">
        <f t="shared" ca="1" si="413"/>
        <v>-2116876.1080995947</v>
      </c>
      <c r="CQ178" s="241">
        <f t="shared" ca="1" si="413"/>
        <v>-2118878.838428719</v>
      </c>
      <c r="CR178" s="241">
        <f t="shared" ca="1" si="413"/>
        <v>-2120664.0616608611</v>
      </c>
      <c r="CS178" s="241">
        <f t="shared" ca="1" si="413"/>
        <v>-2122230.0032711159</v>
      </c>
      <c r="CT178" s="241">
        <f t="shared" ca="1" si="413"/>
        <v>-2123574.8274879134</v>
      </c>
      <c r="CU178" s="241">
        <f t="shared" ca="1" si="413"/>
        <v>-2124696.6363256392</v>
      </c>
      <c r="CV178" s="241">
        <f t="shared" ca="1" si="413"/>
        <v>-2125533.6110026971</v>
      </c>
      <c r="CW178" s="241">
        <f t="shared" ca="1" si="413"/>
        <v>-2126321.4683946078</v>
      </c>
      <c r="CX178" s="241">
        <f t="shared" ca="1" si="413"/>
        <v>-2127070.736140911</v>
      </c>
      <c r="CY178" s="241">
        <f t="shared" ca="1" si="413"/>
        <v>-2127781.1859166296</v>
      </c>
      <c r="CZ178" s="241">
        <f t="shared" ca="1" si="413"/>
        <v>-2128452.5793956057</v>
      </c>
      <c r="DA178" s="241">
        <f t="shared" ca="1" si="413"/>
        <v>-2129084.6681048283</v>
      </c>
      <c r="DB178" s="241">
        <f t="shared" ca="1" si="413"/>
        <v>-2129676.2414885708</v>
      </c>
      <c r="DC178" s="241">
        <f t="shared" ca="1" si="413"/>
        <v>-2130232.9133133166</v>
      </c>
      <c r="DD178" s="241">
        <f t="shared" ca="1" si="413"/>
        <v>-2130756.0415214426</v>
      </c>
      <c r="DE178" s="241">
        <f t="shared" ca="1" si="413"/>
        <v>-2131245.4020111472</v>
      </c>
      <c r="DF178" s="241">
        <f t="shared" ca="1" si="413"/>
        <v>-2131700.7617308889</v>
      </c>
      <c r="DG178" s="241">
        <f t="shared" ca="1" si="413"/>
        <v>-2132121.8785450645</v>
      </c>
      <c r="DH178" s="241">
        <f t="shared" ca="1" si="413"/>
        <v>-2132508.5010965634</v>
      </c>
      <c r="DI178" s="241">
        <f t="shared" ca="1" si="413"/>
        <v>-2132860.3686661217</v>
      </c>
      <c r="DJ178" s="241">
        <f t="shared" ca="1" si="413"/>
        <v>-2133177.2110284292</v>
      </c>
      <c r="DK178" s="241">
        <f t="shared" ca="1" si="413"/>
        <v>-2133458.7483049287</v>
      </c>
      <c r="DL178" s="241">
        <f t="shared" ca="1" si="413"/>
        <v>-2133704.6908132336</v>
      </c>
      <c r="DM178" s="241">
        <f t="shared" ca="1" si="413"/>
        <v>-2133914.7389131179</v>
      </c>
      <c r="DN178" s="241">
        <f t="shared" ca="1" si="413"/>
        <v>-2134082.7695357376</v>
      </c>
      <c r="DO178" s="241">
        <f t="shared" ca="1" si="413"/>
        <v>-2134236.5409466932</v>
      </c>
      <c r="DP178" s="241">
        <f t="shared" ca="1" si="413"/>
        <v>-2134375.9441741933</v>
      </c>
      <c r="DQ178" s="241">
        <f t="shared" ca="1" si="413"/>
        <v>-2134500.8662906857</v>
      </c>
      <c r="DR178" s="241">
        <f t="shared" ca="1" si="413"/>
        <v>-2134611.1903657047</v>
      </c>
      <c r="DS178" s="241">
        <f t="shared" ca="1" si="413"/>
        <v>-2134706.7954032593</v>
      </c>
      <c r="DT178" s="241">
        <f t="shared" ca="1" si="413"/>
        <v>-2134787.5562777906</v>
      </c>
      <c r="DU178" s="241">
        <f t="shared" ca="1" si="413"/>
        <v>-2134853.3436686755</v>
      </c>
      <c r="DV178" s="241">
        <f t="shared" ca="1" si="413"/>
        <v>-2134904.0239932523</v>
      </c>
      <c r="DW178" s="241">
        <f t="shared" ca="1" si="413"/>
        <v>-2134939.4593383353</v>
      </c>
      <c r="DX178" s="241">
        <f t="shared" ca="1" si="413"/>
        <v>-2134959.507390196</v>
      </c>
      <c r="DY178" s="241">
        <f t="shared" ca="1" si="413"/>
        <v>-2134964.0213629706</v>
      </c>
    </row>
    <row r="179" spans="3:129" outlineLevel="1">
      <c r="C179" s="68" t="s">
        <v>205</v>
      </c>
      <c r="D179" s="56"/>
      <c r="E179" s="56"/>
      <c r="F179" s="120" t="s">
        <v>349</v>
      </c>
      <c r="G179" s="56"/>
      <c r="H179" s="56"/>
      <c r="I179" s="56"/>
      <c r="J179" s="89">
        <f t="shared" ref="J179:AO179" ca="1" si="414">J169+J178</f>
        <v>-941880.03405909613</v>
      </c>
      <c r="K179" s="89">
        <f t="shared" ca="1" si="414"/>
        <v>-957133.62225037813</v>
      </c>
      <c r="L179" s="89">
        <f t="shared" ca="1" si="414"/>
        <v>-972967.71608974726</v>
      </c>
      <c r="M179" s="89">
        <f t="shared" ca="1" si="414"/>
        <v>-989391.1713513229</v>
      </c>
      <c r="N179" s="89">
        <f t="shared" ca="1" si="414"/>
        <v>-1006413.0484680948</v>
      </c>
      <c r="O179" s="89">
        <f t="shared" ca="1" si="414"/>
        <v>-1024042.6163496671</v>
      </c>
      <c r="P179" s="89">
        <f t="shared" ca="1" si="414"/>
        <v>-1042289.3562791112</v>
      </c>
      <c r="Q179" s="89">
        <f t="shared" ca="1" si="414"/>
        <v>-1061162.9658904825</v>
      </c>
      <c r="R179" s="89">
        <f t="shared" ca="1" si="414"/>
        <v>-1080673.3632285858</v>
      </c>
      <c r="S179" s="89">
        <f t="shared" ca="1" si="414"/>
        <v>-1100830.6908926105</v>
      </c>
      <c r="T179" s="89">
        <f t="shared" ca="1" si="414"/>
        <v>-1121645.3202652838</v>
      </c>
      <c r="U179" s="89">
        <f t="shared" ca="1" si="414"/>
        <v>-1143127.8558292254</v>
      </c>
      <c r="V179" s="89">
        <f t="shared" ca="1" si="414"/>
        <v>-1166963.8561720569</v>
      </c>
      <c r="W179" s="89">
        <f t="shared" ca="1" si="414"/>
        <v>-1186114.8093106321</v>
      </c>
      <c r="X179" s="89">
        <f t="shared" ca="1" si="414"/>
        <v>-1205707.8653981334</v>
      </c>
      <c r="Y179" s="89">
        <f t="shared" ca="1" si="414"/>
        <v>-1225751.2756546778</v>
      </c>
      <c r="Z179" s="89">
        <f t="shared" ca="1" si="414"/>
        <v>-1246253.4622331737</v>
      </c>
      <c r="AA179" s="89">
        <f t="shared" ca="1" si="414"/>
        <v>-1267223.0215788912</v>
      </c>
      <c r="AB179" s="89">
        <f t="shared" ca="1" si="414"/>
        <v>-1288668.7278568188</v>
      </c>
      <c r="AC179" s="89">
        <f t="shared" ca="1" si="414"/>
        <v>-1310599.5364481476</v>
      </c>
      <c r="AD179" s="89">
        <f t="shared" ca="1" si="414"/>
        <v>-1333024.5875172671</v>
      </c>
      <c r="AE179" s="89">
        <f t="shared" ca="1" si="414"/>
        <v>-1355953.2096506734</v>
      </c>
      <c r="AF179" s="89">
        <f t="shared" ca="1" si="414"/>
        <v>-1379394.9235692236</v>
      </c>
      <c r="AG179" s="89">
        <f t="shared" ca="1" si="414"/>
        <v>-1403359.4459151952</v>
      </c>
      <c r="AH179" s="89">
        <f t="shared" ca="1" si="414"/>
        <v>-1431739.5239648609</v>
      </c>
      <c r="AI179" s="89">
        <f t="shared" ca="1" si="414"/>
        <v>-1453520.3235190283</v>
      </c>
      <c r="AJ179" s="89">
        <f t="shared" ca="1" si="414"/>
        <v>-1475764.369354249</v>
      </c>
      <c r="AK179" s="89">
        <f t="shared" ca="1" si="414"/>
        <v>-1498480.6500932442</v>
      </c>
      <c r="AL179" s="89">
        <f t="shared" ca="1" si="414"/>
        <v>-1521678.336894219</v>
      </c>
      <c r="AM179" s="89">
        <f t="shared" ca="1" si="414"/>
        <v>-1545366.7870739412</v>
      </c>
      <c r="AN179" s="89">
        <f t="shared" ca="1" si="414"/>
        <v>-1570719.3583040624</v>
      </c>
      <c r="AO179" s="89">
        <f t="shared" ca="1" si="414"/>
        <v>-1593700.7192086442</v>
      </c>
      <c r="AP179" s="89">
        <f t="shared" ref="AP179:BU179" ca="1" si="415">AP169+AP178</f>
        <v>-1617152.2547547435</v>
      </c>
      <c r="AQ179" s="89">
        <f t="shared" ca="1" si="415"/>
        <v>-1641083.2629609569</v>
      </c>
      <c r="AR179" s="89">
        <f t="shared" ca="1" si="415"/>
        <v>-1665503.2288609953</v>
      </c>
      <c r="AS179" s="89">
        <f t="shared" ca="1" si="415"/>
        <v>-1690421.8282334367</v>
      </c>
      <c r="AT179" s="89">
        <f t="shared" ca="1" si="415"/>
        <v>-1630342.4266363962</v>
      </c>
      <c r="AU179" s="89">
        <f t="shared" ca="1" si="415"/>
        <v>-1654607.410618226</v>
      </c>
      <c r="AV179" s="89">
        <f t="shared" ca="1" si="415"/>
        <v>-1679365.4987893687</v>
      </c>
      <c r="AW179" s="89">
        <f t="shared" ca="1" si="415"/>
        <v>-1704626.4751885145</v>
      </c>
      <c r="AX179" s="89">
        <f t="shared" ca="1" si="415"/>
        <v>-1730400.3203155771</v>
      </c>
      <c r="AY179" s="89">
        <f t="shared" ca="1" si="415"/>
        <v>-1756697.2150531155</v>
      </c>
      <c r="AZ179" s="89">
        <f t="shared" ca="1" si="415"/>
        <v>-1783527.5446662602</v>
      </c>
      <c r="BA179" s="89">
        <f t="shared" ca="1" si="415"/>
        <v>-1810901.902882715</v>
      </c>
      <c r="BB179" s="89">
        <f t="shared" ca="1" si="415"/>
        <v>-1838831.096054435</v>
      </c>
      <c r="BC179" s="89">
        <f t="shared" ca="1" si="415"/>
        <v>-1867326.1474026162</v>
      </c>
      <c r="BD179" s="89">
        <f t="shared" ca="1" si="415"/>
        <v>-1896398.3013476585</v>
      </c>
      <c r="BE179" s="89">
        <f t="shared" ca="1" si="415"/>
        <v>-1926059.0279257987</v>
      </c>
      <c r="BF179" s="89">
        <f t="shared" ca="1" si="415"/>
        <v>-1956609.5915372341</v>
      </c>
      <c r="BG179" s="89">
        <f t="shared" ca="1" si="415"/>
        <v>-1987268.9445916356</v>
      </c>
      <c r="BH179" s="89">
        <f t="shared" ca="1" si="415"/>
        <v>-2018547.6806170233</v>
      </c>
      <c r="BI179" s="89">
        <f t="shared" ca="1" si="415"/>
        <v>-2050458.1253137179</v>
      </c>
      <c r="BJ179" s="89">
        <f t="shared" ca="1" si="415"/>
        <v>-2083012.8515156372</v>
      </c>
      <c r="BK179" s="89">
        <f t="shared" ca="1" si="415"/>
        <v>-2116224.6841267738</v>
      </c>
      <c r="BL179" s="89">
        <f t="shared" ca="1" si="415"/>
        <v>-2150106.7051564599</v>
      </c>
      <c r="BM179" s="89">
        <f ca="1">BM169+BM178</f>
        <v>-2184672.2588554029</v>
      </c>
      <c r="BN179" s="89">
        <f t="shared" ca="1" si="415"/>
        <v>-2219934.9569545011</v>
      </c>
      <c r="BO179" s="89">
        <f t="shared" ca="1" si="415"/>
        <v>-2255908.6840084959</v>
      </c>
      <c r="BP179" s="89">
        <f t="shared" ca="1" si="415"/>
        <v>-2292607.6028465573</v>
      </c>
      <c r="BQ179" s="89">
        <f t="shared" ca="1" si="415"/>
        <v>-2330046.160131935</v>
      </c>
      <c r="BR179" s="89">
        <f t="shared" ca="1" si="415"/>
        <v>-2418592.5725471275</v>
      </c>
      <c r="BS179" s="89">
        <f t="shared" ca="1" si="415"/>
        <v>-2444594.8237051303</v>
      </c>
      <c r="BT179" s="89">
        <f t="shared" ca="1" si="415"/>
        <v>-2469230.862258601</v>
      </c>
      <c r="BU179" s="89">
        <f t="shared" ca="1" si="415"/>
        <v>-2492492.2265317258</v>
      </c>
      <c r="BV179" s="89">
        <f t="shared" ref="BV179:CB179" ca="1" si="416">BV169+BV178</f>
        <v>-2514370.0969894119</v>
      </c>
      <c r="BW179" s="89">
        <f t="shared" ca="1" si="416"/>
        <v>-2534855.2909663594</v>
      </c>
      <c r="BX179" s="89">
        <f t="shared" ca="1" si="416"/>
        <v>-2553938.2572718523</v>
      </c>
      <c r="BY179" s="89">
        <f t="shared" ca="1" si="416"/>
        <v>-2571609.0706679723</v>
      </c>
      <c r="BZ179" s="89">
        <f t="shared" ca="1" si="416"/>
        <v>-2587857.426218885</v>
      </c>
      <c r="CA179" s="89">
        <f t="shared" ca="1" si="416"/>
        <v>-2602672.6335088196</v>
      </c>
      <c r="CB179" s="89">
        <f t="shared" ca="1" si="416"/>
        <v>-2616043.6107262755</v>
      </c>
      <c r="CC179" s="89">
        <f ca="1">CC169+CC178</f>
        <v>-2627958.8786119856</v>
      </c>
      <c r="CD179" s="89">
        <f t="shared" ref="CD179:DY179" ca="1" si="417">CD169+CD178</f>
        <v>-2638015.6200109646</v>
      </c>
      <c r="CE179" s="89">
        <f t="shared" ca="1" si="417"/>
        <v>-2647468.0826860955</v>
      </c>
      <c r="CF179" s="89">
        <f t="shared" ca="1" si="417"/>
        <v>-2656352.4111999781</v>
      </c>
      <c r="CG179" s="89">
        <f t="shared" ca="1" si="417"/>
        <v>-2664664.8147035344</v>
      </c>
      <c r="CH179" s="89">
        <f t="shared" ca="1" si="417"/>
        <v>-2672401.3508123648</v>
      </c>
      <c r="CI179" s="89">
        <f t="shared" ca="1" si="417"/>
        <v>-2679557.923333222</v>
      </c>
      <c r="CJ179" s="89">
        <f t="shared" ca="1" si="417"/>
        <v>-2686130.279937448</v>
      </c>
      <c r="CK179" s="89">
        <f t="shared" ca="1" si="417"/>
        <v>-2692114.0097803818</v>
      </c>
      <c r="CL179" s="89">
        <f t="shared" ca="1" si="417"/>
        <v>-2697504.5410657302</v>
      </c>
      <c r="CM179" s="89">
        <f t="shared" ca="1" si="417"/>
        <v>-2702297.1385538867</v>
      </c>
      <c r="CN179" s="89">
        <f t="shared" ca="1" si="417"/>
        <v>-2706486.9010131354</v>
      </c>
      <c r="CO179" s="89">
        <f t="shared" ca="1" si="417"/>
        <v>-2710068.7586126858</v>
      </c>
      <c r="CP179" s="89">
        <f t="shared" ca="1" si="417"/>
        <v>-2712611.1797722187</v>
      </c>
      <c r="CQ179" s="89">
        <f t="shared" ca="1" si="417"/>
        <v>-2714916.3009555126</v>
      </c>
      <c r="CR179" s="89">
        <f t="shared" ca="1" si="417"/>
        <v>-2716982.2600654308</v>
      </c>
      <c r="CS179" s="89">
        <f t="shared" ca="1" si="417"/>
        <v>-2718807.1265054746</v>
      </c>
      <c r="CT179" s="89">
        <f t="shared" ca="1" si="417"/>
        <v>-2720388.9025407694</v>
      </c>
      <c r="CU179" s="89">
        <f t="shared" ca="1" si="417"/>
        <v>-2721725.5222405549</v>
      </c>
      <c r="CV179" s="89">
        <f t="shared" ca="1" si="417"/>
        <v>-2722678.9960543043</v>
      </c>
      <c r="CW179" s="89">
        <f t="shared" ca="1" si="417"/>
        <v>-2723575.4205920738</v>
      </c>
      <c r="CX179" s="89">
        <f t="shared" ca="1" si="417"/>
        <v>-2724429.5327220783</v>
      </c>
      <c r="CY179" s="89">
        <f t="shared" ca="1" si="417"/>
        <v>-2725241.0886051483</v>
      </c>
      <c r="CZ179" s="89">
        <f t="shared" ca="1" si="417"/>
        <v>-2726009.8335012384</v>
      </c>
      <c r="DA179" s="89">
        <f t="shared" ca="1" si="417"/>
        <v>-2726735.5016116574</v>
      </c>
      <c r="DB179" s="89">
        <f t="shared" ca="1" si="417"/>
        <v>-2727416.3597147204</v>
      </c>
      <c r="DC179" s="89">
        <f t="shared" ca="1" si="417"/>
        <v>-2728057.6162082232</v>
      </c>
      <c r="DD179" s="89">
        <f t="shared" ca="1" si="417"/>
        <v>-2728662.1658590459</v>
      </c>
      <c r="DE179" s="89">
        <f t="shared" ca="1" si="417"/>
        <v>-2729229.7698500603</v>
      </c>
      <c r="DF179" s="89">
        <f t="shared" ca="1" si="417"/>
        <v>-2729760.1796345995</v>
      </c>
      <c r="DG179" s="89">
        <f t="shared" ca="1" si="417"/>
        <v>-2730253.1367913955</v>
      </c>
      <c r="DH179" s="89">
        <f ca="1">DH169+DH178</f>
        <v>-2730708.3728761291</v>
      </c>
      <c r="DI179" s="89">
        <f t="shared" ca="1" si="417"/>
        <v>-2731125.609269511</v>
      </c>
      <c r="DJ179" s="89">
        <f t="shared" ca="1" si="417"/>
        <v>-2731504.5570218428</v>
      </c>
      <c r="DK179" s="89">
        <f t="shared" ca="1" si="417"/>
        <v>-2731844.9166939948</v>
      </c>
      <c r="DL179" s="89">
        <f t="shared" ca="1" si="417"/>
        <v>-2732146.3781947149</v>
      </c>
      <c r="DM179" s="89">
        <f t="shared" ca="1" si="417"/>
        <v>-2732408.6206142232</v>
      </c>
      <c r="DN179" s="89">
        <f t="shared" ca="1" si="417"/>
        <v>-2732600.4127847245</v>
      </c>
      <c r="DO179" s="89">
        <f t="shared" ca="1" si="417"/>
        <v>-2732776.5260769548</v>
      </c>
      <c r="DP179" s="89">
        <f t="shared" ca="1" si="417"/>
        <v>-2732936.8420795649</v>
      </c>
      <c r="DQ179" s="89">
        <f t="shared" ca="1" si="417"/>
        <v>-2733081.2380423173</v>
      </c>
      <c r="DR179" s="89">
        <f t="shared" ca="1" si="417"/>
        <v>-2733209.586828013</v>
      </c>
      <c r="DS179" s="89">
        <f t="shared" ca="1" si="417"/>
        <v>-2733321.756844074</v>
      </c>
      <c r="DT179" s="89">
        <f t="shared" ca="1" si="417"/>
        <v>-2733417.6119725625</v>
      </c>
      <c r="DU179" s="89">
        <f t="shared" ca="1" si="417"/>
        <v>-2733497.0114986054</v>
      </c>
      <c r="DV179" s="89">
        <f t="shared" ca="1" si="417"/>
        <v>-2733559.8100372036</v>
      </c>
      <c r="DW179" s="89">
        <f t="shared" ca="1" si="417"/>
        <v>-2733605.857458387</v>
      </c>
      <c r="DX179" s="89">
        <f t="shared" ca="1" si="417"/>
        <v>-2733634.9988106908</v>
      </c>
      <c r="DY179" s="89">
        <f t="shared" ca="1" si="417"/>
        <v>-2733647.0742429104</v>
      </c>
    </row>
    <row r="180" spans="3:129" outlineLevel="1">
      <c r="C180" s="37"/>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row>
    <row r="181" spans="3:129" outlineLevel="1">
      <c r="C181" s="68" t="s">
        <v>7</v>
      </c>
      <c r="D181" s="68"/>
      <c r="E181" s="68"/>
      <c r="F181" s="56" t="s">
        <v>148</v>
      </c>
      <c r="G181" s="68"/>
      <c r="H181" s="68"/>
      <c r="I181" s="68"/>
      <c r="J181" s="90">
        <f t="shared" ref="J181:AO181" ca="1" si="418">+_NetRevenueCash+_NonOperatingIncome+_TotalCOGSCash+_TotalOpex</f>
        <v>4843400.7080839295</v>
      </c>
      <c r="K181" s="90">
        <f t="shared" ca="1" si="418"/>
        <v>-148498.18212375266</v>
      </c>
      <c r="L181" s="90">
        <f t="shared" ca="1" si="418"/>
        <v>-140073.90716981259</v>
      </c>
      <c r="M181" s="90">
        <f t="shared" ca="1" si="418"/>
        <v>-131321.61518067576</v>
      </c>
      <c r="N181" s="90">
        <f t="shared" ca="1" si="418"/>
        <v>-122236.34113099915</v>
      </c>
      <c r="O181" s="90">
        <f t="shared" ca="1" si="418"/>
        <v>-112813.00474177976</v>
      </c>
      <c r="P181" s="90">
        <f t="shared" ca="1" si="418"/>
        <v>-103046.4083348118</v>
      </c>
      <c r="Q181" s="90">
        <f t="shared" ca="1" si="418"/>
        <v>-92931.234642640455</v>
      </c>
      <c r="R181" s="90">
        <f t="shared" ca="1" si="418"/>
        <v>-82462.044573132414</v>
      </c>
      <c r="S181" s="90">
        <f t="shared" ca="1" si="418"/>
        <v>-71633.274927774561</v>
      </c>
      <c r="T181" s="90">
        <f t="shared" ca="1" si="418"/>
        <v>-60439.236072796164</v>
      </c>
      <c r="U181" s="90">
        <f t="shared" ca="1" si="418"/>
        <v>-48874.109562171157</v>
      </c>
      <c r="V181" s="90">
        <f t="shared" ca="1" si="418"/>
        <v>-23466.721897396492</v>
      </c>
      <c r="W181" s="90">
        <f t="shared" ca="1" si="418"/>
        <v>-12390.524288749089</v>
      </c>
      <c r="X181" s="90">
        <f t="shared" ca="1" si="418"/>
        <v>-1046.9602889076341</v>
      </c>
      <c r="Y181" s="90">
        <f t="shared" ca="1" si="418"/>
        <v>10568.859005562495</v>
      </c>
      <c r="Z181" s="90">
        <f t="shared" ca="1" si="418"/>
        <v>22461.92486040527</v>
      </c>
      <c r="AA181" s="90">
        <f t="shared" ca="1" si="418"/>
        <v>34637.332905086223</v>
      </c>
      <c r="AB181" s="90">
        <f t="shared" ca="1" si="418"/>
        <v>3047100.2851746734</v>
      </c>
      <c r="AC181" s="90">
        <f t="shared" ca="1" si="418"/>
        <v>59856.092193024</v>
      </c>
      <c r="AD181" s="90">
        <f t="shared" ca="1" si="418"/>
        <v>72910.175098081585</v>
      </c>
      <c r="AE181" s="90">
        <f t="shared" ca="1" si="418"/>
        <v>86268.06781011424</v>
      </c>
      <c r="AF181" s="90">
        <f t="shared" ca="1" si="418"/>
        <v>99935.419243774377</v>
      </c>
      <c r="AG181" s="90">
        <f t="shared" ca="1" si="418"/>
        <v>113917.99556482187</v>
      </c>
      <c r="AH181" s="90">
        <f t="shared" ca="1" si="418"/>
        <v>140513.63899363833</v>
      </c>
      <c r="AI181" s="90">
        <f t="shared" ca="1" si="418"/>
        <v>152859.42634566571</v>
      </c>
      <c r="AJ181" s="90">
        <f t="shared" ca="1" si="418"/>
        <v>165477.65216077445</v>
      </c>
      <c r="AK181" s="90">
        <f t="shared" ca="1" si="418"/>
        <v>178373.50998106552</v>
      </c>
      <c r="AL181" s="90">
        <f t="shared" ca="1" si="418"/>
        <v>191552.29977175221</v>
      </c>
      <c r="AM181" s="90">
        <f t="shared" ca="1" si="418"/>
        <v>205019.43002410396</v>
      </c>
      <c r="AN181" s="90">
        <f t="shared" ca="1" si="418"/>
        <v>221785.53583735507</v>
      </c>
      <c r="AO181" s="90">
        <f t="shared" ca="1" si="418"/>
        <v>234176.84792408766</v>
      </c>
      <c r="AP181" s="90">
        <f t="shared" ref="AP181:BU181" ca="1" si="419">+_NetRevenueCash+_NonOperatingIncome+_TotalCOGSCash+_TotalOpex</f>
        <v>246824.34661880997</v>
      </c>
      <c r="AQ181" s="90">
        <f t="shared" ca="1" si="419"/>
        <v>259733.0720500201</v>
      </c>
      <c r="AR181" s="90">
        <f t="shared" ca="1" si="419"/>
        <v>272908.16598482034</v>
      </c>
      <c r="AS181" s="90">
        <f t="shared" ca="1" si="419"/>
        <v>286354.87385333516</v>
      </c>
      <c r="AT181" s="90">
        <f t="shared" ca="1" si="419"/>
        <v>396230.30761773651</v>
      </c>
      <c r="AU181" s="90">
        <f t="shared" ca="1" si="419"/>
        <v>412085.45642044721</v>
      </c>
      <c r="AV181" s="90">
        <f t="shared" ca="1" si="419"/>
        <v>428265.5694502499</v>
      </c>
      <c r="AW181" s="90">
        <f t="shared" ca="1" si="419"/>
        <v>444777.06737917732</v>
      </c>
      <c r="AX181" s="90">
        <f t="shared" ca="1" si="419"/>
        <v>461626.50007882528</v>
      </c>
      <c r="AY181" s="90">
        <f t="shared" ca="1" si="419"/>
        <v>478820.54919648869</v>
      </c>
      <c r="AZ181" s="90">
        <f t="shared" ca="1" si="419"/>
        <v>496366.03078288515</v>
      </c>
      <c r="BA181" s="90">
        <f t="shared" ca="1" si="419"/>
        <v>514269.89797252859</v>
      </c>
      <c r="BB181" s="90">
        <f t="shared" ca="1" si="419"/>
        <v>532539.24371776567</v>
      </c>
      <c r="BC181" s="90">
        <f t="shared" ca="1" si="419"/>
        <v>551181.30357759306</v>
      </c>
      <c r="BD181" s="90">
        <f t="shared" ca="1" si="419"/>
        <v>570203.45856230333</v>
      </c>
      <c r="BE181" s="90">
        <f t="shared" ca="1" si="419"/>
        <v>589613.2380351196</v>
      </c>
      <c r="BF181" s="90">
        <f t="shared" ca="1" si="419"/>
        <v>609695.16013337974</v>
      </c>
      <c r="BG181" s="90">
        <f t="shared" ca="1" si="419"/>
        <v>629692.57598020672</v>
      </c>
      <c r="BH181" s="90">
        <f t="shared" ca="1" si="419"/>
        <v>650096.23026262922</v>
      </c>
      <c r="BI181" s="90">
        <f t="shared" ca="1" si="419"/>
        <v>670914.18484817073</v>
      </c>
      <c r="BJ181" s="90">
        <f t="shared" ca="1" si="419"/>
        <v>692154.66347072041</v>
      </c>
      <c r="BK181" s="90">
        <f t="shared" ca="1" si="419"/>
        <v>713826.05496156542</v>
      </c>
      <c r="BL181" s="90">
        <f t="shared" ca="1" si="419"/>
        <v>735936.91654511169</v>
      </c>
      <c r="BM181" s="90">
        <f t="shared" ca="1" si="419"/>
        <v>758495.97720058588</v>
      </c>
      <c r="BN181" s="90">
        <f t="shared" ca="1" si="419"/>
        <v>781512.14109102497</v>
      </c>
      <c r="BO181" s="90">
        <f t="shared" ca="1" si="419"/>
        <v>804994.49106090702</v>
      </c>
      <c r="BP181" s="90">
        <f t="shared" ca="1" si="419"/>
        <v>828952.2922038082</v>
      </c>
      <c r="BQ181" s="90">
        <f t="shared" ca="1" si="419"/>
        <v>853394.99550144747</v>
      </c>
      <c r="BR181" s="90">
        <f t="shared" ca="1" si="419"/>
        <v>816908.05447849678</v>
      </c>
      <c r="BS181" s="90">
        <f t="shared" ca="1" si="419"/>
        <v>840067.99554957636</v>
      </c>
      <c r="BT181" s="90">
        <f t="shared" ca="1" si="419"/>
        <v>862238.22583091026</v>
      </c>
      <c r="BU181" s="90">
        <f t="shared" ca="1" si="419"/>
        <v>883413.48020281503</v>
      </c>
      <c r="BV181" s="90">
        <f t="shared" ref="BV181:DA181" ca="1" si="420">+_NetRevenueCash+_NonOperatingIncome+_TotalCOGSCash+_TotalOpex</f>
        <v>903588.242952256</v>
      </c>
      <c r="BW181" s="90">
        <f t="shared" ca="1" si="420"/>
        <v>922756.74421387725</v>
      </c>
      <c r="BX181" s="90">
        <f t="shared" ca="1" si="420"/>
        <v>940912.95632535499</v>
      </c>
      <c r="BY181" s="90">
        <f t="shared" ca="1" si="420"/>
        <v>958050.59009543853</v>
      </c>
      <c r="BZ181" s="90">
        <f t="shared" ca="1" si="420"/>
        <v>974163.09098313469</v>
      </c>
      <c r="CA181" s="90">
        <f t="shared" ca="1" si="420"/>
        <v>989243.63518637652</v>
      </c>
      <c r="CB181" s="90">
        <f t="shared" ca="1" si="420"/>
        <v>1003285.1256384961</v>
      </c>
      <c r="CC181" s="90">
        <f t="shared" ca="1" si="420"/>
        <v>1016280.1879108204</v>
      </c>
      <c r="CD181" s="90">
        <f t="shared" ca="1" si="420"/>
        <v>1026308.7235669326</v>
      </c>
      <c r="CE181" s="90">
        <f t="shared" ca="1" si="420"/>
        <v>1035774.7540873364</v>
      </c>
      <c r="CF181" s="90">
        <f t="shared" ca="1" si="420"/>
        <v>1044711.6384859793</v>
      </c>
      <c r="CG181" s="90">
        <f t="shared" ca="1" si="420"/>
        <v>1053115.9785077493</v>
      </c>
      <c r="CH181" s="90">
        <f t="shared" ca="1" si="420"/>
        <v>1060984.2360857539</v>
      </c>
      <c r="CI181" s="90">
        <f t="shared" ca="1" si="420"/>
        <v>1068312.7312635644</v>
      </c>
      <c r="CJ181" s="90">
        <f t="shared" ca="1" si="420"/>
        <v>1075097.6400686922</v>
      </c>
      <c r="CK181" s="90">
        <f t="shared" ca="1" si="420"/>
        <v>1081334.992336445</v>
      </c>
      <c r="CL181" s="90">
        <f t="shared" ca="1" si="420"/>
        <v>1087020.6694832118</v>
      </c>
      <c r="CM181" s="90">
        <f t="shared" ca="1" si="420"/>
        <v>1092150.4022282353</v>
      </c>
      <c r="CN181" s="90">
        <f t="shared" ca="1" si="420"/>
        <v>1096719.7682629293</v>
      </c>
      <c r="CO181" s="90">
        <f t="shared" ca="1" si="420"/>
        <v>1100724.1898667361</v>
      </c>
      <c r="CP181" s="90">
        <f t="shared" ca="1" si="420"/>
        <v>1103626.8512955839</v>
      </c>
      <c r="CQ181" s="90">
        <f t="shared" ca="1" si="420"/>
        <v>1106276.1396342446</v>
      </c>
      <c r="CR181" s="90">
        <f t="shared" ca="1" si="420"/>
        <v>1108670.1061982177</v>
      </c>
      <c r="CS181" s="90">
        <f t="shared" ca="1" si="420"/>
        <v>1110806.7276274264</v>
      </c>
      <c r="CT181" s="90">
        <f t="shared" ca="1" si="420"/>
        <v>1112683.9092638339</v>
      </c>
      <c r="CU181" s="90">
        <f t="shared" ca="1" si="420"/>
        <v>1114299.4840337979</v>
      </c>
      <c r="CV181" s="90">
        <f t="shared" ca="1" si="420"/>
        <v>1115289.9018721622</v>
      </c>
      <c r="CW181" s="90">
        <f t="shared" ca="1" si="420"/>
        <v>1116215.7122899788</v>
      </c>
      <c r="CX181" s="90">
        <f t="shared" ca="1" si="420"/>
        <v>1117102.7024189071</v>
      </c>
      <c r="CY181" s="90">
        <f t="shared" ca="1" si="420"/>
        <v>1117950.6692181407</v>
      </c>
      <c r="CZ181" s="90">
        <f t="shared" ca="1" si="420"/>
        <v>1118759.3998524128</v>
      </c>
      <c r="DA181" s="90">
        <f t="shared" ca="1" si="420"/>
        <v>1119528.6715534283</v>
      </c>
      <c r="DB181" s="90">
        <f t="shared" ref="DB181:DY181" ca="1" si="421">+_NetRevenueCash+_NonOperatingIncome+_TotalCOGSCash+_TotalOpex</f>
        <v>1120244.7212024536</v>
      </c>
      <c r="DC181" s="90">
        <f t="shared" ca="1" si="421"/>
        <v>1120922.149781235</v>
      </c>
      <c r="DD181" s="90">
        <f t="shared" ca="1" si="421"/>
        <v>1121563.6159966514</v>
      </c>
      <c r="DE181" s="90">
        <f t="shared" ca="1" si="421"/>
        <v>1122168.8957107868</v>
      </c>
      <c r="DF181" s="90">
        <f t="shared" ca="1" si="421"/>
        <v>1122737.7553518708</v>
      </c>
      <c r="DG181" s="90">
        <f t="shared" ca="1" si="421"/>
        <v>1123269.9517751131</v>
      </c>
      <c r="DH181" s="90">
        <f t="shared" ca="1" si="421"/>
        <v>1123765.2321202662</v>
      </c>
      <c r="DI181" s="90">
        <f t="shared" ca="1" si="421"/>
        <v>1124223.3336658333</v>
      </c>
      <c r="DJ181" s="90">
        <f t="shared" ca="1" si="421"/>
        <v>1124643.9836798869</v>
      </c>
      <c r="DK181" s="90">
        <f t="shared" ca="1" si="421"/>
        <v>1125026.899267423</v>
      </c>
      <c r="DL181" s="90">
        <f t="shared" ca="1" si="421"/>
        <v>1125371.7872141767</v>
      </c>
      <c r="DM181" s="90">
        <f t="shared" ca="1" si="421"/>
        <v>1125678.3438268597</v>
      </c>
      <c r="DN181" s="90">
        <f t="shared" ca="1" si="421"/>
        <v>1125916.5695924857</v>
      </c>
      <c r="DO181" s="90">
        <f t="shared" ca="1" si="421"/>
        <v>1126137.6984682241</v>
      </c>
      <c r="DP181" s="90">
        <f t="shared" ca="1" si="421"/>
        <v>1126341.6071657976</v>
      </c>
      <c r="DQ181" s="90">
        <f t="shared" ca="1" si="421"/>
        <v>1126528.1677091997</v>
      </c>
      <c r="DR181" s="90">
        <f t="shared" ca="1" si="421"/>
        <v>1126697.2473986247</v>
      </c>
      <c r="DS181" s="90">
        <f t="shared" ca="1" si="421"/>
        <v>1126848.7087376448</v>
      </c>
      <c r="DT181" s="90">
        <f t="shared" ca="1" si="421"/>
        <v>1126982.4093586928</v>
      </c>
      <c r="DU181" s="90">
        <f t="shared" ca="1" si="421"/>
        <v>1127098.2019468555</v>
      </c>
      <c r="DV181" s="90">
        <f t="shared" ca="1" si="421"/>
        <v>1127195.9341619313</v>
      </c>
      <c r="DW181" s="90">
        <f t="shared" ca="1" si="421"/>
        <v>1127275.4485587045</v>
      </c>
      <c r="DX181" s="90">
        <f t="shared" ca="1" si="421"/>
        <v>1127336.5825054334</v>
      </c>
      <c r="DY181" s="90">
        <f t="shared" ca="1" si="421"/>
        <v>1127379.1681005028</v>
      </c>
    </row>
    <row r="182" spans="3:129" outlineLevel="1">
      <c r="C182" s="37" t="s">
        <v>9</v>
      </c>
      <c r="D182" s="37"/>
      <c r="E182" s="37"/>
      <c r="F182" s="55" t="s">
        <v>149</v>
      </c>
      <c r="G182" s="37"/>
      <c r="H182" s="37"/>
      <c r="I182" s="37"/>
      <c r="J182" s="109">
        <f t="shared" ref="J182:AO182" ca="1" si="422">_NetRevenueAccrual+_NonOperatingIncome+_TotalCOGSAcc+_TotalOpex</f>
        <v>5540143.6929713162</v>
      </c>
      <c r="K182" s="109">
        <f t="shared" ca="1" si="422"/>
        <v>547753.93477376038</v>
      </c>
      <c r="L182" s="109">
        <f t="shared" ca="1" si="422"/>
        <v>555021.59846272517</v>
      </c>
      <c r="M182" s="109">
        <f t="shared" ca="1" si="422"/>
        <v>561944.78030543798</v>
      </c>
      <c r="N182" s="109">
        <f t="shared" ca="1" si="422"/>
        <v>568521.48901617294</v>
      </c>
      <c r="O182" s="109">
        <f t="shared" ca="1" si="422"/>
        <v>574749.64449997735</v>
      </c>
      <c r="P182" s="109">
        <f t="shared" ca="1" si="422"/>
        <v>580627.0765663262</v>
      </c>
      <c r="Q182" s="109">
        <f t="shared" ca="1" si="422"/>
        <v>586151.52361214021</v>
      </c>
      <c r="R182" s="109">
        <f t="shared" ca="1" si="422"/>
        <v>591320.63127362798</v>
      </c>
      <c r="S182" s="109">
        <f t="shared" ca="1" si="422"/>
        <v>596131.95104635623</v>
      </c>
      <c r="T182" s="109">
        <f t="shared" ca="1" si="422"/>
        <v>600582.93887296808</v>
      </c>
      <c r="U182" s="109">
        <f t="shared" ca="1" si="422"/>
        <v>604670.95369795756</v>
      </c>
      <c r="V182" s="109">
        <f t="shared" ca="1" si="422"/>
        <v>672122.83808779414</v>
      </c>
      <c r="W182" s="109">
        <f t="shared" ca="1" si="422"/>
        <v>684715.03276478103</v>
      </c>
      <c r="X182" s="109">
        <f t="shared" ca="1" si="422"/>
        <v>697446.37440407439</v>
      </c>
      <c r="Y182" s="109">
        <f t="shared" ca="1" si="422"/>
        <v>710320.77291423385</v>
      </c>
      <c r="Z182" s="109">
        <f t="shared" ca="1" si="422"/>
        <v>723342.20513229351</v>
      </c>
      <c r="AA182" s="109">
        <f t="shared" ca="1" si="422"/>
        <v>736514.7162750368</v>
      </c>
      <c r="AB182" s="109">
        <f t="shared" ca="1" si="422"/>
        <v>3749842.4214181537</v>
      </c>
      <c r="AC182" s="109">
        <f t="shared" ca="1" si="422"/>
        <v>763329.50700387568</v>
      </c>
      <c r="AD182" s="109">
        <f t="shared" ca="1" si="422"/>
        <v>776980.23237765674</v>
      </c>
      <c r="AE182" s="109">
        <f t="shared" ca="1" si="422"/>
        <v>790798.93135449616</v>
      </c>
      <c r="AF182" s="109">
        <f t="shared" ca="1" si="422"/>
        <v>804790.01381549914</v>
      </c>
      <c r="AG182" s="109">
        <f t="shared" ca="1" si="422"/>
        <v>818957.96733530238</v>
      </c>
      <c r="AH182" s="109">
        <f t="shared" ca="1" si="422"/>
        <v>927624.38022242254</v>
      </c>
      <c r="AI182" s="109">
        <f t="shared" ca="1" si="422"/>
        <v>951276.01806711964</v>
      </c>
      <c r="AJ182" s="109">
        <f t="shared" ca="1" si="422"/>
        <v>975348.27380129648</v>
      </c>
      <c r="AK182" s="109">
        <f t="shared" ca="1" si="422"/>
        <v>999850.08393142023</v>
      </c>
      <c r="AL182" s="109">
        <f t="shared" ca="1" si="422"/>
        <v>1024790.5584525929</v>
      </c>
      <c r="AM182" s="109">
        <f t="shared" ca="1" si="422"/>
        <v>1050178.9843707539</v>
      </c>
      <c r="AN182" s="109">
        <f t="shared" ca="1" si="422"/>
        <v>1092746.748886249</v>
      </c>
      <c r="AO182" s="109">
        <f t="shared" ca="1" si="422"/>
        <v>1123162.3927155999</v>
      </c>
      <c r="AP182" s="109">
        <f t="shared" ref="AP182:BU182" ca="1" si="423">_NetRevenueAccrual+_NonOperatingIncome+_TotalCOGSAcc+_TotalOpex</f>
        <v>1154167.3123994507</v>
      </c>
      <c r="AQ182" s="109">
        <f t="shared" ca="1" si="423"/>
        <v>1185773.4838251141</v>
      </c>
      <c r="AR182" s="109">
        <f t="shared" ca="1" si="423"/>
        <v>1217993.120493941</v>
      </c>
      <c r="AS182" s="109">
        <f t="shared" ca="1" si="423"/>
        <v>1250838.6782926526</v>
      </c>
      <c r="AT182" s="109">
        <f t="shared" ca="1" si="423"/>
        <v>1461089.4797768591</v>
      </c>
      <c r="AU182" s="109">
        <f t="shared" ca="1" si="423"/>
        <v>1498737.1368495785</v>
      </c>
      <c r="AV182" s="109">
        <f t="shared" ca="1" si="423"/>
        <v>1537123.8088182011</v>
      </c>
      <c r="AW182" s="109">
        <f t="shared" ca="1" si="423"/>
        <v>1576264.4153631011</v>
      </c>
      <c r="AX182" s="109">
        <f t="shared" ca="1" si="423"/>
        <v>1616174.1731644338</v>
      </c>
      <c r="AY182" s="109">
        <f t="shared" ca="1" si="423"/>
        <v>1656868.6018560729</v>
      </c>
      <c r="AZ182" s="109">
        <f t="shared" ca="1" si="423"/>
        <v>1698363.5300984813</v>
      </c>
      <c r="BA182" s="109">
        <f t="shared" ca="1" si="423"/>
        <v>1740675.1017729079</v>
      </c>
      <c r="BB182" s="109">
        <f t="shared" ca="1" si="423"/>
        <v>1783819.7822993167</v>
      </c>
      <c r="BC182" s="109">
        <f t="shared" ca="1" si="423"/>
        <v>1827814.365080568</v>
      </c>
      <c r="BD182" s="109">
        <f t="shared" ca="1" si="423"/>
        <v>1872675.9780753101</v>
      </c>
      <c r="BE182" s="109">
        <f t="shared" ca="1" si="423"/>
        <v>1918422.0905022374</v>
      </c>
      <c r="BF182" s="109">
        <f t="shared" ca="1" si="423"/>
        <v>1966838.3440041475</v>
      </c>
      <c r="BG182" s="109">
        <f t="shared" ca="1" si="423"/>
        <v>2014870.092986285</v>
      </c>
      <c r="BH182" s="109">
        <f t="shared" ca="1" si="423"/>
        <v>2063851.4034572449</v>
      </c>
      <c r="BI182" s="109">
        <f t="shared" ca="1" si="423"/>
        <v>2113801.3773817103</v>
      </c>
      <c r="BJ182" s="109">
        <f t="shared" ca="1" si="423"/>
        <v>2164739.4976563132</v>
      </c>
      <c r="BK182" s="109">
        <f t="shared" ca="1" si="423"/>
        <v>2216685.6357393377</v>
      </c>
      <c r="BL182" s="109">
        <f t="shared" ca="1" si="423"/>
        <v>2269660.0594329243</v>
      </c>
      <c r="BM182" s="109">
        <f t="shared" ca="1" si="423"/>
        <v>2323683.4408207941</v>
      </c>
      <c r="BN182" s="109">
        <f t="shared" ca="1" si="423"/>
        <v>2378776.8643646319</v>
      </c>
      <c r="BO182" s="109">
        <f t="shared" ca="1" si="423"/>
        <v>2434961.835162269</v>
      </c>
      <c r="BP182" s="109">
        <f t="shared" ca="1" si="423"/>
        <v>2492260.2873709556</v>
      </c>
      <c r="BQ182" s="109">
        <f t="shared" ca="1" si="423"/>
        <v>2550694.5927989632</v>
      </c>
      <c r="BR182" s="109">
        <f t="shared" ca="1" si="423"/>
        <v>2451218.478131854</v>
      </c>
      <c r="BS182" s="109">
        <f t="shared" ca="1" si="423"/>
        <v>2414125.2610161221</v>
      </c>
      <c r="BT182" s="109">
        <f t="shared" ca="1" si="423"/>
        <v>2379414.5292108217</v>
      </c>
      <c r="BU182" s="109">
        <f t="shared" ca="1" si="423"/>
        <v>2347102.6889256393</v>
      </c>
      <c r="BV182" s="109">
        <f t="shared" ref="BV182:DA182" ca="1" si="424">_NetRevenueAccrual+_NonOperatingIncome+_TotalCOGSAcc+_TotalOpex</f>
        <v>2317206.78692941</v>
      </c>
      <c r="BW182" s="109">
        <f t="shared" ca="1" si="424"/>
        <v>2289744.5202369676</v>
      </c>
      <c r="BX182" s="109">
        <f t="shared" ca="1" si="424"/>
        <v>2264734.2460209541</v>
      </c>
      <c r="BY182" s="109">
        <f t="shared" ca="1" si="424"/>
        <v>2242194.9917527926</v>
      </c>
      <c r="BZ182" s="109">
        <f t="shared" ca="1" si="424"/>
        <v>2222146.46557712</v>
      </c>
      <c r="CA182" s="109">
        <f t="shared" ca="1" si="424"/>
        <v>2204609.0669240053</v>
      </c>
      <c r="CB182" s="109">
        <f t="shared" ca="1" si="424"/>
        <v>2189603.8973634364</v>
      </c>
      <c r="CC182" s="109">
        <f t="shared" ca="1" si="424"/>
        <v>2177152.7717066146</v>
      </c>
      <c r="CD182" s="109">
        <f t="shared" ca="1" si="424"/>
        <v>2163895.5121495491</v>
      </c>
      <c r="CE182" s="109">
        <f t="shared" ca="1" si="424"/>
        <v>2151629.1214458039</v>
      </c>
      <c r="CF182" s="109">
        <f t="shared" ca="1" si="424"/>
        <v>2140463.9648042289</v>
      </c>
      <c r="CG182" s="109">
        <f t="shared" ca="1" si="424"/>
        <v>2130408.6012872988</v>
      </c>
      <c r="CH182" s="109">
        <f t="shared" ca="1" si="424"/>
        <v>2121471.8957949351</v>
      </c>
      <c r="CI182" s="109">
        <f t="shared" ca="1" si="424"/>
        <v>2113663.0238346811</v>
      </c>
      <c r="CJ182" s="109">
        <f t="shared" ca="1" si="424"/>
        <v>2106991.47640076</v>
      </c>
      <c r="CK182" s="109">
        <f t="shared" ca="1" si="424"/>
        <v>2101467.0649640383</v>
      </c>
      <c r="CL182" s="109">
        <f t="shared" ca="1" si="424"/>
        <v>2097099.9265750069</v>
      </c>
      <c r="CM182" s="109">
        <f t="shared" ca="1" si="424"/>
        <v>2093900.5290818466</v>
      </c>
      <c r="CN182" s="109">
        <f t="shared" ca="1" si="424"/>
        <v>2091879.6764658508</v>
      </c>
      <c r="CO182" s="109">
        <f t="shared" ca="1" si="424"/>
        <v>2091048.5142962839</v>
      </c>
      <c r="CP182" s="109">
        <f t="shared" ca="1" si="424"/>
        <v>2088753.6774229649</v>
      </c>
      <c r="CQ182" s="109">
        <f t="shared" ca="1" si="424"/>
        <v>2086942.4526998941</v>
      </c>
      <c r="CR182" s="109">
        <f t="shared" ca="1" si="424"/>
        <v>2085619.2209952781</v>
      </c>
      <c r="CS182" s="109">
        <f t="shared" ca="1" si="424"/>
        <v>2084788.499994358</v>
      </c>
      <c r="CT182" s="109">
        <f t="shared" ca="1" si="424"/>
        <v>2084454.9501578286</v>
      </c>
      <c r="CU182" s="109">
        <f t="shared" ca="1" si="424"/>
        <v>2084623.3770531341</v>
      </c>
      <c r="CV182" s="109">
        <f t="shared" ca="1" si="424"/>
        <v>2083301.6319751819</v>
      </c>
      <c r="CW182" s="109">
        <f t="shared" ca="1" si="424"/>
        <v>2081988.8698735158</v>
      </c>
      <c r="CX182" s="109">
        <f t="shared" ca="1" si="424"/>
        <v>2080757.1252199057</v>
      </c>
      <c r="CY182" s="109">
        <f t="shared" ca="1" si="424"/>
        <v>2079606.9456364182</v>
      </c>
      <c r="CZ182" s="109">
        <f t="shared" ca="1" si="424"/>
        <v>2078538.9004248269</v>
      </c>
      <c r="DA182" s="109">
        <f t="shared" ca="1" si="424"/>
        <v>2077553.5808929233</v>
      </c>
      <c r="DB182" s="109">
        <f t="shared" ref="DB182:DY182" ca="1" si="425">_NetRevenueAccrual+_NonOperatingIncome+_TotalCOGSAcc+_TotalOpex</f>
        <v>2076634.7777494136</v>
      </c>
      <c r="DC182" s="109">
        <f t="shared" ca="1" si="425"/>
        <v>2075780.148616903</v>
      </c>
      <c r="DD182" s="109">
        <f t="shared" ca="1" si="425"/>
        <v>2074998.2494799732</v>
      </c>
      <c r="DE182" s="109">
        <f t="shared" ca="1" si="425"/>
        <v>2074289.6367127541</v>
      </c>
      <c r="DF182" s="109">
        <f t="shared" ca="1" si="425"/>
        <v>2073654.8867991152</v>
      </c>
      <c r="DG182" s="109">
        <f t="shared" ca="1" si="425"/>
        <v>2073094.596645039</v>
      </c>
      <c r="DH182" s="109">
        <f t="shared" ca="1" si="425"/>
        <v>2072609.3838981381</v>
      </c>
      <c r="DI182" s="109">
        <f t="shared" ca="1" si="425"/>
        <v>2072199.8872744497</v>
      </c>
      <c r="DJ182" s="109">
        <f t="shared" ca="1" si="425"/>
        <v>2071866.7668926627</v>
      </c>
      <c r="DK182" s="109">
        <f t="shared" ca="1" si="425"/>
        <v>2071610.7046158705</v>
      </c>
      <c r="DL182" s="109">
        <f t="shared" ca="1" si="425"/>
        <v>2071432.4044010406</v>
      </c>
      <c r="DM182" s="109">
        <f t="shared" ca="1" si="425"/>
        <v>2071332.5926563442</v>
      </c>
      <c r="DN182" s="109">
        <f t="shared" ca="1" si="425"/>
        <v>2071124.7130775526</v>
      </c>
      <c r="DO182" s="109">
        <f t="shared" ca="1" si="425"/>
        <v>2070948.9849695647</v>
      </c>
      <c r="DP182" s="109">
        <f t="shared" ca="1" si="425"/>
        <v>2070805.6883003563</v>
      </c>
      <c r="DQ182" s="109">
        <f t="shared" ca="1" si="425"/>
        <v>2070695.1122386903</v>
      </c>
      <c r="DR182" s="109">
        <f t="shared" ca="1" si="425"/>
        <v>2070617.5553313112</v>
      </c>
      <c r="DS182" s="109">
        <f t="shared" ca="1" si="425"/>
        <v>2070573.3256545528</v>
      </c>
      <c r="DT182" s="109">
        <f t="shared" ca="1" si="425"/>
        <v>2070562.7409693315</v>
      </c>
      <c r="DU182" s="109">
        <f t="shared" ca="1" si="425"/>
        <v>2070586.1288796342</v>
      </c>
      <c r="DV182" s="109">
        <f t="shared" ca="1" si="425"/>
        <v>2070643.8269944745</v>
      </c>
      <c r="DW182" s="109">
        <f t="shared" ca="1" si="425"/>
        <v>2070736.1830934822</v>
      </c>
      <c r="DX182" s="109">
        <f t="shared" ca="1" si="425"/>
        <v>2070863.5552961221</v>
      </c>
      <c r="DY182" s="109">
        <f t="shared" ca="1" si="425"/>
        <v>2071026.3122346513</v>
      </c>
    </row>
    <row r="183" spans="3:129" outlineLevel="1">
      <c r="J183" s="96"/>
      <c r="K183" s="110"/>
      <c r="L183" s="96"/>
      <c r="M183" s="110"/>
      <c r="N183" s="96"/>
      <c r="O183" s="110"/>
      <c r="P183" s="96"/>
      <c r="Q183" s="96"/>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row>
    <row r="184" spans="3:129" outlineLevel="1">
      <c r="C184" s="42" t="s">
        <v>79</v>
      </c>
      <c r="F184" s="5" t="s">
        <v>150</v>
      </c>
      <c r="G184" s="430"/>
      <c r="J184" s="431">
        <f>+Financing!J12</f>
        <v>-204166.66666666669</v>
      </c>
      <c r="K184" s="431">
        <f>+Financing!K12</f>
        <v>-104166.66666666667</v>
      </c>
      <c r="L184" s="431">
        <f>+Financing!L12</f>
        <v>-104166.66666666667</v>
      </c>
      <c r="M184" s="431">
        <f>+Financing!M12</f>
        <v>-104166.66666666667</v>
      </c>
      <c r="N184" s="431">
        <f>+Financing!N12</f>
        <v>-104166.66666666667</v>
      </c>
      <c r="O184" s="431">
        <f>+Financing!O12</f>
        <v>-104166.66666666667</v>
      </c>
      <c r="P184" s="431">
        <f>+Financing!P12</f>
        <v>-104166.66666666667</v>
      </c>
      <c r="Q184" s="431">
        <f>+Financing!Q12</f>
        <v>-104166.66666666667</v>
      </c>
      <c r="R184" s="431">
        <f>+Financing!R12</f>
        <v>-104166.66666666667</v>
      </c>
      <c r="S184" s="431">
        <f>+Financing!S12</f>
        <v>-104166.66666666667</v>
      </c>
      <c r="T184" s="431">
        <f>+Financing!T12</f>
        <v>-104166.66666666667</v>
      </c>
      <c r="U184" s="431">
        <f>+Financing!U12</f>
        <v>-104166.66666666667</v>
      </c>
      <c r="V184" s="431">
        <f>+Financing!V12</f>
        <v>-99826.388888888891</v>
      </c>
      <c r="W184" s="431">
        <f>+Financing!W12</f>
        <v>-95486.111111111124</v>
      </c>
      <c r="X184" s="431">
        <f>+Financing!X12</f>
        <v>-91145.833333333358</v>
      </c>
      <c r="Y184" s="431">
        <f>+Financing!Y12</f>
        <v>-86805.555555555577</v>
      </c>
      <c r="Z184" s="431">
        <f>+Financing!Z12</f>
        <v>-82465.277777777796</v>
      </c>
      <c r="AA184" s="431">
        <f>+Financing!AA12</f>
        <v>-78125.000000000015</v>
      </c>
      <c r="AB184" s="431">
        <f>+Financing!AB12</f>
        <v>-73784.722222222234</v>
      </c>
      <c r="AC184" s="431">
        <f>+Financing!AC12</f>
        <v>-69444.444444444453</v>
      </c>
      <c r="AD184" s="431">
        <f>+Financing!AD12</f>
        <v>-65104.166666666664</v>
      </c>
      <c r="AE184" s="431">
        <f>+Financing!AE12</f>
        <v>-60763.888888888883</v>
      </c>
      <c r="AF184" s="431">
        <f>+Financing!AF12</f>
        <v>-56423.611111111102</v>
      </c>
      <c r="AG184" s="431">
        <f>+Financing!AG12</f>
        <v>-52083.333333333321</v>
      </c>
      <c r="AH184" s="431">
        <f>+Financing!AH12</f>
        <v>-756076.38888888888</v>
      </c>
      <c r="AI184" s="431">
        <f>+Financing!AI12</f>
        <v>-251736.11111111112</v>
      </c>
      <c r="AJ184" s="431">
        <f>+Financing!AJ12</f>
        <v>-247395.83333333334</v>
      </c>
      <c r="AK184" s="431">
        <f>+Financing!AK12</f>
        <v>-243055.55555555556</v>
      </c>
      <c r="AL184" s="431">
        <f>+Financing!AL12</f>
        <v>-238715.27777777778</v>
      </c>
      <c r="AM184" s="431">
        <f>+Financing!AM12</f>
        <v>-234375</v>
      </c>
      <c r="AN184" s="431">
        <f>+Financing!AN12</f>
        <v>-226176.69753086418</v>
      </c>
      <c r="AO184" s="431">
        <f>+Financing!AO12</f>
        <v>-217978.39506172843</v>
      </c>
      <c r="AP184" s="431">
        <f>+Financing!AP12</f>
        <v>-209780.09259259264</v>
      </c>
      <c r="AQ184" s="431">
        <f>+Financing!AQ12</f>
        <v>-201581.7901234568</v>
      </c>
      <c r="AR184" s="431">
        <f>+Financing!AR12</f>
        <v>-193383.48765432101</v>
      </c>
      <c r="AS184" s="431">
        <f>+Financing!AS12</f>
        <v>-185185.1851851852</v>
      </c>
      <c r="AT184" s="431">
        <f>+Financing!AT12</f>
        <v>-181327.16049382719</v>
      </c>
      <c r="AU184" s="431">
        <f>+Financing!AU12</f>
        <v>-177469.13580246919</v>
      </c>
      <c r="AV184" s="431">
        <f>+Financing!AV12</f>
        <v>-173611.11111111115</v>
      </c>
      <c r="AW184" s="431">
        <f>+Financing!AW12</f>
        <v>-169753.08641975312</v>
      </c>
      <c r="AX184" s="431">
        <f>+Financing!AX12</f>
        <v>-165895.06172839509</v>
      </c>
      <c r="AY184" s="431">
        <f>+Financing!AY12</f>
        <v>-162037.03703703708</v>
      </c>
      <c r="AZ184" s="431">
        <f>+Financing!AZ12</f>
        <v>-158179.01234567905</v>
      </c>
      <c r="BA184" s="431">
        <f>+Financing!BA12</f>
        <v>-154320.98765432104</v>
      </c>
      <c r="BB184" s="431">
        <f>+Financing!BB12</f>
        <v>-150462.96296296301</v>
      </c>
      <c r="BC184" s="431">
        <f>+Financing!BC12</f>
        <v>-146604.93827160497</v>
      </c>
      <c r="BD184" s="431">
        <f>+Financing!BD12</f>
        <v>-142746.91358024697</v>
      </c>
      <c r="BE184" s="431">
        <f>+Financing!BE12</f>
        <v>-138888.88888888893</v>
      </c>
      <c r="BF184" s="431">
        <f>+Financing!BF12</f>
        <v>-475030.8641975309</v>
      </c>
      <c r="BG184" s="431">
        <f>+Financing!BG12</f>
        <v>-231172.8395061729</v>
      </c>
      <c r="BH184" s="431">
        <f>+Financing!BH12</f>
        <v>-227314.81481481489</v>
      </c>
      <c r="BI184" s="431">
        <f>+Financing!BI12</f>
        <v>-223456.79012345686</v>
      </c>
      <c r="BJ184" s="431">
        <f>+Financing!BJ12</f>
        <v>-219598.76543209882</v>
      </c>
      <c r="BK184" s="431">
        <f>+Financing!BK12</f>
        <v>-215740.74074074079</v>
      </c>
      <c r="BL184" s="431">
        <f>+Financing!BL12</f>
        <v>-210030.8641975309</v>
      </c>
      <c r="BM184" s="431">
        <f>+Financing!BM12</f>
        <v>-204320.98765432107</v>
      </c>
      <c r="BN184" s="431">
        <f>+Financing!BN12</f>
        <v>-198611.11111111118</v>
      </c>
      <c r="BO184" s="431">
        <f>+Financing!BO12</f>
        <v>-192901.23456790129</v>
      </c>
      <c r="BP184" s="431">
        <f>+Financing!BP12</f>
        <v>-187191.35802469144</v>
      </c>
      <c r="BQ184" s="431">
        <f>+Financing!BQ12</f>
        <v>-181481.48148148155</v>
      </c>
      <c r="BR184" s="431">
        <f>+Financing!BR12</f>
        <v>-459104.938271605</v>
      </c>
      <c r="BS184" s="431">
        <f>+Financing!BS12</f>
        <v>-253395.06172839517</v>
      </c>
      <c r="BT184" s="431">
        <f>+Financing!BT12</f>
        <v>-247685.18518518528</v>
      </c>
      <c r="BU184" s="431">
        <f>+Financing!BU12</f>
        <v>-241975.3086419754</v>
      </c>
      <c r="BV184" s="431">
        <f>+Financing!BV12</f>
        <v>-236265.43209876551</v>
      </c>
      <c r="BW184" s="431">
        <f>+Financing!BW12</f>
        <v>-230555.55555555568</v>
      </c>
      <c r="BX184" s="431">
        <f>+Financing!BX12</f>
        <v>-223302.46913580259</v>
      </c>
      <c r="BY184" s="431">
        <f>+Financing!BY12</f>
        <v>-216049.3827160495</v>
      </c>
      <c r="BZ184" s="431">
        <f>+Financing!BZ12</f>
        <v>-208796.29629629641</v>
      </c>
      <c r="CA184" s="431">
        <f>+Financing!CA12</f>
        <v>-201543.20987654338</v>
      </c>
      <c r="CB184" s="431">
        <f>+Financing!CB12</f>
        <v>-194290.12345679029</v>
      </c>
      <c r="CC184" s="431">
        <f>+Financing!CC12</f>
        <v>-187037.0370370372</v>
      </c>
      <c r="CD184" s="431">
        <f>+Financing!CD12</f>
        <v>-463117.28395061748</v>
      </c>
      <c r="CE184" s="431">
        <f>+Financing!CE12</f>
        <v>-255864.19753086433</v>
      </c>
      <c r="CF184" s="431">
        <f>+Financing!CF12</f>
        <v>-248611.1111111113</v>
      </c>
      <c r="CG184" s="431">
        <f>+Financing!CG12</f>
        <v>-241358.02469135821</v>
      </c>
      <c r="CH184" s="431">
        <f>+Financing!CH12</f>
        <v>-234104.93827160512</v>
      </c>
      <c r="CI184" s="431">
        <f>+Financing!CI12</f>
        <v>-226851.85185185203</v>
      </c>
      <c r="CJ184" s="431">
        <f>+Financing!CJ12</f>
        <v>-218055.55555555574</v>
      </c>
      <c r="CK184" s="431">
        <f>+Financing!CK12</f>
        <v>-209259.2592592595</v>
      </c>
      <c r="CL184" s="431">
        <f>+Financing!CL12</f>
        <v>-200462.96296296321</v>
      </c>
      <c r="CM184" s="431">
        <f>+Financing!CM12</f>
        <v>-191666.66666666692</v>
      </c>
      <c r="CN184" s="431">
        <f>+Financing!CN12</f>
        <v>-182870.37037037063</v>
      </c>
      <c r="CO184" s="431">
        <f>+Financing!CO12</f>
        <v>-174074.07407407433</v>
      </c>
      <c r="CP184" s="431">
        <f>+Financing!CP12</f>
        <v>-452469.13580246939</v>
      </c>
      <c r="CQ184" s="431">
        <f>+Financing!CQ12</f>
        <v>-247530.86419753113</v>
      </c>
      <c r="CR184" s="431">
        <f>+Financing!CR12</f>
        <v>-242592.59259259288</v>
      </c>
      <c r="CS184" s="431">
        <f>+Financing!CS12</f>
        <v>-237654.32098765462</v>
      </c>
      <c r="CT184" s="431">
        <f>+Financing!CT12</f>
        <v>-232716.04938271636</v>
      </c>
      <c r="CU184" s="431">
        <f>+Financing!CU12</f>
        <v>-227777.7777777781</v>
      </c>
      <c r="CV184" s="431">
        <f>+Financing!CV12</f>
        <v>-221296.29629629658</v>
      </c>
      <c r="CW184" s="431">
        <f>+Financing!CW12</f>
        <v>-214814.81481481512</v>
      </c>
      <c r="CX184" s="431">
        <f>+Financing!CX12</f>
        <v>-208333.33333333372</v>
      </c>
      <c r="CY184" s="431">
        <f>+Financing!CY12</f>
        <v>-201851.8518518522</v>
      </c>
      <c r="CZ184" s="431">
        <f>+Financing!CZ12</f>
        <v>-195370.37037037074</v>
      </c>
      <c r="DA184" s="431">
        <f>+Financing!DA12</f>
        <v>-188888.88888888928</v>
      </c>
      <c r="DB184" s="431">
        <f>+Financing!DB12</f>
        <v>-465740.74074074114</v>
      </c>
      <c r="DC184" s="431">
        <f>+Financing!DC12</f>
        <v>-259259.25925925968</v>
      </c>
      <c r="DD184" s="431">
        <f>+Financing!DD12</f>
        <v>-252777.77777777816</v>
      </c>
      <c r="DE184" s="431">
        <f>+Financing!DE12</f>
        <v>-246296.2962962967</v>
      </c>
      <c r="DF184" s="431">
        <f>+Financing!DF12</f>
        <v>-239814.81481481524</v>
      </c>
      <c r="DG184" s="431">
        <f>+Financing!DG12</f>
        <v>-233333.33333333378</v>
      </c>
      <c r="DH184" s="431">
        <f>+Financing!DH12</f>
        <v>-225308.64197530912</v>
      </c>
      <c r="DI184" s="431">
        <f>+Financing!DI12</f>
        <v>-217283.9506172844</v>
      </c>
      <c r="DJ184" s="431">
        <f>+Financing!DJ12</f>
        <v>-209259.25925925974</v>
      </c>
      <c r="DK184" s="431">
        <f>+Financing!DK12</f>
        <v>-201234.56790123507</v>
      </c>
      <c r="DL184" s="431">
        <f>+Financing!DL12</f>
        <v>-193209.87654321038</v>
      </c>
      <c r="DM184" s="431">
        <f>+Financing!DM12</f>
        <v>-185185.18518518569</v>
      </c>
      <c r="DN184" s="431">
        <f>+Financing!DN12</f>
        <v>-547345.6790123462</v>
      </c>
      <c r="DO184" s="431">
        <f>+Financing!DO12</f>
        <v>-281172.83950617333</v>
      </c>
      <c r="DP184" s="431">
        <f>+Financing!DP12</f>
        <v>-275000.00000000052</v>
      </c>
      <c r="DQ184" s="431">
        <f>+Financing!DQ12</f>
        <v>-268827.16049382772</v>
      </c>
      <c r="DR184" s="431">
        <f>+Financing!DR12</f>
        <v>-262654.32098765485</v>
      </c>
      <c r="DS184" s="431">
        <f>+Financing!DS12</f>
        <v>-256481.48148148204</v>
      </c>
      <c r="DT184" s="431">
        <f>+Financing!DT12</f>
        <v>-248302.46913580305</v>
      </c>
      <c r="DU184" s="431">
        <f>+Financing!DU12</f>
        <v>-240123.45679012407</v>
      </c>
      <c r="DV184" s="431">
        <f>+Financing!DV12</f>
        <v>-231944.44444444508</v>
      </c>
      <c r="DW184" s="431">
        <f>+Financing!DW12</f>
        <v>-223765.43209876606</v>
      </c>
      <c r="DX184" s="431">
        <f>+Financing!DX12</f>
        <v>-215586.41975308704</v>
      </c>
      <c r="DY184" s="431">
        <f>+Financing!DY12</f>
        <v>-207407.40740740806</v>
      </c>
    </row>
    <row r="185" spans="3:129" outlineLevel="1">
      <c r="C185" s="42" t="s">
        <v>397</v>
      </c>
      <c r="F185" s="5" t="s">
        <v>398</v>
      </c>
      <c r="J185" s="431">
        <f>Financing!J13</f>
        <v>0</v>
      </c>
      <c r="K185" s="431">
        <f>Financing!K13</f>
        <v>0</v>
      </c>
      <c r="L185" s="431">
        <f>Financing!L13</f>
        <v>0</v>
      </c>
      <c r="M185" s="431">
        <f>Financing!M13</f>
        <v>0</v>
      </c>
      <c r="N185" s="431">
        <f>Financing!N13</f>
        <v>0</v>
      </c>
      <c r="O185" s="431">
        <f>Financing!O13</f>
        <v>0</v>
      </c>
      <c r="P185" s="431">
        <f>Financing!P13</f>
        <v>0</v>
      </c>
      <c r="Q185" s="431">
        <f>Financing!Q13</f>
        <v>0</v>
      </c>
      <c r="R185" s="431">
        <f>Financing!R13</f>
        <v>0</v>
      </c>
      <c r="S185" s="431">
        <f>Financing!S13</f>
        <v>0</v>
      </c>
      <c r="T185" s="431">
        <f>Financing!T13</f>
        <v>0</v>
      </c>
      <c r="U185" s="431">
        <f>Financing!U13</f>
        <v>0</v>
      </c>
      <c r="V185" s="431">
        <f>Financing!V13</f>
        <v>0</v>
      </c>
      <c r="W185" s="431">
        <f>Financing!W13</f>
        <v>0</v>
      </c>
      <c r="X185" s="431">
        <f>Financing!X13</f>
        <v>0</v>
      </c>
      <c r="Y185" s="431">
        <f>Financing!Y13</f>
        <v>0</v>
      </c>
      <c r="Z185" s="431">
        <f>Financing!Z13</f>
        <v>0</v>
      </c>
      <c r="AA185" s="431">
        <f>Financing!AA13</f>
        <v>0</v>
      </c>
      <c r="AB185" s="431">
        <f>Financing!AB13</f>
        <v>0</v>
      </c>
      <c r="AC185" s="431">
        <f>Financing!AC13</f>
        <v>0</v>
      </c>
      <c r="AD185" s="431">
        <f>Financing!AD13</f>
        <v>0</v>
      </c>
      <c r="AE185" s="431">
        <f>Financing!AE13</f>
        <v>0</v>
      </c>
      <c r="AF185" s="431">
        <f>Financing!AF13</f>
        <v>0</v>
      </c>
      <c r="AG185" s="431">
        <f>Financing!AG13</f>
        <v>0</v>
      </c>
      <c r="AH185" s="431">
        <f>Financing!AH13</f>
        <v>0</v>
      </c>
      <c r="AI185" s="431">
        <f>Financing!AI13</f>
        <v>0</v>
      </c>
      <c r="AJ185" s="431">
        <f>Financing!AJ13</f>
        <v>0</v>
      </c>
      <c r="AK185" s="431">
        <f>Financing!AK13</f>
        <v>0</v>
      </c>
      <c r="AL185" s="431">
        <f>Financing!AL13</f>
        <v>0</v>
      </c>
      <c r="AM185" s="431">
        <f>Financing!AM13</f>
        <v>0</v>
      </c>
      <c r="AN185" s="431">
        <f>Financing!AN13</f>
        <v>0</v>
      </c>
      <c r="AO185" s="431">
        <f>Financing!AO13</f>
        <v>0</v>
      </c>
      <c r="AP185" s="431">
        <f>Financing!AP13</f>
        <v>0</v>
      </c>
      <c r="AQ185" s="431">
        <f>Financing!AQ13</f>
        <v>0</v>
      </c>
      <c r="AR185" s="431">
        <f>Financing!AR13</f>
        <v>0</v>
      </c>
      <c r="AS185" s="431">
        <f>Financing!AS13</f>
        <v>0</v>
      </c>
      <c r="AT185" s="431">
        <f>Financing!AT13</f>
        <v>0</v>
      </c>
      <c r="AU185" s="431">
        <f>Financing!AU13</f>
        <v>0</v>
      </c>
      <c r="AV185" s="431">
        <f>Financing!AV13</f>
        <v>0</v>
      </c>
      <c r="AW185" s="431">
        <f>Financing!AW13</f>
        <v>0</v>
      </c>
      <c r="AX185" s="431">
        <f>Financing!AX13</f>
        <v>0</v>
      </c>
      <c r="AY185" s="431">
        <f>Financing!AY13</f>
        <v>0</v>
      </c>
      <c r="AZ185" s="431">
        <f>Financing!AZ13</f>
        <v>0</v>
      </c>
      <c r="BA185" s="431">
        <f>Financing!BA13</f>
        <v>0</v>
      </c>
      <c r="BB185" s="431">
        <f>Financing!BB13</f>
        <v>0</v>
      </c>
      <c r="BC185" s="431">
        <f>Financing!BC13</f>
        <v>0</v>
      </c>
      <c r="BD185" s="431">
        <f>Financing!BD13</f>
        <v>0</v>
      </c>
      <c r="BE185" s="431">
        <f>Financing!BE13</f>
        <v>0</v>
      </c>
      <c r="BF185" s="431">
        <f>Financing!BF13</f>
        <v>0</v>
      </c>
      <c r="BG185" s="431">
        <f>Financing!BG13</f>
        <v>0</v>
      </c>
      <c r="BH185" s="431">
        <f>Financing!BH13</f>
        <v>0</v>
      </c>
      <c r="BI185" s="431">
        <f>Financing!BI13</f>
        <v>0</v>
      </c>
      <c r="BJ185" s="431">
        <f>Financing!BJ13</f>
        <v>0</v>
      </c>
      <c r="BK185" s="431">
        <f>Financing!BK13</f>
        <v>0</v>
      </c>
      <c r="BL185" s="431">
        <f>Financing!BL13</f>
        <v>0</v>
      </c>
      <c r="BM185" s="431">
        <f>Financing!BM13</f>
        <v>0</v>
      </c>
      <c r="BN185" s="431">
        <f>Financing!BN13</f>
        <v>0</v>
      </c>
      <c r="BO185" s="431">
        <f>Financing!BO13</f>
        <v>0</v>
      </c>
      <c r="BP185" s="431">
        <f>Financing!BP13</f>
        <v>0</v>
      </c>
      <c r="BQ185" s="431">
        <f>Financing!BQ13</f>
        <v>0</v>
      </c>
      <c r="BR185" s="431">
        <f>Financing!BR13</f>
        <v>0</v>
      </c>
      <c r="BS185" s="431">
        <f>Financing!BS13</f>
        <v>0</v>
      </c>
      <c r="BT185" s="431">
        <f>Financing!BT13</f>
        <v>0</v>
      </c>
      <c r="BU185" s="431">
        <f>Financing!BU13</f>
        <v>0</v>
      </c>
      <c r="BV185" s="431">
        <f>Financing!BV13</f>
        <v>0</v>
      </c>
      <c r="BW185" s="431">
        <f>Financing!BW13</f>
        <v>0</v>
      </c>
      <c r="BX185" s="431">
        <f>Financing!BX13</f>
        <v>0</v>
      </c>
      <c r="BY185" s="431">
        <f>Financing!BY13</f>
        <v>0</v>
      </c>
      <c r="BZ185" s="431">
        <f>Financing!BZ13</f>
        <v>0</v>
      </c>
      <c r="CA185" s="431">
        <f>Financing!CA13</f>
        <v>0</v>
      </c>
      <c r="CB185" s="431">
        <f>Financing!CB13</f>
        <v>0</v>
      </c>
      <c r="CC185" s="431">
        <f>Financing!CC13</f>
        <v>0</v>
      </c>
      <c r="CD185" s="431">
        <f>Financing!CD13</f>
        <v>0</v>
      </c>
      <c r="CE185" s="431">
        <f>Financing!CE13</f>
        <v>0</v>
      </c>
      <c r="CF185" s="431">
        <f>Financing!CF13</f>
        <v>0</v>
      </c>
      <c r="CG185" s="431">
        <f>Financing!CG13</f>
        <v>0</v>
      </c>
      <c r="CH185" s="431">
        <f>Financing!CH13</f>
        <v>0</v>
      </c>
      <c r="CI185" s="431">
        <f>Financing!CI13</f>
        <v>0</v>
      </c>
      <c r="CJ185" s="431">
        <f>Financing!CJ13</f>
        <v>0</v>
      </c>
      <c r="CK185" s="431">
        <f>Financing!CK13</f>
        <v>0</v>
      </c>
      <c r="CL185" s="431">
        <f>Financing!CL13</f>
        <v>0</v>
      </c>
      <c r="CM185" s="431">
        <f>Financing!CM13</f>
        <v>0</v>
      </c>
      <c r="CN185" s="431">
        <f>Financing!CN13</f>
        <v>0</v>
      </c>
      <c r="CO185" s="431">
        <f>Financing!CO13</f>
        <v>0</v>
      </c>
      <c r="CP185" s="431">
        <f>Financing!CP13</f>
        <v>0</v>
      </c>
      <c r="CQ185" s="431">
        <f>Financing!CQ13</f>
        <v>0</v>
      </c>
      <c r="CR185" s="431">
        <f>Financing!CR13</f>
        <v>0</v>
      </c>
      <c r="CS185" s="431">
        <f>Financing!CS13</f>
        <v>0</v>
      </c>
      <c r="CT185" s="431">
        <f>Financing!CT13</f>
        <v>0</v>
      </c>
      <c r="CU185" s="431">
        <f>Financing!CU13</f>
        <v>0</v>
      </c>
      <c r="CV185" s="431">
        <f>Financing!CV13</f>
        <v>0</v>
      </c>
      <c r="CW185" s="431">
        <f>Financing!CW13</f>
        <v>0</v>
      </c>
      <c r="CX185" s="431">
        <f>Financing!CX13</f>
        <v>0</v>
      </c>
      <c r="CY185" s="431">
        <f>Financing!CY13</f>
        <v>0</v>
      </c>
      <c r="CZ185" s="431">
        <f>Financing!CZ13</f>
        <v>0</v>
      </c>
      <c r="DA185" s="431">
        <f>Financing!DA13</f>
        <v>0</v>
      </c>
      <c r="DB185" s="431">
        <f>Financing!DB13</f>
        <v>0</v>
      </c>
      <c r="DC185" s="431">
        <f>Financing!DC13</f>
        <v>0</v>
      </c>
      <c r="DD185" s="431">
        <f>Financing!DD13</f>
        <v>0</v>
      </c>
      <c r="DE185" s="431">
        <f>Financing!DE13</f>
        <v>0</v>
      </c>
      <c r="DF185" s="431">
        <f>Financing!DF13</f>
        <v>0</v>
      </c>
      <c r="DG185" s="431">
        <f>Financing!DG13</f>
        <v>0</v>
      </c>
      <c r="DH185" s="431">
        <f>Financing!DH13</f>
        <v>0</v>
      </c>
      <c r="DI185" s="431">
        <f>Financing!DI13</f>
        <v>0</v>
      </c>
      <c r="DJ185" s="431">
        <f>Financing!DJ13</f>
        <v>0</v>
      </c>
      <c r="DK185" s="431">
        <f>Financing!DK13</f>
        <v>0</v>
      </c>
      <c r="DL185" s="431">
        <f>Financing!DL13</f>
        <v>0</v>
      </c>
      <c r="DM185" s="431">
        <f>Financing!DM13</f>
        <v>0</v>
      </c>
      <c r="DN185" s="431">
        <f>Financing!DN13</f>
        <v>0</v>
      </c>
      <c r="DO185" s="431">
        <f>Financing!DO13</f>
        <v>0</v>
      </c>
      <c r="DP185" s="431">
        <f>Financing!DP13</f>
        <v>0</v>
      </c>
      <c r="DQ185" s="431">
        <f>Financing!DQ13</f>
        <v>0</v>
      </c>
      <c r="DR185" s="431">
        <f>Financing!DR13</f>
        <v>0</v>
      </c>
      <c r="DS185" s="431">
        <f>Financing!DS13</f>
        <v>0</v>
      </c>
      <c r="DT185" s="431">
        <f>Financing!DT13</f>
        <v>0</v>
      </c>
      <c r="DU185" s="431">
        <f>Financing!DU13</f>
        <v>0</v>
      </c>
      <c r="DV185" s="431">
        <f>Financing!DV13</f>
        <v>0</v>
      </c>
      <c r="DW185" s="431">
        <f>Financing!DW13</f>
        <v>0</v>
      </c>
      <c r="DX185" s="431">
        <f>Financing!DX13</f>
        <v>0</v>
      </c>
      <c r="DY185" s="431">
        <f>Financing!DY13</f>
        <v>0</v>
      </c>
    </row>
    <row r="186" spans="3:129" s="37" customFormat="1" outlineLevel="1">
      <c r="C186" s="5" t="s">
        <v>214</v>
      </c>
      <c r="F186" s="5" t="s">
        <v>151</v>
      </c>
      <c r="J186" s="152">
        <f>-I253/'Model Assumptions'!$G$104</f>
        <v>-1666.6666666666667</v>
      </c>
      <c r="K186" s="152">
        <f>-J253/'Model Assumptions'!$G$104</f>
        <v>-3305.5555555555557</v>
      </c>
      <c r="L186" s="152">
        <f>-K253/'Model Assumptions'!$G$104</f>
        <v>-4917.1296296296305</v>
      </c>
      <c r="M186" s="152">
        <f>-L253/'Model Assumptions'!$G$104</f>
        <v>-6501.8441358024702</v>
      </c>
      <c r="N186" s="152">
        <f>-M253/'Model Assumptions'!$G$104</f>
        <v>-8060.1467335390953</v>
      </c>
      <c r="O186" s="152">
        <f>-N253/'Model Assumptions'!$G$104</f>
        <v>-9592.4776213134446</v>
      </c>
      <c r="P186" s="152">
        <f>-O253/'Model Assumptions'!$G$104</f>
        <v>-11099.269660958222</v>
      </c>
      <c r="Q186" s="152">
        <f>-P253/'Model Assumptions'!$G$104</f>
        <v>-12580.948499942251</v>
      </c>
      <c r="R186" s="152">
        <f>-Q253/'Model Assumptions'!$G$104</f>
        <v>-14037.932691609882</v>
      </c>
      <c r="S186" s="152">
        <f>-R253/'Model Assumptions'!$G$104</f>
        <v>-15470.633813416383</v>
      </c>
      <c r="T186" s="152">
        <f>-S253/'Model Assumptions'!$G$104</f>
        <v>-16879.456583192779</v>
      </c>
      <c r="U186" s="152">
        <f>-T253/'Model Assumptions'!$G$104</f>
        <v>-18264.798973472898</v>
      </c>
      <c r="V186" s="152">
        <f>-U253/'Model Assumptions'!$G$104</f>
        <v>-19627.052323915017</v>
      </c>
      <c r="W186" s="152">
        <f>-V253/'Model Assumptions'!$G$104</f>
        <v>-20966.601451849765</v>
      </c>
      <c r="X186" s="152">
        <f>-W253/'Model Assumptions'!$G$104</f>
        <v>-22283.824760985604</v>
      </c>
      <c r="Y186" s="152">
        <f>-X253/'Model Assumptions'!$G$104</f>
        <v>-23579.094348302511</v>
      </c>
      <c r="Z186" s="152">
        <f>-Y253/'Model Assumptions'!$G$104</f>
        <v>-24852.776109164133</v>
      </c>
      <c r="AA186" s="152">
        <f>-Z253/'Model Assumptions'!$G$104</f>
        <v>-26105.229840678065</v>
      </c>
      <c r="AB186" s="152">
        <f>-AA253/'Model Assumptions'!$G$104</f>
        <v>-27336.809343333429</v>
      </c>
      <c r="AC186" s="152">
        <f>-AB253/'Model Assumptions'!$G$104</f>
        <v>-28547.862520944542</v>
      </c>
      <c r="AD186" s="152">
        <f>-AC253/'Model Assumptions'!$G$104</f>
        <v>-29738.731478928799</v>
      </c>
      <c r="AE186" s="152">
        <f>-AD253/'Model Assumptions'!$G$104</f>
        <v>-30909.752620946652</v>
      </c>
      <c r="AF186" s="152">
        <f>-AE253/'Model Assumptions'!$G$104</f>
        <v>-32061.256743930873</v>
      </c>
      <c r="AG186" s="152">
        <f>-AF253/'Model Assumptions'!$G$104</f>
        <v>-33193.569131532022</v>
      </c>
      <c r="AH186" s="152">
        <f>-AG253/'Model Assumptions'!$G$104</f>
        <v>-34307.009646006489</v>
      </c>
      <c r="AI186" s="152">
        <f>-AH253/'Model Assumptions'!$G$104</f>
        <v>-35401.892818573047</v>
      </c>
      <c r="AJ186" s="152">
        <f>-AI253/'Model Assumptions'!$G$104</f>
        <v>-36478.527938263498</v>
      </c>
      <c r="AK186" s="152">
        <f>-AJ253/'Model Assumptions'!$G$104</f>
        <v>-37537.219139292443</v>
      </c>
      <c r="AL186" s="152">
        <f>-AK253/'Model Assumptions'!$G$104</f>
        <v>-38578.2654869709</v>
      </c>
      <c r="AM186" s="152">
        <f>-AL253/'Model Assumptions'!$G$104</f>
        <v>-39601.961062188049</v>
      </c>
      <c r="AN186" s="152">
        <f>-AM253/'Model Assumptions'!$G$104</f>
        <v>-40608.595044484915</v>
      </c>
      <c r="AO186" s="152">
        <f>-AN253/'Model Assumptions'!$G$104</f>
        <v>-41598.451793743501</v>
      </c>
      <c r="AP186" s="152">
        <f>-AO253/'Model Assumptions'!$G$104</f>
        <v>-42571.810930514446</v>
      </c>
      <c r="AQ186" s="152">
        <f>-AP253/'Model Assumptions'!$G$104</f>
        <v>-43528.947415005874</v>
      </c>
      <c r="AR186" s="152">
        <f>-AQ253/'Model Assumptions'!$G$104</f>
        <v>-44470.131624755777</v>
      </c>
      <c r="AS186" s="152">
        <f>-AR253/'Model Assumptions'!$G$104</f>
        <v>-45395.629431009846</v>
      </c>
      <c r="AT186" s="152">
        <f>-AS253/'Model Assumptions'!$G$104</f>
        <v>-46305.702273826348</v>
      </c>
      <c r="AU186" s="152">
        <f>-AT253/'Model Assumptions'!$G$104</f>
        <v>-47200.607235929245</v>
      </c>
      <c r="AV186" s="152">
        <f>-AU253/'Model Assumptions'!$G$104</f>
        <v>-48080.59711533042</v>
      </c>
      <c r="AW186" s="152">
        <f>-AV253/'Model Assumptions'!$G$104</f>
        <v>-48945.920496741579</v>
      </c>
      <c r="AX186" s="152">
        <f>-AW253/'Model Assumptions'!$G$104</f>
        <v>-49796.821821795886</v>
      </c>
      <c r="AY186" s="152">
        <f>-AX253/'Model Assumptions'!$G$104</f>
        <v>-50633.541458099287</v>
      </c>
      <c r="AZ186" s="152">
        <f>-AY253/'Model Assumptions'!$G$104</f>
        <v>-51456.315767130967</v>
      </c>
      <c r="BA186" s="152">
        <f>-AZ253/'Model Assumptions'!$G$104</f>
        <v>-52265.377171012122</v>
      </c>
      <c r="BB186" s="152">
        <f>-BA253/'Model Assumptions'!$G$104</f>
        <v>-53060.954218161918</v>
      </c>
      <c r="BC186" s="152">
        <f>-BB253/'Model Assumptions'!$G$104</f>
        <v>-53843.271647859227</v>
      </c>
      <c r="BD186" s="152">
        <f>-BC253/'Model Assumptions'!$G$104</f>
        <v>-54612.550453728232</v>
      </c>
      <c r="BE186" s="152">
        <f>-BD253/'Model Assumptions'!$G$104</f>
        <v>-55369.007946166101</v>
      </c>
      <c r="BF186" s="152">
        <f>-BE253/'Model Assumptions'!$G$104</f>
        <v>-56112.857813729999</v>
      </c>
      <c r="BG186" s="152">
        <f>-BF253/'Model Assumptions'!$G$104</f>
        <v>-56844.310183501169</v>
      </c>
      <c r="BH186" s="152">
        <f>-BG253/'Model Assumptions'!$G$104</f>
        <v>-57563.571680442808</v>
      </c>
      <c r="BI186" s="152">
        <f>-BH253/'Model Assumptions'!$G$104</f>
        <v>-58270.845485768761</v>
      </c>
      <c r="BJ186" s="152">
        <f>-BI253/'Model Assumptions'!$G$104</f>
        <v>-58966.331394339286</v>
      </c>
      <c r="BK186" s="152">
        <f>-BJ253/'Model Assumptions'!$G$104</f>
        <v>-59650.225871100294</v>
      </c>
      <c r="BL186" s="152">
        <f>-BK253/'Model Assumptions'!$G$104</f>
        <v>-60322.722106581954</v>
      </c>
      <c r="BM186" s="152">
        <f>-BL253/'Model Assumptions'!$G$104</f>
        <v>-60984.010071472258</v>
      </c>
      <c r="BN186" s="152">
        <f>-BM253/'Model Assumptions'!$G$104</f>
        <v>-61634.27657028105</v>
      </c>
      <c r="BO186" s="152">
        <f>-BN253/'Model Assumptions'!$G$104</f>
        <v>-62273.705294109699</v>
      </c>
      <c r="BP186" s="152">
        <f>-BO253/'Model Assumptions'!$G$104</f>
        <v>-62902.476872541207</v>
      </c>
      <c r="BQ186" s="152">
        <f>-BP253/'Model Assumptions'!$G$104</f>
        <v>-63520.768924665521</v>
      </c>
      <c r="BR186" s="152">
        <f>-BQ253/'Model Assumptions'!$G$104</f>
        <v>-64128.756109254427</v>
      </c>
      <c r="BS186" s="152">
        <f>-BR253/'Model Assumptions'!$G$104</f>
        <v>-64726.610174100184</v>
      </c>
      <c r="BT186" s="152">
        <f>-BS253/'Model Assumptions'!$G$104</f>
        <v>-65314.500004531845</v>
      </c>
      <c r="BU186" s="152">
        <f>-BT253/'Model Assumptions'!$G$104</f>
        <v>-65892.59167112298</v>
      </c>
      <c r="BV186" s="152">
        <f>-BU253/'Model Assumptions'!$G$104</f>
        <v>-66461.048476604265</v>
      </c>
      <c r="BW186" s="152">
        <f>-BV253/'Model Assumptions'!$G$104</f>
        <v>-67020.031001994197</v>
      </c>
      <c r="BX186" s="152">
        <f>-BW253/'Model Assumptions'!$G$104</f>
        <v>-67569.697151960951</v>
      </c>
      <c r="BY186" s="152">
        <f>-BX253/'Model Assumptions'!$G$104</f>
        <v>-68110.20219942827</v>
      </c>
      <c r="BZ186" s="152">
        <f>-BY253/'Model Assumptions'!$G$104</f>
        <v>-68641.698829437795</v>
      </c>
      <c r="CA186" s="152">
        <f>-BZ253/'Model Assumptions'!$G$104</f>
        <v>-69164.337182280506</v>
      </c>
      <c r="CB186" s="152">
        <f>-CA253/'Model Assumptions'!$G$104</f>
        <v>-69678.26489590916</v>
      </c>
      <c r="CC186" s="152">
        <f>-CB253/'Model Assumptions'!$G$104</f>
        <v>-70183.627147644002</v>
      </c>
      <c r="CD186" s="152">
        <f>-CC253/'Model Assumptions'!$G$104</f>
        <v>-70680.566695183268</v>
      </c>
      <c r="CE186" s="152">
        <f>-CD253/'Model Assumptions'!$G$104</f>
        <v>-71169.223916930205</v>
      </c>
      <c r="CF186" s="152">
        <f>-CE253/'Model Assumptions'!$G$104</f>
        <v>-71649.736851648035</v>
      </c>
      <c r="CG186" s="152">
        <f>-CF253/'Model Assumptions'!$G$104</f>
        <v>-72122.241237453898</v>
      </c>
      <c r="CH186" s="152">
        <f>-CG253/'Model Assumptions'!$G$104</f>
        <v>-72586.870550163003</v>
      </c>
      <c r="CI186" s="152">
        <f>-CH253/'Model Assumptions'!$G$104</f>
        <v>-73043.756040993612</v>
      </c>
      <c r="CJ186" s="152">
        <f>-CI253/'Model Assumptions'!$G$104</f>
        <v>-73493.026773643709</v>
      </c>
      <c r="CK186" s="152">
        <f>-CJ253/'Model Assumptions'!$G$104</f>
        <v>-73934.809660749655</v>
      </c>
      <c r="CL186" s="152">
        <f>-CK253/'Model Assumptions'!$G$104</f>
        <v>-74369.229499737165</v>
      </c>
      <c r="CM186" s="152">
        <f>-CL253/'Model Assumptions'!$G$104</f>
        <v>-74796.409008074872</v>
      </c>
      <c r="CN186" s="152">
        <f>-CM253/'Model Assumptions'!$G$104</f>
        <v>-75216.468857940301</v>
      </c>
      <c r="CO186" s="152">
        <f>-CN253/'Model Assumptions'!$G$104</f>
        <v>-75629.527710307957</v>
      </c>
      <c r="CP186" s="152">
        <f>-CO253/'Model Assumptions'!$G$104</f>
        <v>-76035.70224846949</v>
      </c>
      <c r="CQ186" s="152">
        <f>-CP253/'Model Assumptions'!$G$104</f>
        <v>-76435.107210994989</v>
      </c>
      <c r="CR186" s="152">
        <f>-CQ253/'Model Assumptions'!$G$104</f>
        <v>-76827.855424145077</v>
      </c>
      <c r="CS186" s="152">
        <f>-CR253/'Model Assumptions'!$G$104</f>
        <v>-77214.057833742656</v>
      </c>
      <c r="CT186" s="152">
        <f>-CS253/'Model Assumptions'!$G$104</f>
        <v>-77593.823536513621</v>
      </c>
      <c r="CU186" s="152">
        <f>-CT253/'Model Assumptions'!$G$104</f>
        <v>-77967.25981090506</v>
      </c>
      <c r="CV186" s="152">
        <f>-CU253/'Model Assumptions'!$G$104</f>
        <v>-78334.472147389984</v>
      </c>
      <c r="CW186" s="152">
        <f>-CV253/'Model Assumptions'!$G$104</f>
        <v>-78695.564278266815</v>
      </c>
      <c r="CX186" s="152">
        <f>-CW253/'Model Assumptions'!$G$104</f>
        <v>-79050.638206962365</v>
      </c>
      <c r="CY186" s="152">
        <f>-CX253/'Model Assumptions'!$G$104</f>
        <v>-79399.794236846326</v>
      </c>
      <c r="CZ186" s="152">
        <f>-CY253/'Model Assumptions'!$G$104</f>
        <v>-79743.130999565561</v>
      </c>
      <c r="DA186" s="152">
        <f>-CZ253/'Model Assumptions'!$G$104</f>
        <v>-80080.745482906146</v>
      </c>
      <c r="DB186" s="152">
        <f>-DA253/'Model Assumptions'!$G$104</f>
        <v>-80412.73305819105</v>
      </c>
      <c r="DC186" s="152">
        <f>-DB253/'Model Assumptions'!$G$104</f>
        <v>-80739.187507221199</v>
      </c>
      <c r="DD186" s="152">
        <f>-DC253/'Model Assumptions'!$G$104</f>
        <v>-81060.2010487675</v>
      </c>
      <c r="DE186" s="152">
        <f>-DD253/'Model Assumptions'!$G$104</f>
        <v>-81375.86436462139</v>
      </c>
      <c r="DF186" s="152">
        <f>-DE253/'Model Assumptions'!$G$104</f>
        <v>-81686.266625211036</v>
      </c>
      <c r="DG186" s="152">
        <f>-DF253/'Model Assumptions'!$G$104</f>
        <v>-81991.495514790848</v>
      </c>
      <c r="DH186" s="152">
        <f>-DG253/'Model Assumptions'!$G$104</f>
        <v>-82291.637256211005</v>
      </c>
      <c r="DI186" s="152">
        <f>-DH253/'Model Assumptions'!$G$104</f>
        <v>-82586.77663527416</v>
      </c>
      <c r="DJ186" s="152">
        <f>-DI253/'Model Assumptions'!$G$104</f>
        <v>-82876.997024686265</v>
      </c>
      <c r="DK186" s="152">
        <f>-DJ253/'Model Assumptions'!$G$104</f>
        <v>-83162.380407608158</v>
      </c>
      <c r="DL186" s="152">
        <f>-DK253/'Model Assumptions'!$G$104</f>
        <v>-83443.007400814691</v>
      </c>
      <c r="DM186" s="152">
        <f>-DL253/'Model Assumptions'!$G$104</f>
        <v>-83718.95727746778</v>
      </c>
      <c r="DN186" s="152">
        <f>-DM253/'Model Assumptions'!$G$104</f>
        <v>-83990.307989509995</v>
      </c>
      <c r="DO186" s="152">
        <f>-DN253/'Model Assumptions'!$G$104</f>
        <v>-84257.136189684825</v>
      </c>
      <c r="DP186" s="152">
        <f>-DO253/'Model Assumptions'!$G$104</f>
        <v>-84519.517253190075</v>
      </c>
      <c r="DQ186" s="152">
        <f>-DP253/'Model Assumptions'!$G$104</f>
        <v>-84777.525298970242</v>
      </c>
      <c r="DR186" s="152">
        <f>-DQ253/'Model Assumptions'!$G$104</f>
        <v>-85031.233210654071</v>
      </c>
      <c r="DS186" s="152">
        <f>-DR253/'Model Assumptions'!$G$104</f>
        <v>-85280.712657143173</v>
      </c>
      <c r="DT186" s="152">
        <f>-DS253/'Model Assumptions'!$G$104</f>
        <v>-85526.034112857451</v>
      </c>
      <c r="DU186" s="152">
        <f>-DT253/'Model Assumptions'!$G$104</f>
        <v>-85767.266877643153</v>
      </c>
      <c r="DV186" s="152">
        <f>-DU253/'Model Assumptions'!$G$104</f>
        <v>-86004.47909634911</v>
      </c>
      <c r="DW186" s="152">
        <f>-DV253/'Model Assumptions'!$G$104</f>
        <v>-86237.737778076626</v>
      </c>
      <c r="DX186" s="152">
        <f>-DW253/'Model Assumptions'!$G$104</f>
        <v>-86467.108815108673</v>
      </c>
      <c r="DY186" s="152">
        <f>-DX253/'Model Assumptions'!$G$104</f>
        <v>-86692.657001523534</v>
      </c>
    </row>
    <row r="187" spans="3:129" outlineLevel="1">
      <c r="C187" s="42"/>
      <c r="J187" s="93"/>
      <c r="K187" s="93"/>
      <c r="L187" s="93"/>
      <c r="M187" s="93"/>
      <c r="N187" s="93"/>
      <c r="O187" s="93"/>
      <c r="P187" s="93"/>
      <c r="Q187" s="93"/>
      <c r="R187" s="93"/>
      <c r="S187" s="93"/>
      <c r="T187" s="93"/>
      <c r="U187" s="93"/>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row>
    <row r="188" spans="3:129" outlineLevel="1">
      <c r="C188" s="68" t="s">
        <v>182</v>
      </c>
      <c r="D188" s="68"/>
      <c r="E188" s="68"/>
      <c r="F188" s="56" t="s">
        <v>184</v>
      </c>
      <c r="G188" s="68"/>
      <c r="H188" s="68"/>
      <c r="I188" s="68"/>
      <c r="J188" s="90">
        <f ca="1">+_EBITDAcash+_Interest+_Depreciation+_FXlossgain</f>
        <v>4637567.3747505955</v>
      </c>
      <c r="K188" s="90">
        <f ca="1">+_EBITDAcash+_Interest+_Depreciation+_FXlossgain</f>
        <v>-255970.40434597491</v>
      </c>
      <c r="L188" s="90">
        <f t="shared" ref="L188:AO188" ca="1" si="426">+_EBITDAcash+_Interest+_Depreciation+_FXlossgain</f>
        <v>-249157.70346610891</v>
      </c>
      <c r="M188" s="90">
        <f t="shared" ca="1" si="426"/>
        <v>-241990.12598314491</v>
      </c>
      <c r="N188" s="90">
        <f t="shared" ca="1" si="426"/>
        <v>-234463.15453120493</v>
      </c>
      <c r="O188" s="90">
        <f t="shared" ca="1" si="426"/>
        <v>-226572.14902975989</v>
      </c>
      <c r="P188" s="90">
        <f t="shared" ca="1" si="426"/>
        <v>-218312.34466243672</v>
      </c>
      <c r="Q188" s="90">
        <f t="shared" ca="1" si="426"/>
        <v>-209678.8498092494</v>
      </c>
      <c r="R188" s="90">
        <f t="shared" ca="1" si="426"/>
        <v>-200666.64393140899</v>
      </c>
      <c r="S188" s="90">
        <f t="shared" ca="1" si="426"/>
        <v>-191270.57540785763</v>
      </c>
      <c r="T188" s="90">
        <f t="shared" ca="1" si="426"/>
        <v>-181485.35932265563</v>
      </c>
      <c r="U188" s="90">
        <f t="shared" ca="1" si="426"/>
        <v>-171305.57520231075</v>
      </c>
      <c r="V188" s="90">
        <f ca="1">+_EBITDAcash+_Interest+_Depreciation+_FXlossgain</f>
        <v>-142920.1631102004</v>
      </c>
      <c r="W188" s="90">
        <f t="shared" ca="1" si="426"/>
        <v>-128843.23685170998</v>
      </c>
      <c r="X188" s="90">
        <f t="shared" ca="1" si="426"/>
        <v>-114476.6183832266</v>
      </c>
      <c r="Y188" s="90">
        <f t="shared" ca="1" si="426"/>
        <v>-99815.790898295585</v>
      </c>
      <c r="Z188" s="90">
        <f t="shared" ca="1" si="426"/>
        <v>-84856.129026536655</v>
      </c>
      <c r="AA188" s="90">
        <f t="shared" ca="1" si="426"/>
        <v>-69592.896935591853</v>
      </c>
      <c r="AB188" s="90">
        <f t="shared" ca="1" si="426"/>
        <v>2945978.7536091181</v>
      </c>
      <c r="AC188" s="90">
        <f t="shared" ca="1" si="426"/>
        <v>-38136.214772364998</v>
      </c>
      <c r="AD188" s="90">
        <f t="shared" ca="1" si="426"/>
        <v>-21932.723047513879</v>
      </c>
      <c r="AE188" s="90">
        <f t="shared" ca="1" si="426"/>
        <v>-5405.5736997212953</v>
      </c>
      <c r="AF188" s="90">
        <f t="shared" ca="1" si="426"/>
        <v>11450.551388732401</v>
      </c>
      <c r="AG188" s="90">
        <f t="shared" ca="1" si="426"/>
        <v>28641.093099956532</v>
      </c>
      <c r="AH188" s="90">
        <f t="shared" ca="1" si="426"/>
        <v>-649869.75954125705</v>
      </c>
      <c r="AI188" s="90">
        <f t="shared" ca="1" si="426"/>
        <v>-134278.57758401847</v>
      </c>
      <c r="AJ188" s="90">
        <f t="shared" ca="1" si="426"/>
        <v>-118396.70911082238</v>
      </c>
      <c r="AK188" s="90">
        <f t="shared" ca="1" si="426"/>
        <v>-102219.26471378248</v>
      </c>
      <c r="AL188" s="90">
        <f t="shared" ca="1" si="426"/>
        <v>-85741.243492996466</v>
      </c>
      <c r="AM188" s="90">
        <f t="shared" ca="1" si="426"/>
        <v>-68957.531038084097</v>
      </c>
      <c r="AN188" s="90">
        <f t="shared" ca="1" si="426"/>
        <v>-44999.75673799403</v>
      </c>
      <c r="AO188" s="90">
        <f t="shared" ca="1" si="426"/>
        <v>-25399.998931384267</v>
      </c>
      <c r="AP188" s="90">
        <f t="shared" ref="AP188:BU188" ca="1" si="427">+_EBITDAcash+_Interest+_Depreciation+_FXlossgain</f>
        <v>-5527.5569042971183</v>
      </c>
      <c r="AQ188" s="90">
        <f t="shared" ca="1" si="427"/>
        <v>14622.334511557427</v>
      </c>
      <c r="AR188" s="90">
        <f t="shared" ca="1" si="427"/>
        <v>35054.546705743553</v>
      </c>
      <c r="AS188" s="90">
        <f t="shared" ca="1" si="427"/>
        <v>55774.059237140114</v>
      </c>
      <c r="AT188" s="90">
        <f t="shared" ca="1" si="427"/>
        <v>168597.44485008297</v>
      </c>
      <c r="AU188" s="90">
        <f t="shared" ca="1" si="427"/>
        <v>187415.71338204877</v>
      </c>
      <c r="AV188" s="90">
        <f t="shared" ca="1" si="427"/>
        <v>206573.86122380832</v>
      </c>
      <c r="AW188" s="90">
        <f t="shared" ca="1" si="427"/>
        <v>226078.0604626826</v>
      </c>
      <c r="AX188" s="90">
        <f t="shared" ca="1" si="427"/>
        <v>245934.61652863433</v>
      </c>
      <c r="AY188" s="90">
        <f t="shared" ca="1" si="427"/>
        <v>266149.97070135234</v>
      </c>
      <c r="AZ188" s="90">
        <f t="shared" ca="1" si="427"/>
        <v>286730.70267007512</v>
      </c>
      <c r="BA188" s="90">
        <f t="shared" ca="1" si="427"/>
        <v>307683.53314719547</v>
      </c>
      <c r="BB188" s="90">
        <f t="shared" ca="1" si="427"/>
        <v>329015.3265366407</v>
      </c>
      <c r="BC188" s="90">
        <f t="shared" ca="1" si="427"/>
        <v>350733.09365812887</v>
      </c>
      <c r="BD188" s="90">
        <f t="shared" ca="1" si="427"/>
        <v>372843.99452832813</v>
      </c>
      <c r="BE188" s="90">
        <f t="shared" ca="1" si="427"/>
        <v>395355.34120006458</v>
      </c>
      <c r="BF188" s="90">
        <f t="shared" ca="1" si="427"/>
        <v>78551.438122118852</v>
      </c>
      <c r="BG188" s="90">
        <f t="shared" ca="1" si="427"/>
        <v>341675.42629053263</v>
      </c>
      <c r="BH188" s="90">
        <f t="shared" ca="1" si="427"/>
        <v>365217.84376737149</v>
      </c>
      <c r="BI188" s="90">
        <f t="shared" ca="1" si="427"/>
        <v>389186.54923894512</v>
      </c>
      <c r="BJ188" s="90">
        <f t="shared" ca="1" si="427"/>
        <v>413589.56664428231</v>
      </c>
      <c r="BK188" s="90">
        <f t="shared" ca="1" si="427"/>
        <v>438435.0883497243</v>
      </c>
      <c r="BL188" s="90">
        <f t="shared" ca="1" si="427"/>
        <v>465583.33024099882</v>
      </c>
      <c r="BM188" s="90">
        <f t="shared" ca="1" si="427"/>
        <v>493190.97947479249</v>
      </c>
      <c r="BN188" s="90">
        <f t="shared" ca="1" si="427"/>
        <v>521266.75340963266</v>
      </c>
      <c r="BO188" s="90">
        <f ca="1">+_EBITDAcash+_Interest+_Depreciation+_FXlossgain</f>
        <v>549819.55119889602</v>
      </c>
      <c r="BP188" s="90">
        <f t="shared" ca="1" si="427"/>
        <v>578858.4573065755</v>
      </c>
      <c r="BQ188" s="90">
        <f t="shared" ca="1" si="427"/>
        <v>608392.74509530037</v>
      </c>
      <c r="BR188" s="90">
        <f ca="1">+_EBITDAcash+_Interest+_Depreciation+_FXlossgain</f>
        <v>293674.36009763734</v>
      </c>
      <c r="BS188" s="90">
        <f t="shared" ca="1" si="427"/>
        <v>521946.32364708098</v>
      </c>
      <c r="BT188" s="90">
        <f t="shared" ca="1" si="427"/>
        <v>549238.54064119316</v>
      </c>
      <c r="BU188" s="90">
        <f t="shared" ca="1" si="427"/>
        <v>575545.5798897167</v>
      </c>
      <c r="BV188" s="90">
        <f t="shared" ref="BV188:CB188" ca="1" si="428">+_EBITDAcash+_Interest+_Depreciation+_FXlossgain</f>
        <v>600861.76237688621</v>
      </c>
      <c r="BW188" s="90">
        <f t="shared" ca="1" si="428"/>
        <v>625181.15765632736</v>
      </c>
      <c r="BX188" s="90">
        <f t="shared" ca="1" si="428"/>
        <v>650040.79003759148</v>
      </c>
      <c r="BY188" s="90">
        <f t="shared" ca="1" si="428"/>
        <v>673891.00517996086</v>
      </c>
      <c r="BZ188" s="90">
        <f t="shared" ca="1" si="428"/>
        <v>696725.09585740045</v>
      </c>
      <c r="CA188" s="90">
        <f t="shared" ca="1" si="428"/>
        <v>718536.08812755265</v>
      </c>
      <c r="CB188" s="90">
        <f t="shared" ca="1" si="428"/>
        <v>739316.73728579667</v>
      </c>
      <c r="CC188" s="90">
        <f t="shared" ref="CC188:DH188" ca="1" si="429">+_EBITDAcash+_Interest+_Depreciation+_FXlossgain</f>
        <v>759059.52372613922</v>
      </c>
      <c r="CD188" s="90">
        <f t="shared" ca="1" si="429"/>
        <v>492510.87292113178</v>
      </c>
      <c r="CE188" s="90">
        <f t="shared" ca="1" si="429"/>
        <v>708741.33263954194</v>
      </c>
      <c r="CF188" s="90">
        <f t="shared" ca="1" si="429"/>
        <v>724450.79052321997</v>
      </c>
      <c r="CG188" s="90">
        <f t="shared" ca="1" si="429"/>
        <v>739635.71257893718</v>
      </c>
      <c r="CH188" s="90">
        <f t="shared" ca="1" si="429"/>
        <v>754292.42726398574</v>
      </c>
      <c r="CI188" s="90">
        <f t="shared" ca="1" si="429"/>
        <v>768417.12337071879</v>
      </c>
      <c r="CJ188" s="90">
        <f t="shared" ca="1" si="429"/>
        <v>783549.05773949274</v>
      </c>
      <c r="CK188" s="90">
        <f t="shared" ca="1" si="429"/>
        <v>798140.92341643583</v>
      </c>
      <c r="CL188" s="90">
        <f t="shared" ca="1" si="429"/>
        <v>812188.47702051152</v>
      </c>
      <c r="CM188" s="90">
        <f t="shared" ca="1" si="429"/>
        <v>825687.32655349339</v>
      </c>
      <c r="CN188" s="90">
        <f t="shared" ca="1" si="429"/>
        <v>838632.92903461843</v>
      </c>
      <c r="CO188" s="90">
        <f t="shared" ca="1" si="429"/>
        <v>851020.5880823537</v>
      </c>
      <c r="CP188" s="90">
        <f t="shared" ca="1" si="429"/>
        <v>575122.01324464497</v>
      </c>
      <c r="CQ188" s="90">
        <f t="shared" ca="1" si="429"/>
        <v>782310.16822571843</v>
      </c>
      <c r="CR188" s="90">
        <f t="shared" ca="1" si="429"/>
        <v>789249.65818147978</v>
      </c>
      <c r="CS188" s="90">
        <f t="shared" ca="1" si="429"/>
        <v>795938.34880602907</v>
      </c>
      <c r="CT188" s="90">
        <f t="shared" ca="1" si="429"/>
        <v>802374.03634460387</v>
      </c>
      <c r="CU188" s="90">
        <f t="shared" ca="1" si="429"/>
        <v>808554.44644511468</v>
      </c>
      <c r="CV188" s="90">
        <f t="shared" ca="1" si="429"/>
        <v>815659.13342847559</v>
      </c>
      <c r="CW188" s="90">
        <f t="shared" ca="1" si="429"/>
        <v>822705.33319689683</v>
      </c>
      <c r="CX188" s="90">
        <f t="shared" ca="1" si="429"/>
        <v>829718.73087861098</v>
      </c>
      <c r="CY188" s="90">
        <f t="shared" ca="1" si="429"/>
        <v>836699.02312944224</v>
      </c>
      <c r="CZ188" s="90">
        <f t="shared" ca="1" si="429"/>
        <v>843645.89848247636</v>
      </c>
      <c r="DA188" s="90">
        <f t="shared" ca="1" si="429"/>
        <v>850559.03718163294</v>
      </c>
      <c r="DB188" s="90">
        <f t="shared" ca="1" si="429"/>
        <v>574091.24740352144</v>
      </c>
      <c r="DC188" s="90">
        <f t="shared" ca="1" si="429"/>
        <v>780923.70301475411</v>
      </c>
      <c r="DD188" s="90">
        <f t="shared" ca="1" si="429"/>
        <v>787725.63717010559</v>
      </c>
      <c r="DE188" s="90">
        <f t="shared" ca="1" si="429"/>
        <v>794496.73504986882</v>
      </c>
      <c r="DF188" s="90">
        <f t="shared" ca="1" si="429"/>
        <v>801236.6739118445</v>
      </c>
      <c r="DG188" s="90">
        <f t="shared" ca="1" si="429"/>
        <v>807945.12292698852</v>
      </c>
      <c r="DH188" s="90">
        <f t="shared" ca="1" si="429"/>
        <v>816164.95288874605</v>
      </c>
      <c r="DI188" s="90">
        <f t="shared" ref="DI188:DY188" ca="1" si="430">+_EBITDAcash+_Interest+_Depreciation+_FXlossgain</f>
        <v>824352.60641327477</v>
      </c>
      <c r="DJ188" s="90">
        <f t="shared" ca="1" si="430"/>
        <v>832507.7273959408</v>
      </c>
      <c r="DK188" s="90">
        <f t="shared" ca="1" si="430"/>
        <v>840629.95095857978</v>
      </c>
      <c r="DL188" s="90">
        <f t="shared" ca="1" si="430"/>
        <v>848718.9032701517</v>
      </c>
      <c r="DM188" s="90">
        <f t="shared" ca="1" si="430"/>
        <v>856774.20136420627</v>
      </c>
      <c r="DN188" s="90">
        <f t="shared" ca="1" si="430"/>
        <v>494580.58259062946</v>
      </c>
      <c r="DO188" s="90">
        <f t="shared" ca="1" si="430"/>
        <v>760707.72277236602</v>
      </c>
      <c r="DP188" s="90">
        <f t="shared" ca="1" si="430"/>
        <v>766822.0899126071</v>
      </c>
      <c r="DQ188" s="90">
        <f t="shared" ca="1" si="430"/>
        <v>772923.48191640177</v>
      </c>
      <c r="DR188" s="90">
        <f t="shared" ca="1" si="430"/>
        <v>779011.6932003157</v>
      </c>
      <c r="DS188" s="90">
        <f t="shared" ca="1" si="430"/>
        <v>785086.51459901966</v>
      </c>
      <c r="DT188" s="90">
        <f t="shared" ca="1" si="430"/>
        <v>793153.90611003235</v>
      </c>
      <c r="DU188" s="90">
        <f t="shared" ca="1" si="430"/>
        <v>801207.47827908827</v>
      </c>
      <c r="DV188" s="90">
        <f t="shared" ca="1" si="430"/>
        <v>809247.0106211371</v>
      </c>
      <c r="DW188" s="90">
        <f t="shared" ca="1" si="430"/>
        <v>817272.2786818617</v>
      </c>
      <c r="DX188" s="90">
        <f t="shared" ca="1" si="430"/>
        <v>825283.05393723771</v>
      </c>
      <c r="DY188" s="90">
        <f t="shared" ca="1" si="430"/>
        <v>833279.10369157116</v>
      </c>
    </row>
    <row r="189" spans="3:129" outlineLevel="1">
      <c r="C189" s="37" t="s">
        <v>183</v>
      </c>
      <c r="D189" s="37"/>
      <c r="E189" s="37"/>
      <c r="F189" s="55" t="s">
        <v>185</v>
      </c>
      <c r="G189" s="37"/>
      <c r="H189" s="37"/>
      <c r="I189" s="37"/>
      <c r="J189" s="109">
        <f ca="1">+_EBITDAAcc+_Interest+_Depreciation+_FXlossgain</f>
        <v>5334310.3596379822</v>
      </c>
      <c r="K189" s="109">
        <f ca="1">+_EBITDAAcc+_Interest+_Depreciation+_FXlossgain</f>
        <v>440281.71255153813</v>
      </c>
      <c r="L189" s="109">
        <f t="shared" ref="L189:AO189" ca="1" si="431">+_EBITDAAcc+_Interest+_Depreciation+_FXlossgain</f>
        <v>445937.80216642888</v>
      </c>
      <c r="M189" s="109">
        <f t="shared" ca="1" si="431"/>
        <v>451276.26950296882</v>
      </c>
      <c r="N189" s="109">
        <f t="shared" ca="1" si="431"/>
        <v>456294.67561596713</v>
      </c>
      <c r="O189" s="109">
        <f t="shared" ca="1" si="431"/>
        <v>460990.50021199725</v>
      </c>
      <c r="P189" s="109">
        <f t="shared" ca="1" si="431"/>
        <v>465361.14023870131</v>
      </c>
      <c r="Q189" s="109">
        <f t="shared" ca="1" si="431"/>
        <v>469403.90844553127</v>
      </c>
      <c r="R189" s="109">
        <f t="shared" ca="1" si="431"/>
        <v>473116.0319153514</v>
      </c>
      <c r="S189" s="109">
        <f t="shared" ca="1" si="431"/>
        <v>476494.65056627314</v>
      </c>
      <c r="T189" s="109">
        <f t="shared" ca="1" si="431"/>
        <v>479536.81562310859</v>
      </c>
      <c r="U189" s="109">
        <f t="shared" ca="1" si="431"/>
        <v>482239.48805781797</v>
      </c>
      <c r="V189" s="109">
        <f t="shared" ca="1" si="431"/>
        <v>552669.3968749902</v>
      </c>
      <c r="W189" s="109">
        <f t="shared" ca="1" si="431"/>
        <v>568262.32020182011</v>
      </c>
      <c r="X189" s="109">
        <f t="shared" ca="1" si="431"/>
        <v>584016.71630975546</v>
      </c>
      <c r="Y189" s="109">
        <f t="shared" ca="1" si="431"/>
        <v>599936.12301037577</v>
      </c>
      <c r="Z189" s="109">
        <f t="shared" ca="1" si="431"/>
        <v>616024.15124535165</v>
      </c>
      <c r="AA189" s="109">
        <f t="shared" ca="1" si="431"/>
        <v>632284.48643435875</v>
      </c>
      <c r="AB189" s="109">
        <f t="shared" ca="1" si="431"/>
        <v>3648720.8898525983</v>
      </c>
      <c r="AC189" s="109">
        <f t="shared" ca="1" si="431"/>
        <v>665337.20003848663</v>
      </c>
      <c r="AD189" s="109">
        <f t="shared" ca="1" si="431"/>
        <v>682137.33423206129</v>
      </c>
      <c r="AE189" s="109">
        <f t="shared" ca="1" si="431"/>
        <v>699125.28984466067</v>
      </c>
      <c r="AF189" s="109">
        <f t="shared" ca="1" si="431"/>
        <v>716305.14596045716</v>
      </c>
      <c r="AG189" s="109">
        <f t="shared" ca="1" si="431"/>
        <v>733681.06487043703</v>
      </c>
      <c r="AH189" s="109">
        <f t="shared" ca="1" si="431"/>
        <v>137240.98168752718</v>
      </c>
      <c r="AI189" s="109">
        <f t="shared" ca="1" si="431"/>
        <v>664138.01413743547</v>
      </c>
      <c r="AJ189" s="109">
        <f t="shared" ca="1" si="431"/>
        <v>691473.91252969962</v>
      </c>
      <c r="AK189" s="109">
        <f t="shared" ca="1" si="431"/>
        <v>719257.30923657224</v>
      </c>
      <c r="AL189" s="109">
        <f t="shared" ca="1" si="431"/>
        <v>747497.01518784428</v>
      </c>
      <c r="AM189" s="109">
        <f t="shared" ca="1" si="431"/>
        <v>776202.02330856584</v>
      </c>
      <c r="AN189" s="109">
        <f t="shared" ca="1" si="431"/>
        <v>825961.45631089993</v>
      </c>
      <c r="AO189" s="109">
        <f t="shared" ca="1" si="431"/>
        <v>863585.5458601279</v>
      </c>
      <c r="AP189" s="109">
        <f t="shared" ref="AP189:BU189" ca="1" si="432">+_EBITDAAcc+_Interest+_Depreciation+_FXlossgain</f>
        <v>901815.40887634363</v>
      </c>
      <c r="AQ189" s="109">
        <f t="shared" ca="1" si="432"/>
        <v>940662.74628665135</v>
      </c>
      <c r="AR189" s="109">
        <f t="shared" ca="1" si="432"/>
        <v>980139.5012148642</v>
      </c>
      <c r="AS189" s="109">
        <f t="shared" ca="1" si="432"/>
        <v>1020257.8636764575</v>
      </c>
      <c r="AT189" s="109">
        <f t="shared" ca="1" si="432"/>
        <v>1233456.6170092055</v>
      </c>
      <c r="AU189" s="109">
        <f t="shared" ca="1" si="432"/>
        <v>1274067.39381118</v>
      </c>
      <c r="AV189" s="109">
        <f t="shared" ca="1" si="432"/>
        <v>1315432.1005917594</v>
      </c>
      <c r="AW189" s="109">
        <f t="shared" ca="1" si="432"/>
        <v>1357565.4084466065</v>
      </c>
      <c r="AX189" s="109">
        <f t="shared" ca="1" si="432"/>
        <v>1400482.289614243</v>
      </c>
      <c r="AY189" s="109">
        <f t="shared" ca="1" si="432"/>
        <v>1444198.0233609364</v>
      </c>
      <c r="AZ189" s="109">
        <f t="shared" ca="1" si="432"/>
        <v>1488728.2019856712</v>
      </c>
      <c r="BA189" s="109">
        <f t="shared" ca="1" si="432"/>
        <v>1534088.7369475747</v>
      </c>
      <c r="BB189" s="109">
        <f t="shared" ca="1" si="432"/>
        <v>1580295.8651181918</v>
      </c>
      <c r="BC189" s="109">
        <f t="shared" ca="1" si="432"/>
        <v>1627366.1551611039</v>
      </c>
      <c r="BD189" s="109">
        <f t="shared" ca="1" si="432"/>
        <v>1675316.5140413349</v>
      </c>
      <c r="BE189" s="109">
        <f t="shared" ca="1" si="432"/>
        <v>1724164.1936671822</v>
      </c>
      <c r="BF189" s="109">
        <f t="shared" ca="1" si="432"/>
        <v>1435694.6219928865</v>
      </c>
      <c r="BG189" s="109">
        <f t="shared" ca="1" si="432"/>
        <v>1726852.9432966111</v>
      </c>
      <c r="BH189" s="109">
        <f t="shared" ca="1" si="432"/>
        <v>1778973.0169619871</v>
      </c>
      <c r="BI189" s="109">
        <f t="shared" ca="1" si="432"/>
        <v>1832073.7417724847</v>
      </c>
      <c r="BJ189" s="109">
        <f t="shared" ca="1" si="432"/>
        <v>1886174.4008298751</v>
      </c>
      <c r="BK189" s="109">
        <f t="shared" ca="1" si="432"/>
        <v>1941294.6691274967</v>
      </c>
      <c r="BL189" s="109">
        <f t="shared" ca="1" si="432"/>
        <v>1999306.4731288115</v>
      </c>
      <c r="BM189" s="109">
        <f t="shared" ca="1" si="432"/>
        <v>2058378.4430950009</v>
      </c>
      <c r="BN189" s="109">
        <f t="shared" ca="1" si="432"/>
        <v>2118531.4766832399</v>
      </c>
      <c r="BO189" s="109">
        <f t="shared" ca="1" si="432"/>
        <v>2179786.895300258</v>
      </c>
      <c r="BP189" s="109">
        <f t="shared" ca="1" si="432"/>
        <v>2242166.4524737233</v>
      </c>
      <c r="BQ189" s="109">
        <f t="shared" ca="1" si="432"/>
        <v>2305692.3423928162</v>
      </c>
      <c r="BR189" s="109">
        <f t="shared" ca="1" si="432"/>
        <v>1927984.7837509946</v>
      </c>
      <c r="BS189" s="109">
        <f t="shared" ca="1" si="432"/>
        <v>2096003.5891136269</v>
      </c>
      <c r="BT189" s="109">
        <f t="shared" ca="1" si="432"/>
        <v>2066414.8440211047</v>
      </c>
      <c r="BU189" s="109">
        <f t="shared" ca="1" si="432"/>
        <v>2039234.788612541</v>
      </c>
      <c r="BV189" s="109">
        <f t="shared" ref="BV189:CB189" ca="1" si="433">+_EBITDAAcc+_Interest+_Depreciation+_FXlossgain</f>
        <v>2014480.3063540403</v>
      </c>
      <c r="BW189" s="109">
        <f t="shared" ca="1" si="433"/>
        <v>1992168.9336794177</v>
      </c>
      <c r="BX189" s="109">
        <f t="shared" ca="1" si="433"/>
        <v>1973862.0797331904</v>
      </c>
      <c r="BY189" s="109">
        <f t="shared" ca="1" si="433"/>
        <v>1958035.4068373148</v>
      </c>
      <c r="BZ189" s="109">
        <f t="shared" ca="1" si="433"/>
        <v>1944708.4704513857</v>
      </c>
      <c r="CA189" s="109">
        <f t="shared" ca="1" si="433"/>
        <v>1933901.5198651813</v>
      </c>
      <c r="CB189" s="109">
        <f t="shared" ca="1" si="433"/>
        <v>1925635.5090107368</v>
      </c>
      <c r="CC189" s="109">
        <f t="shared" ref="CC189:DH189" ca="1" si="434">+_EBITDAAcc+_Interest+_Depreciation+_FXlossgain</f>
        <v>1919932.1075219333</v>
      </c>
      <c r="CD189" s="109">
        <f t="shared" ca="1" si="434"/>
        <v>1630097.6615037483</v>
      </c>
      <c r="CE189" s="109">
        <f t="shared" ca="1" si="434"/>
        <v>1824595.6999980095</v>
      </c>
      <c r="CF189" s="109">
        <f t="shared" ca="1" si="434"/>
        <v>1820203.1168414697</v>
      </c>
      <c r="CG189" s="109">
        <f t="shared" ca="1" si="434"/>
        <v>1816928.3353584867</v>
      </c>
      <c r="CH189" s="109">
        <f t="shared" ca="1" si="434"/>
        <v>1814780.0869731668</v>
      </c>
      <c r="CI189" s="109">
        <f t="shared" ca="1" si="434"/>
        <v>1813767.4159418354</v>
      </c>
      <c r="CJ189" s="109">
        <f t="shared" ca="1" si="434"/>
        <v>1815442.8940715606</v>
      </c>
      <c r="CK189" s="109">
        <f t="shared" ca="1" si="434"/>
        <v>1818272.996044029</v>
      </c>
      <c r="CL189" s="109">
        <f t="shared" ca="1" si="434"/>
        <v>1822267.7341123065</v>
      </c>
      <c r="CM189" s="109">
        <f t="shared" ca="1" si="434"/>
        <v>1827437.4534071048</v>
      </c>
      <c r="CN189" s="109">
        <f t="shared" ca="1" si="434"/>
        <v>1833792.8372375399</v>
      </c>
      <c r="CO189" s="109">
        <f t="shared" ca="1" si="434"/>
        <v>1841344.9125119017</v>
      </c>
      <c r="CP189" s="109">
        <f t="shared" ca="1" si="434"/>
        <v>1560248.839372026</v>
      </c>
      <c r="CQ189" s="109">
        <f t="shared" ca="1" si="434"/>
        <v>1762976.4812913679</v>
      </c>
      <c r="CR189" s="109">
        <f t="shared" ca="1" si="434"/>
        <v>1766198.7729785403</v>
      </c>
      <c r="CS189" s="109">
        <f t="shared" ca="1" si="434"/>
        <v>1769920.1211729608</v>
      </c>
      <c r="CT189" s="109">
        <f t="shared" ca="1" si="434"/>
        <v>1774145.0772385986</v>
      </c>
      <c r="CU189" s="109">
        <f t="shared" ca="1" si="434"/>
        <v>1778878.3394644512</v>
      </c>
      <c r="CV189" s="109">
        <f t="shared" ca="1" si="434"/>
        <v>1783670.8635314952</v>
      </c>
      <c r="CW189" s="109">
        <f t="shared" ca="1" si="434"/>
        <v>1788478.4907804339</v>
      </c>
      <c r="CX189" s="109">
        <f t="shared" ca="1" si="434"/>
        <v>1793373.1536796098</v>
      </c>
      <c r="CY189" s="109">
        <f t="shared" ca="1" si="434"/>
        <v>1798355.2995477198</v>
      </c>
      <c r="CZ189" s="109">
        <f t="shared" ca="1" si="434"/>
        <v>1803425.3990548905</v>
      </c>
      <c r="DA189" s="109">
        <f t="shared" ca="1" si="434"/>
        <v>1808583.9465211278</v>
      </c>
      <c r="DB189" s="109">
        <f t="shared" ca="1" si="434"/>
        <v>1530481.3039504813</v>
      </c>
      <c r="DC189" s="109">
        <f t="shared" ca="1" si="434"/>
        <v>1735781.701850422</v>
      </c>
      <c r="DD189" s="109">
        <f t="shared" ca="1" si="434"/>
        <v>1741160.2706534276</v>
      </c>
      <c r="DE189" s="109">
        <f t="shared" ca="1" si="434"/>
        <v>1746617.476051836</v>
      </c>
      <c r="DF189" s="109">
        <f t="shared" ca="1" si="434"/>
        <v>1752153.8053590888</v>
      </c>
      <c r="DG189" s="109">
        <f t="shared" ca="1" si="434"/>
        <v>1757769.7677969146</v>
      </c>
      <c r="DH189" s="109">
        <f t="shared" ca="1" si="434"/>
        <v>1765009.1046666179</v>
      </c>
      <c r="DI189" s="109">
        <f t="shared" ref="DI189:DY189" ca="1" si="435">+_EBITDAAcc+_Interest+_Depreciation+_FXlossgain</f>
        <v>1772329.1600218911</v>
      </c>
      <c r="DJ189" s="109">
        <f t="shared" ca="1" si="435"/>
        <v>1779730.5106087166</v>
      </c>
      <c r="DK189" s="109">
        <f t="shared" ca="1" si="435"/>
        <v>1787213.7563070273</v>
      </c>
      <c r="DL189" s="109">
        <f t="shared" ca="1" si="435"/>
        <v>1794779.5204570156</v>
      </c>
      <c r="DM189" s="109">
        <f t="shared" ca="1" si="435"/>
        <v>1802428.4501936908</v>
      </c>
      <c r="DN189" s="109">
        <f t="shared" ca="1" si="435"/>
        <v>1439788.7260756965</v>
      </c>
      <c r="DO189" s="109">
        <f t="shared" ca="1" si="435"/>
        <v>1705519.0092737067</v>
      </c>
      <c r="DP189" s="109">
        <f t="shared" ca="1" si="435"/>
        <v>1711286.1710471658</v>
      </c>
      <c r="DQ189" s="109">
        <f t="shared" ca="1" si="435"/>
        <v>1717090.4264458923</v>
      </c>
      <c r="DR189" s="109">
        <f t="shared" ca="1" si="435"/>
        <v>1722932.0011330023</v>
      </c>
      <c r="DS189" s="109">
        <f t="shared" ca="1" si="435"/>
        <v>1728811.1315159276</v>
      </c>
      <c r="DT189" s="109">
        <f t="shared" ca="1" si="435"/>
        <v>1736734.2377206709</v>
      </c>
      <c r="DU189" s="109">
        <f t="shared" ca="1" si="435"/>
        <v>1744695.4052118671</v>
      </c>
      <c r="DV189" s="109">
        <f t="shared" ca="1" si="435"/>
        <v>1752694.9034536805</v>
      </c>
      <c r="DW189" s="109">
        <f t="shared" ca="1" si="435"/>
        <v>1760733.0132166394</v>
      </c>
      <c r="DX189" s="109">
        <f t="shared" ca="1" si="435"/>
        <v>1768810.0267279265</v>
      </c>
      <c r="DY189" s="109">
        <f t="shared" ca="1" si="435"/>
        <v>1776926.2478257196</v>
      </c>
    </row>
    <row r="190" spans="3:129" outlineLevel="1">
      <c r="C190" s="37"/>
      <c r="D190" s="37"/>
      <c r="E190" s="37"/>
      <c r="G190" s="37"/>
      <c r="H190" s="37"/>
      <c r="I190" s="37"/>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row>
    <row r="191" spans="3:129" outlineLevel="1">
      <c r="C191" s="56" t="s">
        <v>462</v>
      </c>
      <c r="D191" s="56"/>
      <c r="E191" s="56"/>
      <c r="F191" s="56"/>
      <c r="G191" s="56"/>
      <c r="H191" s="56"/>
      <c r="I191" s="56"/>
      <c r="J191" s="289">
        <f ca="1">_EBTcash-_TotalOpex*_percentnondeductable</f>
        <v>4684661.3764535505</v>
      </c>
      <c r="K191" s="289">
        <f t="shared" ref="K191:AO191" ca="1" si="436">_EBTcash-_TotalOpex*_percentnondeductable</f>
        <v>-208113.723233456</v>
      </c>
      <c r="L191" s="289">
        <f t="shared" ca="1" si="436"/>
        <v>-200509.31766162155</v>
      </c>
      <c r="M191" s="289">
        <f t="shared" ca="1" si="436"/>
        <v>-192520.56741557876</v>
      </c>
      <c r="N191" s="289">
        <f t="shared" ca="1" si="436"/>
        <v>-184142.50210780019</v>
      </c>
      <c r="O191" s="289">
        <f t="shared" ca="1" si="436"/>
        <v>-175370.01821227654</v>
      </c>
      <c r="P191" s="289">
        <f t="shared" ca="1" si="436"/>
        <v>-166197.87684848116</v>
      </c>
      <c r="Q191" s="289">
        <f t="shared" ca="1" si="436"/>
        <v>-156620.70151472528</v>
      </c>
      <c r="R191" s="289">
        <f t="shared" ca="1" si="436"/>
        <v>-146632.9757699797</v>
      </c>
      <c r="S191" s="289">
        <f t="shared" ca="1" si="436"/>
        <v>-136229.0408632271</v>
      </c>
      <c r="T191" s="289">
        <f t="shared" ca="1" si="436"/>
        <v>-125403.09330939144</v>
      </c>
      <c r="U191" s="289">
        <f t="shared" ca="1" si="436"/>
        <v>-114149.18241084948</v>
      </c>
      <c r="V191" s="289">
        <f t="shared" ca="1" si="436"/>
        <v>-84571.970301597554</v>
      </c>
      <c r="W191" s="289">
        <f t="shared" ca="1" si="436"/>
        <v>-69537.496386178376</v>
      </c>
      <c r="X191" s="289">
        <f t="shared" ca="1" si="436"/>
        <v>-54191.225113319924</v>
      </c>
      <c r="Y191" s="289">
        <f t="shared" ca="1" si="436"/>
        <v>-38528.227115561691</v>
      </c>
      <c r="Z191" s="289">
        <f t="shared" ca="1" si="436"/>
        <v>-22543.455914877966</v>
      </c>
      <c r="AA191" s="289">
        <f t="shared" ca="1" si="436"/>
        <v>-6231.7458566472924</v>
      </c>
      <c r="AB191" s="289">
        <f t="shared" ca="1" si="436"/>
        <v>3010412.190001959</v>
      </c>
      <c r="AC191" s="289">
        <f t="shared" ca="1" si="436"/>
        <v>27393.762050042387</v>
      </c>
      <c r="AD191" s="289">
        <f t="shared" ca="1" si="436"/>
        <v>44718.506328349482</v>
      </c>
      <c r="AE191" s="289">
        <f t="shared" ca="1" si="436"/>
        <v>62392.086782812374</v>
      </c>
      <c r="AF191" s="289">
        <f t="shared" ca="1" si="436"/>
        <v>80420.297567193586</v>
      </c>
      <c r="AG191" s="289">
        <f t="shared" ca="1" si="436"/>
        <v>98809.065395716287</v>
      </c>
      <c r="AH191" s="289">
        <f ca="1">_EBTcash-_TotalOpex*_percentnondeductable</f>
        <v>-578282.78334301396</v>
      </c>
      <c r="AI191" s="289">
        <f t="shared" ca="1" si="436"/>
        <v>-61602.561408067049</v>
      </c>
      <c r="AJ191" s="289">
        <f t="shared" ca="1" si="436"/>
        <v>-44608.490643109937</v>
      </c>
      <c r="AK191" s="289">
        <f t="shared" ca="1" si="436"/>
        <v>-27295.232209120266</v>
      </c>
      <c r="AL191" s="289">
        <f t="shared" ca="1" si="436"/>
        <v>-9657.3266482855106</v>
      </c>
      <c r="AM191" s="289">
        <f t="shared" ca="1" si="436"/>
        <v>8310.8083156129724</v>
      </c>
      <c r="AN191" s="289">
        <f t="shared" ca="1" si="436"/>
        <v>33536.211177209087</v>
      </c>
      <c r="AO191" s="289">
        <f t="shared" ca="1" si="436"/>
        <v>54285.037029047948</v>
      </c>
      <c r="AP191" s="289">
        <f t="shared" ref="AP191:BU191" ca="1" si="437">_EBTcash-_TotalOpex*_percentnondeductable</f>
        <v>75330.05583344007</v>
      </c>
      <c r="AQ191" s="289">
        <f t="shared" ca="1" si="437"/>
        <v>96676.497659605287</v>
      </c>
      <c r="AR191" s="289">
        <f t="shared" ca="1" si="437"/>
        <v>118329.70814879332</v>
      </c>
      <c r="AS191" s="289">
        <f t="shared" ca="1" si="437"/>
        <v>140295.15064881195</v>
      </c>
      <c r="AT191" s="289">
        <f t="shared" ca="1" si="437"/>
        <v>250114.56618190277</v>
      </c>
      <c r="AU191" s="289">
        <f t="shared" ca="1" si="437"/>
        <v>270146.08391296008</v>
      </c>
      <c r="AV191" s="289">
        <f t="shared" ca="1" si="437"/>
        <v>290542.13616327674</v>
      </c>
      <c r="AW191" s="289">
        <f t="shared" ca="1" si="437"/>
        <v>311309.38422210829</v>
      </c>
      <c r="AX191" s="289">
        <f t="shared" ca="1" si="437"/>
        <v>332454.63254441321</v>
      </c>
      <c r="AY191" s="289">
        <f t="shared" ca="1" si="437"/>
        <v>353984.83145400812</v>
      </c>
      <c r="AZ191" s="289">
        <f t="shared" ca="1" si="437"/>
        <v>375907.07990338816</v>
      </c>
      <c r="BA191" s="289">
        <f t="shared" ca="1" si="437"/>
        <v>398228.62829133123</v>
      </c>
      <c r="BB191" s="289">
        <f t="shared" ca="1" si="437"/>
        <v>420956.88133936247</v>
      </c>
      <c r="BC191" s="289">
        <f t="shared" ca="1" si="437"/>
        <v>444099.40102825966</v>
      </c>
      <c r="BD191" s="289">
        <f t="shared" ca="1" si="437"/>
        <v>467663.90959571104</v>
      </c>
      <c r="BE191" s="289">
        <f t="shared" ca="1" si="437"/>
        <v>491658.2925963545</v>
      </c>
      <c r="BF191" s="289">
        <f t="shared" ca="1" si="437"/>
        <v>176381.91769898057</v>
      </c>
      <c r="BG191" s="289">
        <f t="shared" ca="1" si="437"/>
        <v>441038.8735201144</v>
      </c>
      <c r="BH191" s="289">
        <f t="shared" ca="1" si="437"/>
        <v>466145.22779822268</v>
      </c>
      <c r="BI191" s="289">
        <f t="shared" ca="1" si="437"/>
        <v>491709.45550463104</v>
      </c>
      <c r="BJ191" s="289">
        <f t="shared" ca="1" si="437"/>
        <v>517740.20922006416</v>
      </c>
      <c r="BK191" s="289">
        <f t="shared" ca="1" si="437"/>
        <v>544246.32255606307</v>
      </c>
      <c r="BL191" s="289">
        <f t="shared" ca="1" si="437"/>
        <v>573088.66549882176</v>
      </c>
      <c r="BM191" s="289">
        <f t="shared" ca="1" si="437"/>
        <v>602424.59241756261</v>
      </c>
      <c r="BN191" s="289">
        <f t="shared" ca="1" si="437"/>
        <v>632263.50125735765</v>
      </c>
      <c r="BO191" s="289">
        <f t="shared" ca="1" si="437"/>
        <v>662614.98539932084</v>
      </c>
      <c r="BP191" s="289">
        <f t="shared" ca="1" si="437"/>
        <v>693488.83744890336</v>
      </c>
      <c r="BQ191" s="289">
        <f t="shared" ca="1" si="437"/>
        <v>724895.05310189712</v>
      </c>
      <c r="BR191" s="289">
        <f ca="1">_EBTcash-_TotalOpex*_percentnondeductable</f>
        <v>414603.98872499372</v>
      </c>
      <c r="BS191" s="289">
        <f t="shared" ca="1" si="437"/>
        <v>644176.06483233743</v>
      </c>
      <c r="BT191" s="289">
        <f t="shared" ca="1" si="437"/>
        <v>672700.08375412319</v>
      </c>
      <c r="BU191" s="289">
        <f t="shared" ca="1" si="437"/>
        <v>700170.19121630304</v>
      </c>
      <c r="BV191" s="289">
        <f t="shared" ref="BV191:DY191" ca="1" si="438">_EBTcash-_TotalOpex*_percentnondeductable</f>
        <v>726580.26722635678</v>
      </c>
      <c r="BW191" s="289">
        <f t="shared" ca="1" si="438"/>
        <v>751923.92220464535</v>
      </c>
      <c r="BX191" s="289">
        <f t="shared" ca="1" si="438"/>
        <v>777737.70290118409</v>
      </c>
      <c r="BY191" s="289">
        <f t="shared" ca="1" si="438"/>
        <v>802471.45871335943</v>
      </c>
      <c r="BZ191" s="289">
        <f t="shared" ca="1" si="438"/>
        <v>826117.96716834465</v>
      </c>
      <c r="CA191" s="289">
        <f t="shared" ca="1" si="438"/>
        <v>848669.71980299358</v>
      </c>
      <c r="CB191" s="289">
        <f t="shared" ca="1" si="438"/>
        <v>870118.91782211047</v>
      </c>
      <c r="CC191" s="289">
        <f t="shared" ca="1" si="438"/>
        <v>890457.46765673847</v>
      </c>
      <c r="CD191" s="289">
        <f t="shared" ca="1" si="438"/>
        <v>624411.65392168006</v>
      </c>
      <c r="CE191" s="289">
        <f t="shared" ca="1" si="438"/>
        <v>841114.73677384667</v>
      </c>
      <c r="CF191" s="289">
        <f t="shared" ca="1" si="438"/>
        <v>857268.41108321887</v>
      </c>
      <c r="CG191" s="289">
        <f t="shared" ca="1" si="438"/>
        <v>872868.9533141139</v>
      </c>
      <c r="CH191" s="289">
        <f t="shared" ca="1" si="438"/>
        <v>887912.49480460398</v>
      </c>
      <c r="CI191" s="289">
        <f t="shared" ca="1" si="438"/>
        <v>902395.01953737997</v>
      </c>
      <c r="CJ191" s="289">
        <f t="shared" ca="1" si="438"/>
        <v>917855.57173636509</v>
      </c>
      <c r="CK191" s="289">
        <f t="shared" ca="1" si="438"/>
        <v>932746.623905455</v>
      </c>
      <c r="CL191" s="289">
        <f t="shared" ca="1" si="438"/>
        <v>947063.70407379803</v>
      </c>
      <c r="CM191" s="289">
        <f t="shared" ca="1" si="438"/>
        <v>960802.18348118779</v>
      </c>
      <c r="CN191" s="289">
        <f t="shared" ca="1" si="438"/>
        <v>973957.27408527525</v>
      </c>
      <c r="CO191" s="289">
        <f t="shared" ca="1" si="438"/>
        <v>986524.02601298806</v>
      </c>
      <c r="CP191" s="289">
        <f t="shared" ca="1" si="438"/>
        <v>710752.57223325595</v>
      </c>
      <c r="CQ191" s="289">
        <f t="shared" ca="1" si="438"/>
        <v>918055.98327349406</v>
      </c>
      <c r="CR191" s="289">
        <f t="shared" ca="1" si="438"/>
        <v>925098.7711847513</v>
      </c>
      <c r="CS191" s="289">
        <f t="shared" ca="1" si="438"/>
        <v>931878.70513130282</v>
      </c>
      <c r="CT191" s="289">
        <f t="shared" ca="1" si="438"/>
        <v>938393.48147164239</v>
      </c>
      <c r="CU191" s="289">
        <f t="shared" ca="1" si="438"/>
        <v>944640.72255714238</v>
      </c>
      <c r="CV191" s="289">
        <f t="shared" ca="1" si="438"/>
        <v>951793.0832311908</v>
      </c>
      <c r="CW191" s="289">
        <f t="shared" ca="1" si="438"/>
        <v>958884.10422650049</v>
      </c>
      <c r="CX191" s="289">
        <f t="shared" ca="1" si="438"/>
        <v>965940.20751471492</v>
      </c>
      <c r="CY191" s="289">
        <f t="shared" ca="1" si="438"/>
        <v>972961.07755969965</v>
      </c>
      <c r="CZ191" s="289">
        <f t="shared" ca="1" si="438"/>
        <v>979946.39015753823</v>
      </c>
      <c r="DA191" s="289">
        <f t="shared" ca="1" si="438"/>
        <v>986895.81226221588</v>
      </c>
      <c r="DB191" s="289">
        <f t="shared" ca="1" si="438"/>
        <v>710462.06538925751</v>
      </c>
      <c r="DC191" s="289">
        <f t="shared" ca="1" si="438"/>
        <v>917326.58382516529</v>
      </c>
      <c r="DD191" s="289">
        <f t="shared" ca="1" si="438"/>
        <v>924158.74546305789</v>
      </c>
      <c r="DE191" s="289">
        <f t="shared" ca="1" si="438"/>
        <v>930958.22354237188</v>
      </c>
      <c r="DF191" s="289">
        <f t="shared" ca="1" si="438"/>
        <v>937724.68289357447</v>
      </c>
      <c r="DG191" s="289">
        <f t="shared" ca="1" si="438"/>
        <v>944457.77976655832</v>
      </c>
      <c r="DH191" s="289">
        <f t="shared" ca="1" si="438"/>
        <v>952700.37153255253</v>
      </c>
      <c r="DI191" s="289">
        <f t="shared" ca="1" si="438"/>
        <v>960908.88687675027</v>
      </c>
      <c r="DJ191" s="289">
        <f t="shared" ca="1" si="438"/>
        <v>969082.95524703292</v>
      </c>
      <c r="DK191" s="289">
        <f t="shared" ca="1" si="438"/>
        <v>977222.19679327949</v>
      </c>
      <c r="DL191" s="289">
        <f t="shared" ca="1" si="438"/>
        <v>985326.22217988747</v>
      </c>
      <c r="DM191" s="289">
        <f t="shared" ca="1" si="438"/>
        <v>993394.63239491743</v>
      </c>
      <c r="DN191" s="289">
        <f t="shared" ca="1" si="438"/>
        <v>631210.60322986566</v>
      </c>
      <c r="DO191" s="289">
        <f t="shared" ca="1" si="438"/>
        <v>897346.54907621373</v>
      </c>
      <c r="DP191" s="289">
        <f t="shared" ca="1" si="438"/>
        <v>903468.93201658537</v>
      </c>
      <c r="DQ191" s="289">
        <f t="shared" ca="1" si="438"/>
        <v>909577.54381851759</v>
      </c>
      <c r="DR191" s="289">
        <f t="shared" ca="1" si="438"/>
        <v>915672.17254171637</v>
      </c>
      <c r="DS191" s="289">
        <f t="shared" ca="1" si="438"/>
        <v>921752.60244122334</v>
      </c>
      <c r="DT191" s="289">
        <f t="shared" ca="1" si="438"/>
        <v>929824.78670866042</v>
      </c>
      <c r="DU191" s="289">
        <f t="shared" ca="1" si="438"/>
        <v>937882.32885401859</v>
      </c>
      <c r="DV191" s="289">
        <f t="shared" ca="1" si="438"/>
        <v>945925.00112299726</v>
      </c>
      <c r="DW191" s="289">
        <f t="shared" ca="1" si="438"/>
        <v>953952.57155478105</v>
      </c>
      <c r="DX191" s="289">
        <f t="shared" ca="1" si="438"/>
        <v>961964.8038777723</v>
      </c>
      <c r="DY191" s="289">
        <f t="shared" ca="1" si="438"/>
        <v>969961.45740371663</v>
      </c>
    </row>
    <row r="192" spans="3:129" outlineLevel="1">
      <c r="C192" s="5" t="s">
        <v>463</v>
      </c>
      <c r="J192" s="95">
        <f ca="1">_EBTAcc-_TotalOpex*_percentnondeductable</f>
        <v>5381404.3613409372</v>
      </c>
      <c r="K192" s="95">
        <f t="shared" ref="K192:AO192" ca="1" si="439">_EBTAcc-_TotalOpex*_percentnondeductable</f>
        <v>488138.39366405702</v>
      </c>
      <c r="L192" s="95">
        <f t="shared" ca="1" si="439"/>
        <v>494586.18797091627</v>
      </c>
      <c r="M192" s="95">
        <f t="shared" ca="1" si="439"/>
        <v>500745.82807053498</v>
      </c>
      <c r="N192" s="95">
        <f t="shared" ca="1" si="439"/>
        <v>506615.32803937187</v>
      </c>
      <c r="O192" s="95">
        <f t="shared" ca="1" si="439"/>
        <v>512192.6310294806</v>
      </c>
      <c r="P192" s="95">
        <f t="shared" ca="1" si="439"/>
        <v>517475.60805265687</v>
      </c>
      <c r="Q192" s="95">
        <f t="shared" ca="1" si="439"/>
        <v>522462.05674005538</v>
      </c>
      <c r="R192" s="95">
        <f t="shared" ca="1" si="439"/>
        <v>527149.70007678075</v>
      </c>
      <c r="S192" s="95">
        <f t="shared" ca="1" si="439"/>
        <v>531536.18511090369</v>
      </c>
      <c r="T192" s="95">
        <f t="shared" ca="1" si="439"/>
        <v>535619.08163637272</v>
      </c>
      <c r="U192" s="95">
        <f t="shared" ca="1" si="439"/>
        <v>539395.88084927923</v>
      </c>
      <c r="V192" s="95">
        <f t="shared" ca="1" si="439"/>
        <v>611017.58968359302</v>
      </c>
      <c r="W192" s="95">
        <f t="shared" ca="1" si="439"/>
        <v>627568.0606673517</v>
      </c>
      <c r="X192" s="95">
        <f t="shared" ca="1" si="439"/>
        <v>644302.10957966209</v>
      </c>
      <c r="Y192" s="95">
        <f t="shared" ca="1" si="439"/>
        <v>661223.68679310963</v>
      </c>
      <c r="Z192" s="95">
        <f t="shared" ca="1" si="439"/>
        <v>678336.82435701031</v>
      </c>
      <c r="AA192" s="95">
        <f t="shared" ca="1" si="439"/>
        <v>695645.63751330331</v>
      </c>
      <c r="AB192" s="95">
        <f t="shared" ca="1" si="439"/>
        <v>3713154.3262454392</v>
      </c>
      <c r="AC192" s="95">
        <f t="shared" ca="1" si="439"/>
        <v>730867.17686089396</v>
      </c>
      <c r="AD192" s="95">
        <f t="shared" ca="1" si="439"/>
        <v>748788.56360792462</v>
      </c>
      <c r="AE192" s="95">
        <f t="shared" ca="1" si="439"/>
        <v>766922.9503271943</v>
      </c>
      <c r="AF192" s="95">
        <f t="shared" ca="1" si="439"/>
        <v>785274.8921389184</v>
      </c>
      <c r="AG192" s="95">
        <f t="shared" ca="1" si="439"/>
        <v>803849.03716619674</v>
      </c>
      <c r="AH192" s="95">
        <f t="shared" ca="1" si="439"/>
        <v>208827.95788577024</v>
      </c>
      <c r="AI192" s="95">
        <f t="shared" ca="1" si="439"/>
        <v>736814.03031338693</v>
      </c>
      <c r="AJ192" s="95">
        <f t="shared" ca="1" si="439"/>
        <v>765262.13099741202</v>
      </c>
      <c r="AK192" s="95">
        <f t="shared" ca="1" si="439"/>
        <v>794181.34174123441</v>
      </c>
      <c r="AL192" s="95">
        <f t="shared" ca="1" si="439"/>
        <v>823580.93203255523</v>
      </c>
      <c r="AM192" s="95">
        <f t="shared" ca="1" si="439"/>
        <v>853470.36266226287</v>
      </c>
      <c r="AN192" s="95">
        <f t="shared" ca="1" si="439"/>
        <v>904497.424226103</v>
      </c>
      <c r="AO192" s="95">
        <f t="shared" ca="1" si="439"/>
        <v>943270.58182056015</v>
      </c>
      <c r="AP192" s="95">
        <f t="shared" ref="AP192:BU192" ca="1" si="440">_EBTAcc-_TotalOpex*_percentnondeductable</f>
        <v>982673.02161408076</v>
      </c>
      <c r="AQ192" s="95">
        <f t="shared" ca="1" si="440"/>
        <v>1022716.9094346992</v>
      </c>
      <c r="AR192" s="95">
        <f t="shared" ca="1" si="440"/>
        <v>1063414.662657914</v>
      </c>
      <c r="AS192" s="95">
        <f t="shared" ca="1" si="440"/>
        <v>1104778.9550881293</v>
      </c>
      <c r="AT192" s="95">
        <f t="shared" ca="1" si="440"/>
        <v>1314973.7383410253</v>
      </c>
      <c r="AU192" s="95">
        <f t="shared" ca="1" si="440"/>
        <v>1356797.7643420913</v>
      </c>
      <c r="AV192" s="95">
        <f t="shared" ca="1" si="440"/>
        <v>1399400.3755312278</v>
      </c>
      <c r="AW192" s="95">
        <f t="shared" ca="1" si="440"/>
        <v>1442796.7322060321</v>
      </c>
      <c r="AX192" s="95">
        <f t="shared" ca="1" si="440"/>
        <v>1487002.3056300217</v>
      </c>
      <c r="AY192" s="95">
        <f t="shared" ca="1" si="440"/>
        <v>1532032.8841135921</v>
      </c>
      <c r="AZ192" s="95">
        <f t="shared" ca="1" si="440"/>
        <v>1577904.5792189841</v>
      </c>
      <c r="BA192" s="95">
        <f t="shared" ca="1" si="440"/>
        <v>1624633.8320917105</v>
      </c>
      <c r="BB192" s="95">
        <f t="shared" ca="1" si="440"/>
        <v>1672237.4199209136</v>
      </c>
      <c r="BC192" s="95">
        <f t="shared" ca="1" si="440"/>
        <v>1720732.4625312348</v>
      </c>
      <c r="BD192" s="95">
        <f t="shared" ca="1" si="440"/>
        <v>1770136.4291087177</v>
      </c>
      <c r="BE192" s="95">
        <f t="shared" ca="1" si="440"/>
        <v>1820467.1450634722</v>
      </c>
      <c r="BF192" s="95">
        <f t="shared" ca="1" si="440"/>
        <v>1533525.1015697483</v>
      </c>
      <c r="BG192" s="95">
        <f t="shared" ca="1" si="440"/>
        <v>1826216.390526193</v>
      </c>
      <c r="BH192" s="95">
        <f t="shared" ca="1" si="440"/>
        <v>1879900.4009928382</v>
      </c>
      <c r="BI192" s="95">
        <f t="shared" ca="1" si="440"/>
        <v>1934596.6480381705</v>
      </c>
      <c r="BJ192" s="95">
        <f t="shared" ca="1" si="440"/>
        <v>1990325.0434056569</v>
      </c>
      <c r="BK192" s="95">
        <f t="shared" ca="1" si="440"/>
        <v>2047105.9033338353</v>
      </c>
      <c r="BL192" s="95">
        <f t="shared" ca="1" si="440"/>
        <v>2106811.8083866346</v>
      </c>
      <c r="BM192" s="95">
        <f t="shared" ca="1" si="440"/>
        <v>2167612.056037771</v>
      </c>
      <c r="BN192" s="95">
        <f t="shared" ca="1" si="440"/>
        <v>2229528.2245309651</v>
      </c>
      <c r="BO192" s="95">
        <f t="shared" ca="1" si="440"/>
        <v>2292582.3295006827</v>
      </c>
      <c r="BP192" s="95">
        <f t="shared" ca="1" si="440"/>
        <v>2356796.8326160512</v>
      </c>
      <c r="BQ192" s="95">
        <f t="shared" ca="1" si="440"/>
        <v>2422194.650399413</v>
      </c>
      <c r="BR192" s="95">
        <f t="shared" ca="1" si="440"/>
        <v>2048914.412378351</v>
      </c>
      <c r="BS192" s="95">
        <f t="shared" ca="1" si="440"/>
        <v>2218233.3302988834</v>
      </c>
      <c r="BT192" s="95">
        <f t="shared" ca="1" si="440"/>
        <v>2189876.3871340347</v>
      </c>
      <c r="BU192" s="95">
        <f t="shared" ca="1" si="440"/>
        <v>2163859.3999391273</v>
      </c>
      <c r="BV192" s="95">
        <f t="shared" ref="BV192:DY192" ca="1" si="441">_EBTAcc-_TotalOpex*_percentnondeductable</f>
        <v>2140198.811203511</v>
      </c>
      <c r="BW192" s="95">
        <f t="shared" ca="1" si="441"/>
        <v>2118911.6982277357</v>
      </c>
      <c r="BX192" s="95">
        <f t="shared" ca="1" si="441"/>
        <v>2101558.9925967827</v>
      </c>
      <c r="BY192" s="95">
        <f t="shared" ca="1" si="441"/>
        <v>2086615.8603707135</v>
      </c>
      <c r="BZ192" s="95">
        <f t="shared" ca="1" si="441"/>
        <v>2074101.3417623299</v>
      </c>
      <c r="CA192" s="95">
        <f t="shared" ca="1" si="441"/>
        <v>2064035.1515406223</v>
      </c>
      <c r="CB192" s="95">
        <f t="shared" ca="1" si="441"/>
        <v>2056437.6895470505</v>
      </c>
      <c r="CC192" s="95">
        <f t="shared" ca="1" si="441"/>
        <v>2051330.0514525326</v>
      </c>
      <c r="CD192" s="95">
        <f t="shared" ca="1" si="441"/>
        <v>1761998.4425042965</v>
      </c>
      <c r="CE192" s="95">
        <f t="shared" ca="1" si="441"/>
        <v>1956969.1041323142</v>
      </c>
      <c r="CF192" s="95">
        <f t="shared" ca="1" si="441"/>
        <v>1953020.7374014687</v>
      </c>
      <c r="CG192" s="95">
        <f t="shared" ca="1" si="441"/>
        <v>1950161.5760936635</v>
      </c>
      <c r="CH192" s="95">
        <f t="shared" ca="1" si="441"/>
        <v>1948400.1545137851</v>
      </c>
      <c r="CI192" s="95">
        <f t="shared" ca="1" si="441"/>
        <v>1947745.3121084964</v>
      </c>
      <c r="CJ192" s="95">
        <f t="shared" ca="1" si="441"/>
        <v>1949749.4080684329</v>
      </c>
      <c r="CK192" s="95">
        <f t="shared" ca="1" si="441"/>
        <v>1952878.6965330481</v>
      </c>
      <c r="CL192" s="95">
        <f t="shared" ca="1" si="441"/>
        <v>1957142.961165593</v>
      </c>
      <c r="CM192" s="95">
        <f t="shared" ca="1" si="441"/>
        <v>1962552.3103347991</v>
      </c>
      <c r="CN192" s="95">
        <f t="shared" ca="1" si="441"/>
        <v>1969117.1822881966</v>
      </c>
      <c r="CO192" s="95">
        <f t="shared" ca="1" si="441"/>
        <v>1976848.3504425359</v>
      </c>
      <c r="CP192" s="95">
        <f t="shared" ca="1" si="441"/>
        <v>1695879.398360637</v>
      </c>
      <c r="CQ192" s="95">
        <f t="shared" ca="1" si="441"/>
        <v>1898722.2963391435</v>
      </c>
      <c r="CR192" s="95">
        <f t="shared" ca="1" si="441"/>
        <v>1902047.8859818119</v>
      </c>
      <c r="CS192" s="95">
        <f t="shared" ca="1" si="441"/>
        <v>1905860.4774982345</v>
      </c>
      <c r="CT192" s="95">
        <f t="shared" ca="1" si="441"/>
        <v>1910164.5223656371</v>
      </c>
      <c r="CU192" s="95">
        <f t="shared" ca="1" si="441"/>
        <v>1914964.6155764789</v>
      </c>
      <c r="CV192" s="95">
        <f t="shared" ca="1" si="441"/>
        <v>1919804.8133342103</v>
      </c>
      <c r="CW192" s="95">
        <f t="shared" ca="1" si="441"/>
        <v>1924657.2618100375</v>
      </c>
      <c r="CX192" s="95">
        <f t="shared" ca="1" si="441"/>
        <v>1929594.6303157136</v>
      </c>
      <c r="CY192" s="95">
        <f t="shared" ca="1" si="441"/>
        <v>1934617.3539779773</v>
      </c>
      <c r="CZ192" s="95">
        <f t="shared" ca="1" si="441"/>
        <v>1939725.8907299524</v>
      </c>
      <c r="DA192" s="95">
        <f t="shared" ca="1" si="441"/>
        <v>1944920.7216017107</v>
      </c>
      <c r="DB192" s="95">
        <f t="shared" ca="1" si="441"/>
        <v>1666852.1219362174</v>
      </c>
      <c r="DC192" s="95">
        <f t="shared" ca="1" si="441"/>
        <v>1872184.5826608331</v>
      </c>
      <c r="DD192" s="95">
        <f t="shared" ca="1" si="441"/>
        <v>1877593.3789463798</v>
      </c>
      <c r="DE192" s="95">
        <f t="shared" ca="1" si="441"/>
        <v>1883078.9645443391</v>
      </c>
      <c r="DF192" s="95">
        <f t="shared" ca="1" si="441"/>
        <v>1888641.8143408187</v>
      </c>
      <c r="DG192" s="95">
        <f t="shared" ca="1" si="441"/>
        <v>1894282.4246364844</v>
      </c>
      <c r="DH192" s="95">
        <f t="shared" ca="1" si="441"/>
        <v>1901544.5233104243</v>
      </c>
      <c r="DI192" s="95">
        <f t="shared" ca="1" si="441"/>
        <v>1908885.4404853666</v>
      </c>
      <c r="DJ192" s="95">
        <f t="shared" ca="1" si="441"/>
        <v>1916305.7384598088</v>
      </c>
      <c r="DK192" s="95">
        <f t="shared" ca="1" si="441"/>
        <v>1923806.0021417271</v>
      </c>
      <c r="DL192" s="95">
        <f t="shared" ca="1" si="441"/>
        <v>1931386.8393667513</v>
      </c>
      <c r="DM192" s="95">
        <f t="shared" ca="1" si="441"/>
        <v>1939048.881224402</v>
      </c>
      <c r="DN192" s="95">
        <f t="shared" ca="1" si="441"/>
        <v>1576418.7467149328</v>
      </c>
      <c r="DO192" s="95">
        <f t="shared" ca="1" si="441"/>
        <v>1842157.8355775545</v>
      </c>
      <c r="DP192" s="95">
        <f t="shared" ca="1" si="441"/>
        <v>1847933.0131511439</v>
      </c>
      <c r="DQ192" s="95">
        <f t="shared" ca="1" si="441"/>
        <v>1853744.4883480081</v>
      </c>
      <c r="DR192" s="95">
        <f t="shared" ca="1" si="441"/>
        <v>1859592.4804744029</v>
      </c>
      <c r="DS192" s="95">
        <f t="shared" ca="1" si="441"/>
        <v>1865477.2193581313</v>
      </c>
      <c r="DT192" s="95">
        <f t="shared" ca="1" si="441"/>
        <v>1873405.1183192991</v>
      </c>
      <c r="DU192" s="95">
        <f t="shared" ca="1" si="441"/>
        <v>1881370.2557867973</v>
      </c>
      <c r="DV192" s="95">
        <f t="shared" ca="1" si="441"/>
        <v>1889372.8939555406</v>
      </c>
      <c r="DW192" s="95">
        <f t="shared" ca="1" si="441"/>
        <v>1897413.3060895586</v>
      </c>
      <c r="DX192" s="95">
        <f t="shared" ca="1" si="441"/>
        <v>1905491.776668461</v>
      </c>
      <c r="DY192" s="95">
        <f t="shared" ca="1" si="441"/>
        <v>1913608.6015378651</v>
      </c>
    </row>
    <row r="193" spans="1:129" outlineLevel="1">
      <c r="C193" s="37"/>
      <c r="D193" s="37"/>
      <c r="E193" s="37"/>
      <c r="G193" s="37"/>
      <c r="H193" s="37"/>
      <c r="I193" s="37"/>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row>
    <row r="194" spans="1:129" outlineLevel="1">
      <c r="C194" s="217" t="s">
        <v>464</v>
      </c>
      <c r="F194" s="5" t="s">
        <v>465</v>
      </c>
      <c r="G194" s="244" t="s">
        <v>628</v>
      </c>
      <c r="H194" s="435" t="str">
        <f>_corporatetaxbasis</f>
        <v>Cash basis</v>
      </c>
      <c r="J194" s="95">
        <f ca="1">-IF(_corporatetaxbasis="cash basis",IF(J191&gt;0,J191*_Corp.Tax.r,0),IF(J192&gt;0,J192*_Corp.Tax.r,0))</f>
        <v>-1873864.5505814203</v>
      </c>
      <c r="K194" s="95">
        <f t="shared" ref="K194:AO194" ca="1" si="442">-IF(_corporatetaxbasis="cash basis",IF(K191&gt;0,K191*_Corp.Tax.r,0),IF(K192&gt;0,K192*_Corp.Tax.r,0))</f>
        <v>0</v>
      </c>
      <c r="L194" s="95">
        <f t="shared" ca="1" si="442"/>
        <v>0</v>
      </c>
      <c r="M194" s="95">
        <f t="shared" ca="1" si="442"/>
        <v>0</v>
      </c>
      <c r="N194" s="95">
        <f t="shared" ca="1" si="442"/>
        <v>0</v>
      </c>
      <c r="O194" s="95">
        <f t="shared" ca="1" si="442"/>
        <v>0</v>
      </c>
      <c r="P194" s="95">
        <f t="shared" ca="1" si="442"/>
        <v>0</v>
      </c>
      <c r="Q194" s="95">
        <f t="shared" ca="1" si="442"/>
        <v>0</v>
      </c>
      <c r="R194" s="95">
        <f t="shared" ca="1" si="442"/>
        <v>0</v>
      </c>
      <c r="S194" s="95">
        <f t="shared" ca="1" si="442"/>
        <v>0</v>
      </c>
      <c r="T194" s="95">
        <f t="shared" ca="1" si="442"/>
        <v>0</v>
      </c>
      <c r="U194" s="95">
        <f t="shared" ca="1" si="442"/>
        <v>0</v>
      </c>
      <c r="V194" s="95">
        <f t="shared" ca="1" si="442"/>
        <v>0</v>
      </c>
      <c r="W194" s="95">
        <f t="shared" ca="1" si="442"/>
        <v>0</v>
      </c>
      <c r="X194" s="95">
        <f t="shared" ca="1" si="442"/>
        <v>0</v>
      </c>
      <c r="Y194" s="95">
        <f t="shared" ca="1" si="442"/>
        <v>0</v>
      </c>
      <c r="Z194" s="95">
        <f t="shared" ca="1" si="442"/>
        <v>0</v>
      </c>
      <c r="AA194" s="95">
        <f t="shared" ca="1" si="442"/>
        <v>0</v>
      </c>
      <c r="AB194" s="95">
        <f t="shared" ca="1" si="442"/>
        <v>-1204164.8760007836</v>
      </c>
      <c r="AC194" s="95">
        <f t="shared" ca="1" si="442"/>
        <v>-10957.504820016955</v>
      </c>
      <c r="AD194" s="95">
        <f t="shared" ca="1" si="442"/>
        <v>-17887.402531339794</v>
      </c>
      <c r="AE194" s="95">
        <f t="shared" ca="1" si="442"/>
        <v>-24956.83471312495</v>
      </c>
      <c r="AF194" s="95">
        <f t="shared" ca="1" si="442"/>
        <v>-32168.119026877437</v>
      </c>
      <c r="AG194" s="95">
        <f t="shared" ca="1" si="442"/>
        <v>-39523.626158286519</v>
      </c>
      <c r="AH194" s="95">
        <f t="shared" ca="1" si="442"/>
        <v>0</v>
      </c>
      <c r="AI194" s="95">
        <f t="shared" ca="1" si="442"/>
        <v>0</v>
      </c>
      <c r="AJ194" s="95">
        <f t="shared" ca="1" si="442"/>
        <v>0</v>
      </c>
      <c r="AK194" s="95">
        <f t="shared" ca="1" si="442"/>
        <v>0</v>
      </c>
      <c r="AL194" s="95">
        <f t="shared" ca="1" si="442"/>
        <v>0</v>
      </c>
      <c r="AM194" s="95">
        <f t="shared" ca="1" si="442"/>
        <v>-3324.323326245189</v>
      </c>
      <c r="AN194" s="95">
        <f t="shared" ca="1" si="442"/>
        <v>-13414.484470883635</v>
      </c>
      <c r="AO194" s="95">
        <f t="shared" ca="1" si="442"/>
        <v>-21714.014811619181</v>
      </c>
      <c r="AP194" s="95">
        <f t="shared" ref="AP194:BU194" ca="1" si="443">-IF(_corporatetaxbasis="cash basis",IF(AP191&gt;0,AP191*_Corp.Tax.r,0),IF(AP192&gt;0,AP192*_Corp.Tax.r,0))</f>
        <v>-30132.02233337603</v>
      </c>
      <c r="AQ194" s="95">
        <f t="shared" ca="1" si="443"/>
        <v>-38670.599063842114</v>
      </c>
      <c r="AR194" s="95">
        <f t="shared" ca="1" si="443"/>
        <v>-47331.88325951733</v>
      </c>
      <c r="AS194" s="95">
        <f t="shared" ca="1" si="443"/>
        <v>-56118.060259524784</v>
      </c>
      <c r="AT194" s="95">
        <f t="shared" ca="1" si="443"/>
        <v>-100045.82647276111</v>
      </c>
      <c r="AU194" s="95">
        <f t="shared" ca="1" si="443"/>
        <v>-108058.43356518404</v>
      </c>
      <c r="AV194" s="95">
        <f t="shared" ca="1" si="443"/>
        <v>-116216.85446531069</v>
      </c>
      <c r="AW194" s="95">
        <f t="shared" ca="1" si="443"/>
        <v>-124523.75368884332</v>
      </c>
      <c r="AX194" s="95">
        <f t="shared" ca="1" si="443"/>
        <v>-132981.8530177653</v>
      </c>
      <c r="AY194" s="95">
        <f t="shared" ca="1" si="443"/>
        <v>-141593.93258160327</v>
      </c>
      <c r="AZ194" s="95">
        <f t="shared" ca="1" si="443"/>
        <v>-150362.83196135526</v>
      </c>
      <c r="BA194" s="95">
        <f t="shared" ca="1" si="443"/>
        <v>-159291.4513165325</v>
      </c>
      <c r="BB194" s="95">
        <f t="shared" ca="1" si="443"/>
        <v>-168382.75253574501</v>
      </c>
      <c r="BC194" s="95">
        <f t="shared" ca="1" si="443"/>
        <v>-177639.76041130387</v>
      </c>
      <c r="BD194" s="95">
        <f t="shared" ca="1" si="443"/>
        <v>-187065.56383828443</v>
      </c>
      <c r="BE194" s="95">
        <f t="shared" ca="1" si="443"/>
        <v>-196663.31703854181</v>
      </c>
      <c r="BF194" s="95">
        <f t="shared" ca="1" si="443"/>
        <v>-70552.767079592231</v>
      </c>
      <c r="BG194" s="95">
        <f t="shared" ca="1" si="443"/>
        <v>-176415.54940804577</v>
      </c>
      <c r="BH194" s="95">
        <f t="shared" ca="1" si="443"/>
        <v>-186458.09111928908</v>
      </c>
      <c r="BI194" s="95">
        <f t="shared" ca="1" si="443"/>
        <v>-196683.78220185242</v>
      </c>
      <c r="BJ194" s="95">
        <f t="shared" ca="1" si="443"/>
        <v>-207096.08368802568</v>
      </c>
      <c r="BK194" s="95">
        <f t="shared" ca="1" si="443"/>
        <v>-217698.52902242524</v>
      </c>
      <c r="BL194" s="95">
        <f t="shared" ca="1" si="443"/>
        <v>-229235.46619952872</v>
      </c>
      <c r="BM194" s="95">
        <f t="shared" ca="1" si="443"/>
        <v>-240969.83696702507</v>
      </c>
      <c r="BN194" s="95">
        <f t="shared" ca="1" si="443"/>
        <v>-252905.40050294308</v>
      </c>
      <c r="BO194" s="95">
        <f t="shared" ca="1" si="443"/>
        <v>-265045.99415972835</v>
      </c>
      <c r="BP194" s="95">
        <f t="shared" ca="1" si="443"/>
        <v>-277395.53497956134</v>
      </c>
      <c r="BQ194" s="95">
        <f t="shared" ca="1" si="443"/>
        <v>-289958.02124075888</v>
      </c>
      <c r="BR194" s="95">
        <f ca="1">-IF(_corporatetaxbasis="cash basis",IF(BR191&gt;0,BR191*_Corp.Tax.r,0),IF(BR192&gt;0,BR192*_Corp.Tax.r,0))</f>
        <v>-165841.5954899975</v>
      </c>
      <c r="BS194" s="95">
        <f t="shared" ca="1" si="443"/>
        <v>-257670.42593293497</v>
      </c>
      <c r="BT194" s="95">
        <f t="shared" ca="1" si="443"/>
        <v>-269080.03350164928</v>
      </c>
      <c r="BU194" s="95">
        <f t="shared" ca="1" si="443"/>
        <v>-280068.07648652123</v>
      </c>
      <c r="BV194" s="95">
        <f t="shared" ref="BV194:CB194" ca="1" si="444">-IF(_corporatetaxbasis="cash basis",IF(BV191&gt;0,BV191*_Corp.Tax.r,0),IF(BV192&gt;0,BV192*_Corp.Tax.r,0))</f>
        <v>-290632.10689054272</v>
      </c>
      <c r="BW194" s="95">
        <f t="shared" ca="1" si="444"/>
        <v>-300769.56888185814</v>
      </c>
      <c r="BX194" s="95">
        <f t="shared" ca="1" si="444"/>
        <v>-311095.08116047364</v>
      </c>
      <c r="BY194" s="95">
        <f t="shared" ca="1" si="444"/>
        <v>-320988.58348534378</v>
      </c>
      <c r="BZ194" s="95">
        <f t="shared" ca="1" si="444"/>
        <v>-330447.18686733791</v>
      </c>
      <c r="CA194" s="95">
        <f t="shared" ca="1" si="444"/>
        <v>-339467.88792119746</v>
      </c>
      <c r="CB194" s="95">
        <f t="shared" ca="1" si="444"/>
        <v>-348047.56712884421</v>
      </c>
      <c r="CC194" s="95">
        <f t="shared" ref="CC194:DH194" ca="1" si="445">-IF(_corporatetaxbasis="cash basis",IF(CC191&gt;0,CC191*_Corp.Tax.r,0),IF(CC192&gt;0,CC192*_Corp.Tax.r,0))</f>
        <v>-356182.98706269544</v>
      </c>
      <c r="CD194" s="95">
        <f t="shared" ca="1" si="445"/>
        <v>-249764.66156867205</v>
      </c>
      <c r="CE194" s="95">
        <f t="shared" ca="1" si="445"/>
        <v>-336445.89470953867</v>
      </c>
      <c r="CF194" s="95">
        <f t="shared" ca="1" si="445"/>
        <v>-342907.36443328758</v>
      </c>
      <c r="CG194" s="95">
        <f t="shared" ca="1" si="445"/>
        <v>-349147.58132564556</v>
      </c>
      <c r="CH194" s="95">
        <f t="shared" ca="1" si="445"/>
        <v>-355164.99792184163</v>
      </c>
      <c r="CI194" s="95">
        <f t="shared" ca="1" si="445"/>
        <v>-360958.007814952</v>
      </c>
      <c r="CJ194" s="95">
        <f t="shared" ca="1" si="445"/>
        <v>-367142.22869454604</v>
      </c>
      <c r="CK194" s="95">
        <f t="shared" ca="1" si="445"/>
        <v>-373098.64956218202</v>
      </c>
      <c r="CL194" s="95">
        <f t="shared" ca="1" si="445"/>
        <v>-378825.48162951926</v>
      </c>
      <c r="CM194" s="95">
        <f t="shared" ca="1" si="445"/>
        <v>-384320.87339247513</v>
      </c>
      <c r="CN194" s="95">
        <f t="shared" ca="1" si="445"/>
        <v>-389582.90963411011</v>
      </c>
      <c r="CO194" s="95">
        <f t="shared" ca="1" si="445"/>
        <v>-394609.61040519527</v>
      </c>
      <c r="CP194" s="95">
        <f t="shared" ca="1" si="445"/>
        <v>-284301.02889330237</v>
      </c>
      <c r="CQ194" s="95">
        <f t="shared" ca="1" si="445"/>
        <v>-367222.39330939762</v>
      </c>
      <c r="CR194" s="95">
        <f t="shared" ca="1" si="445"/>
        <v>-370039.50847390055</v>
      </c>
      <c r="CS194" s="95">
        <f t="shared" ca="1" si="445"/>
        <v>-372751.48205252114</v>
      </c>
      <c r="CT194" s="95">
        <f t="shared" ca="1" si="445"/>
        <v>-375357.39258865698</v>
      </c>
      <c r="CU194" s="95">
        <f t="shared" ca="1" si="445"/>
        <v>-377856.28902285697</v>
      </c>
      <c r="CV194" s="95">
        <f t="shared" ca="1" si="445"/>
        <v>-380717.23329247633</v>
      </c>
      <c r="CW194" s="95">
        <f t="shared" ca="1" si="445"/>
        <v>-383553.6416906002</v>
      </c>
      <c r="CX194" s="95">
        <f t="shared" ca="1" si="445"/>
        <v>-386376.083005886</v>
      </c>
      <c r="CY194" s="95">
        <f t="shared" ca="1" si="445"/>
        <v>-389184.43102387991</v>
      </c>
      <c r="CZ194" s="95">
        <f t="shared" ca="1" si="445"/>
        <v>-391978.5560630153</v>
      </c>
      <c r="DA194" s="95">
        <f t="shared" ca="1" si="445"/>
        <v>-394758.32490488637</v>
      </c>
      <c r="DB194" s="95">
        <f t="shared" ca="1" si="445"/>
        <v>-284184.82615570299</v>
      </c>
      <c r="DC194" s="95">
        <f t="shared" ca="1" si="445"/>
        <v>-366930.63353006612</v>
      </c>
      <c r="DD194" s="95">
        <f t="shared" ca="1" si="445"/>
        <v>-369663.4981852232</v>
      </c>
      <c r="DE194" s="95">
        <f t="shared" ca="1" si="445"/>
        <v>-372383.2894169488</v>
      </c>
      <c r="DF194" s="95">
        <f t="shared" ca="1" si="445"/>
        <v>-375089.8731574298</v>
      </c>
      <c r="DG194" s="95">
        <f t="shared" ca="1" si="445"/>
        <v>-377783.11190662335</v>
      </c>
      <c r="DH194" s="95">
        <f t="shared" ca="1" si="445"/>
        <v>-381080.14861302101</v>
      </c>
      <c r="DI194" s="95">
        <f t="shared" ref="DI194:DY194" ca="1" si="446">-IF(_corporatetaxbasis="cash basis",IF(DI191&gt;0,DI191*_Corp.Tax.r,0),IF(DI192&gt;0,DI192*_Corp.Tax.r,0))</f>
        <v>-384363.55475070013</v>
      </c>
      <c r="DJ194" s="95">
        <f t="shared" ca="1" si="446"/>
        <v>-387633.18209881318</v>
      </c>
      <c r="DK194" s="95">
        <f t="shared" ca="1" si="446"/>
        <v>-390888.87871731183</v>
      </c>
      <c r="DL194" s="95">
        <f t="shared" ca="1" si="446"/>
        <v>-394130.48887195502</v>
      </c>
      <c r="DM194" s="95">
        <f t="shared" ca="1" si="446"/>
        <v>-397357.85295796697</v>
      </c>
      <c r="DN194" s="95">
        <f t="shared" ca="1" si="446"/>
        <v>-252484.24129194627</v>
      </c>
      <c r="DO194" s="95">
        <f t="shared" ca="1" si="446"/>
        <v>-358938.61963048554</v>
      </c>
      <c r="DP194" s="95">
        <f t="shared" ca="1" si="446"/>
        <v>-361387.57280663418</v>
      </c>
      <c r="DQ194" s="95">
        <f t="shared" ca="1" si="446"/>
        <v>-363831.01752740704</v>
      </c>
      <c r="DR194" s="95">
        <f t="shared" ca="1" si="446"/>
        <v>-366268.86901668657</v>
      </c>
      <c r="DS194" s="95">
        <f t="shared" ca="1" si="446"/>
        <v>-368701.04097648937</v>
      </c>
      <c r="DT194" s="95">
        <f t="shared" ca="1" si="446"/>
        <v>-371929.91468346422</v>
      </c>
      <c r="DU194" s="95">
        <f t="shared" ca="1" si="446"/>
        <v>-375152.93154160748</v>
      </c>
      <c r="DV194" s="95">
        <f t="shared" ca="1" si="446"/>
        <v>-378370.00044919894</v>
      </c>
      <c r="DW194" s="95">
        <f t="shared" ca="1" si="446"/>
        <v>-381581.02862191247</v>
      </c>
      <c r="DX194" s="95">
        <f t="shared" ca="1" si="446"/>
        <v>-384785.92155110894</v>
      </c>
      <c r="DY194" s="95">
        <f t="shared" ca="1" si="446"/>
        <v>-387984.58296148665</v>
      </c>
    </row>
    <row r="195" spans="1:129" outlineLevel="1">
      <c r="C195" s="217"/>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95"/>
      <c r="CN195" s="95"/>
      <c r="CO195" s="95"/>
      <c r="CP195" s="95"/>
      <c r="CQ195" s="95"/>
      <c r="CR195" s="95"/>
      <c r="CS195" s="95"/>
      <c r="CT195" s="95"/>
      <c r="CU195" s="95"/>
      <c r="CV195" s="95"/>
      <c r="CW195" s="95"/>
      <c r="CX195" s="95"/>
      <c r="CY195" s="95"/>
      <c r="CZ195" s="95"/>
      <c r="DA195" s="95"/>
      <c r="DB195" s="95"/>
      <c r="DC195" s="95"/>
      <c r="DD195" s="95"/>
      <c r="DE195" s="95"/>
      <c r="DF195" s="95"/>
      <c r="DG195" s="95"/>
      <c r="DH195" s="95"/>
      <c r="DI195" s="95"/>
      <c r="DJ195" s="95"/>
      <c r="DK195" s="95"/>
      <c r="DL195" s="95"/>
      <c r="DM195" s="95"/>
      <c r="DN195" s="95"/>
      <c r="DO195" s="95"/>
      <c r="DP195" s="95"/>
      <c r="DQ195" s="95"/>
      <c r="DR195" s="95"/>
      <c r="DS195" s="95"/>
      <c r="DT195" s="95"/>
      <c r="DU195" s="95"/>
      <c r="DV195" s="95"/>
      <c r="DW195" s="95"/>
      <c r="DX195" s="95"/>
      <c r="DY195" s="95"/>
    </row>
    <row r="196" spans="1:129" outlineLevel="1">
      <c r="C196" s="115" t="s">
        <v>8</v>
      </c>
      <c r="D196" s="69"/>
      <c r="E196" s="69"/>
      <c r="F196" s="56" t="s">
        <v>152</v>
      </c>
      <c r="G196" s="90">
        <f>+G181+SUM(G184:G194)</f>
        <v>0</v>
      </c>
      <c r="H196" s="90"/>
      <c r="I196" s="90"/>
      <c r="J196" s="94">
        <f ca="1">+_EBTcash+_CorporateTax</f>
        <v>2763702.8241691752</v>
      </c>
      <c r="K196" s="94">
        <f t="shared" ref="K196:AO196" ca="1" si="447">+_EBTcash+_CorporateTax</f>
        <v>-255970.40434597491</v>
      </c>
      <c r="L196" s="94">
        <f t="shared" ca="1" si="447"/>
        <v>-249157.70346610891</v>
      </c>
      <c r="M196" s="94">
        <f t="shared" ca="1" si="447"/>
        <v>-241990.12598314491</v>
      </c>
      <c r="N196" s="94">
        <f t="shared" ca="1" si="447"/>
        <v>-234463.15453120493</v>
      </c>
      <c r="O196" s="94">
        <f t="shared" ca="1" si="447"/>
        <v>-226572.14902975989</v>
      </c>
      <c r="P196" s="94">
        <f t="shared" ca="1" si="447"/>
        <v>-218312.34466243672</v>
      </c>
      <c r="Q196" s="94">
        <f t="shared" ca="1" si="447"/>
        <v>-209678.8498092494</v>
      </c>
      <c r="R196" s="94">
        <f t="shared" ca="1" si="447"/>
        <v>-200666.64393140899</v>
      </c>
      <c r="S196" s="94">
        <f t="shared" ca="1" si="447"/>
        <v>-191270.57540785763</v>
      </c>
      <c r="T196" s="94">
        <f t="shared" ca="1" si="447"/>
        <v>-181485.35932265563</v>
      </c>
      <c r="U196" s="94">
        <f t="shared" ca="1" si="447"/>
        <v>-171305.57520231075</v>
      </c>
      <c r="V196" s="94">
        <f ca="1">+_EBTcash+_CorporateTax</f>
        <v>-142920.1631102004</v>
      </c>
      <c r="W196" s="94">
        <f t="shared" ca="1" si="447"/>
        <v>-128843.23685170998</v>
      </c>
      <c r="X196" s="94">
        <f t="shared" ca="1" si="447"/>
        <v>-114476.6183832266</v>
      </c>
      <c r="Y196" s="94">
        <f t="shared" ca="1" si="447"/>
        <v>-99815.790898295585</v>
      </c>
      <c r="Z196" s="94">
        <f t="shared" ca="1" si="447"/>
        <v>-84856.129026536655</v>
      </c>
      <c r="AA196" s="94">
        <f t="shared" ca="1" si="447"/>
        <v>-69592.896935591853</v>
      </c>
      <c r="AB196" s="94">
        <f t="shared" ca="1" si="447"/>
        <v>1741813.8776083344</v>
      </c>
      <c r="AC196" s="94">
        <f t="shared" ca="1" si="447"/>
        <v>-49093.719592381953</v>
      </c>
      <c r="AD196" s="94">
        <f t="shared" ca="1" si="447"/>
        <v>-39820.125578853673</v>
      </c>
      <c r="AE196" s="94">
        <f t="shared" ca="1" si="447"/>
        <v>-30362.408412846245</v>
      </c>
      <c r="AF196" s="94">
        <f t="shared" ca="1" si="447"/>
        <v>-20717.567638145036</v>
      </c>
      <c r="AG196" s="94">
        <f t="shared" ca="1" si="447"/>
        <v>-10882.533058329987</v>
      </c>
      <c r="AH196" s="94">
        <f t="shared" ca="1" si="447"/>
        <v>-649869.75954125705</v>
      </c>
      <c r="AI196" s="94">
        <f t="shared" ca="1" si="447"/>
        <v>-134278.57758401847</v>
      </c>
      <c r="AJ196" s="94">
        <f t="shared" ca="1" si="447"/>
        <v>-118396.70911082238</v>
      </c>
      <c r="AK196" s="94">
        <f t="shared" ca="1" si="447"/>
        <v>-102219.26471378248</v>
      </c>
      <c r="AL196" s="94">
        <f t="shared" ca="1" si="447"/>
        <v>-85741.243492996466</v>
      </c>
      <c r="AM196" s="94">
        <f t="shared" ca="1" si="447"/>
        <v>-72281.85436432928</v>
      </c>
      <c r="AN196" s="94">
        <f t="shared" ca="1" si="447"/>
        <v>-58414.241208877662</v>
      </c>
      <c r="AO196" s="94">
        <f t="shared" ca="1" si="447"/>
        <v>-47114.013743003452</v>
      </c>
      <c r="AP196" s="94">
        <f t="shared" ref="AP196:BU196" ca="1" si="448">+_EBTcash+_CorporateTax</f>
        <v>-35659.579237673148</v>
      </c>
      <c r="AQ196" s="94">
        <f t="shared" ca="1" si="448"/>
        <v>-24048.264552284687</v>
      </c>
      <c r="AR196" s="94">
        <f t="shared" ca="1" si="448"/>
        <v>-12277.336553773777</v>
      </c>
      <c r="AS196" s="94">
        <f t="shared" ca="1" si="448"/>
        <v>-344.00102238466934</v>
      </c>
      <c r="AT196" s="94">
        <f t="shared" ca="1" si="448"/>
        <v>68551.618377321865</v>
      </c>
      <c r="AU196" s="94">
        <f t="shared" ca="1" si="448"/>
        <v>79357.279816864728</v>
      </c>
      <c r="AV196" s="94">
        <f t="shared" ca="1" si="448"/>
        <v>90357.00675849762</v>
      </c>
      <c r="AW196" s="94">
        <f t="shared" ca="1" si="448"/>
        <v>101554.30677383927</v>
      </c>
      <c r="AX196" s="94">
        <f t="shared" ca="1" si="448"/>
        <v>112952.76351086903</v>
      </c>
      <c r="AY196" s="94">
        <f t="shared" ca="1" si="448"/>
        <v>124556.03811974908</v>
      </c>
      <c r="AZ196" s="94">
        <f t="shared" ca="1" si="448"/>
        <v>136367.87070871986</v>
      </c>
      <c r="BA196" s="94">
        <f t="shared" ca="1" si="448"/>
        <v>148392.08183066297</v>
      </c>
      <c r="BB196" s="94">
        <f t="shared" ca="1" si="448"/>
        <v>160632.57400089569</v>
      </c>
      <c r="BC196" s="94">
        <f t="shared" ca="1" si="448"/>
        <v>173093.333246825</v>
      </c>
      <c r="BD196" s="94">
        <f t="shared" ca="1" si="448"/>
        <v>185778.43069004369</v>
      </c>
      <c r="BE196" s="94">
        <f t="shared" ca="1" si="448"/>
        <v>198692.02416152277</v>
      </c>
      <c r="BF196" s="94">
        <f t="shared" ca="1" si="448"/>
        <v>7998.671042526621</v>
      </c>
      <c r="BG196" s="94">
        <f t="shared" ca="1" si="448"/>
        <v>165259.87688248686</v>
      </c>
      <c r="BH196" s="94">
        <f t="shared" ca="1" si="448"/>
        <v>178759.75264808242</v>
      </c>
      <c r="BI196" s="94">
        <f t="shared" ca="1" si="448"/>
        <v>192502.76703709271</v>
      </c>
      <c r="BJ196" s="94">
        <f t="shared" ca="1" si="448"/>
        <v>206493.48295625663</v>
      </c>
      <c r="BK196" s="94">
        <f t="shared" ca="1" si="448"/>
        <v>220736.55932729907</v>
      </c>
      <c r="BL196" s="94">
        <f t="shared" ca="1" si="448"/>
        <v>236347.86404147011</v>
      </c>
      <c r="BM196" s="94">
        <f t="shared" ca="1" si="448"/>
        <v>252221.14250776742</v>
      </c>
      <c r="BN196" s="94">
        <f t="shared" ca="1" si="448"/>
        <v>268361.35290668957</v>
      </c>
      <c r="BO196" s="94">
        <f t="shared" ca="1" si="448"/>
        <v>284773.55703916767</v>
      </c>
      <c r="BP196" s="94">
        <f t="shared" ca="1" si="448"/>
        <v>301462.92232701415</v>
      </c>
      <c r="BQ196" s="94">
        <f t="shared" ca="1" si="448"/>
        <v>318434.72385454149</v>
      </c>
      <c r="BR196" s="94">
        <f t="shared" ca="1" si="448"/>
        <v>127832.76460763984</v>
      </c>
      <c r="BS196" s="94">
        <f t="shared" ca="1" si="448"/>
        <v>264275.89771414601</v>
      </c>
      <c r="BT196" s="94">
        <f t="shared" ca="1" si="448"/>
        <v>280158.50713954389</v>
      </c>
      <c r="BU196" s="94">
        <f t="shared" ca="1" si="448"/>
        <v>295477.50340319547</v>
      </c>
      <c r="BV196" s="94">
        <f t="shared" ref="BV196:CB196" ca="1" si="449">+_EBTcash+_CorporateTax</f>
        <v>310229.65548634349</v>
      </c>
      <c r="BW196" s="94">
        <f t="shared" ca="1" si="449"/>
        <v>324411.58877446922</v>
      </c>
      <c r="BX196" s="94">
        <f t="shared" ca="1" si="449"/>
        <v>338945.70887711784</v>
      </c>
      <c r="BY196" s="94">
        <f t="shared" ca="1" si="449"/>
        <v>352902.42169461708</v>
      </c>
      <c r="BZ196" s="94">
        <f t="shared" ca="1" si="449"/>
        <v>366277.90899006254</v>
      </c>
      <c r="CA196" s="94">
        <f t="shared" ca="1" si="449"/>
        <v>379068.20020635519</v>
      </c>
      <c r="CB196" s="94">
        <f t="shared" ca="1" si="449"/>
        <v>391269.17015695246</v>
      </c>
      <c r="CC196" s="94">
        <f t="shared" ref="CC196:DH196" ca="1" si="450">+_EBTcash+_CorporateTax</f>
        <v>402876.53666344378</v>
      </c>
      <c r="CD196" s="94">
        <f t="shared" ca="1" si="450"/>
        <v>242746.21135245974</v>
      </c>
      <c r="CE196" s="94">
        <f t="shared" ca="1" si="450"/>
        <v>372295.43793000327</v>
      </c>
      <c r="CF196" s="94">
        <f t="shared" ca="1" si="450"/>
        <v>381543.42608993239</v>
      </c>
      <c r="CG196" s="94">
        <f t="shared" ca="1" si="450"/>
        <v>390488.13125329162</v>
      </c>
      <c r="CH196" s="94">
        <f t="shared" ca="1" si="450"/>
        <v>399127.42934214411</v>
      </c>
      <c r="CI196" s="94">
        <f t="shared" ca="1" si="450"/>
        <v>407459.1155557668</v>
      </c>
      <c r="CJ196" s="94">
        <f t="shared" ca="1" si="450"/>
        <v>416406.8290449467</v>
      </c>
      <c r="CK196" s="94">
        <f t="shared" ca="1" si="450"/>
        <v>425042.27385425381</v>
      </c>
      <c r="CL196" s="94">
        <f t="shared" ca="1" si="450"/>
        <v>433362.99539099226</v>
      </c>
      <c r="CM196" s="94">
        <f t="shared" ca="1" si="450"/>
        <v>441366.45316101826</v>
      </c>
      <c r="CN196" s="94">
        <f t="shared" ca="1" si="450"/>
        <v>449050.01940050832</v>
      </c>
      <c r="CO196" s="94">
        <f t="shared" ca="1" si="450"/>
        <v>456410.97767715843</v>
      </c>
      <c r="CP196" s="94">
        <f t="shared" ca="1" si="450"/>
        <v>290820.9843513426</v>
      </c>
      <c r="CQ196" s="94">
        <f t="shared" ca="1" si="450"/>
        <v>415087.77491632081</v>
      </c>
      <c r="CR196" s="94">
        <f t="shared" ca="1" si="450"/>
        <v>419210.14970757923</v>
      </c>
      <c r="CS196" s="94">
        <f t="shared" ca="1" si="450"/>
        <v>423186.86675350793</v>
      </c>
      <c r="CT196" s="94">
        <f t="shared" ca="1" si="450"/>
        <v>427016.64375594689</v>
      </c>
      <c r="CU196" s="94">
        <f t="shared" ca="1" si="450"/>
        <v>430698.1574222577</v>
      </c>
      <c r="CV196" s="94">
        <f t="shared" ca="1" si="450"/>
        <v>434941.90013599925</v>
      </c>
      <c r="CW196" s="94">
        <f t="shared" ca="1" si="450"/>
        <v>439151.69150629663</v>
      </c>
      <c r="CX196" s="94">
        <f t="shared" ca="1" si="450"/>
        <v>443342.64787272498</v>
      </c>
      <c r="CY196" s="94">
        <f t="shared" ca="1" si="450"/>
        <v>447514.59210556233</v>
      </c>
      <c r="CZ196" s="94">
        <f t="shared" ca="1" si="450"/>
        <v>451667.34241946106</v>
      </c>
      <c r="DA196" s="94">
        <f t="shared" ca="1" si="450"/>
        <v>455800.71227674658</v>
      </c>
      <c r="DB196" s="94">
        <f t="shared" ca="1" si="450"/>
        <v>289906.42124781845</v>
      </c>
      <c r="DC196" s="94">
        <f t="shared" ca="1" si="450"/>
        <v>413993.06948468799</v>
      </c>
      <c r="DD196" s="94">
        <f t="shared" ca="1" si="450"/>
        <v>418062.13898488239</v>
      </c>
      <c r="DE196" s="94">
        <f t="shared" ca="1" si="450"/>
        <v>422113.44563292002</v>
      </c>
      <c r="DF196" s="94">
        <f t="shared" ca="1" si="450"/>
        <v>426146.8007544147</v>
      </c>
      <c r="DG196" s="94">
        <f t="shared" ca="1" si="450"/>
        <v>430162.01102036517</v>
      </c>
      <c r="DH196" s="94">
        <f t="shared" ca="1" si="450"/>
        <v>435084.80427572504</v>
      </c>
      <c r="DI196" s="94">
        <f t="shared" ref="DI196:DY196" ca="1" si="451">+_EBTcash+_CorporateTax</f>
        <v>439989.05166257464</v>
      </c>
      <c r="DJ196" s="94">
        <f t="shared" ca="1" si="451"/>
        <v>444874.54529712762</v>
      </c>
      <c r="DK196" s="94">
        <f t="shared" ca="1" si="451"/>
        <v>449741.07224126795</v>
      </c>
      <c r="DL196" s="94">
        <f t="shared" ca="1" si="451"/>
        <v>454588.41439819668</v>
      </c>
      <c r="DM196" s="94">
        <f t="shared" ca="1" si="451"/>
        <v>459416.3484062393</v>
      </c>
      <c r="DN196" s="94">
        <f t="shared" ca="1" si="451"/>
        <v>242096.3412986832</v>
      </c>
      <c r="DO196" s="94">
        <f t="shared" ca="1" si="451"/>
        <v>401769.10314188048</v>
      </c>
      <c r="DP196" s="94">
        <f t="shared" ca="1" si="451"/>
        <v>405434.51710597292</v>
      </c>
      <c r="DQ196" s="94">
        <f t="shared" ca="1" si="451"/>
        <v>409092.46438899473</v>
      </c>
      <c r="DR196" s="94">
        <f t="shared" ca="1" si="451"/>
        <v>412742.82418362913</v>
      </c>
      <c r="DS196" s="94">
        <f t="shared" ca="1" si="451"/>
        <v>416385.47362253029</v>
      </c>
      <c r="DT196" s="94">
        <f t="shared" ca="1" si="451"/>
        <v>421223.99142656813</v>
      </c>
      <c r="DU196" s="94">
        <f t="shared" ca="1" si="451"/>
        <v>426054.54673748079</v>
      </c>
      <c r="DV196" s="94">
        <f t="shared" ca="1" si="451"/>
        <v>430877.01017193816</v>
      </c>
      <c r="DW196" s="94">
        <f t="shared" ca="1" si="451"/>
        <v>435691.25005994923</v>
      </c>
      <c r="DX196" s="94">
        <f t="shared" ca="1" si="451"/>
        <v>440497.13238612877</v>
      </c>
      <c r="DY196" s="94">
        <f t="shared" ca="1" si="451"/>
        <v>445294.52073008451</v>
      </c>
    </row>
    <row r="197" spans="1:129" ht="14.4" outlineLevel="1" thickBot="1">
      <c r="C197" s="336" t="s">
        <v>10</v>
      </c>
      <c r="D197" s="77"/>
      <c r="E197" s="77"/>
      <c r="F197" s="331" t="s">
        <v>153</v>
      </c>
      <c r="G197" s="77"/>
      <c r="H197" s="77"/>
      <c r="I197" s="77"/>
      <c r="J197" s="136">
        <f t="shared" ref="J197:AO197" ca="1" si="452">_EBTAcc+_CorporateTax</f>
        <v>3460445.8090565619</v>
      </c>
      <c r="K197" s="136">
        <f t="shared" ca="1" si="452"/>
        <v>440281.71255153813</v>
      </c>
      <c r="L197" s="136">
        <f t="shared" ca="1" si="452"/>
        <v>445937.80216642888</v>
      </c>
      <c r="M197" s="136">
        <f t="shared" ca="1" si="452"/>
        <v>451276.26950296882</v>
      </c>
      <c r="N197" s="136">
        <f t="shared" ca="1" si="452"/>
        <v>456294.67561596713</v>
      </c>
      <c r="O197" s="136">
        <f t="shared" ca="1" si="452"/>
        <v>460990.50021199725</v>
      </c>
      <c r="P197" s="136">
        <f t="shared" ca="1" si="452"/>
        <v>465361.14023870131</v>
      </c>
      <c r="Q197" s="136">
        <f t="shared" ca="1" si="452"/>
        <v>469403.90844553127</v>
      </c>
      <c r="R197" s="136">
        <f t="shared" ca="1" si="452"/>
        <v>473116.0319153514</v>
      </c>
      <c r="S197" s="136">
        <f t="shared" ca="1" si="452"/>
        <v>476494.65056627314</v>
      </c>
      <c r="T197" s="136">
        <f t="shared" ca="1" si="452"/>
        <v>479536.81562310859</v>
      </c>
      <c r="U197" s="136">
        <f t="shared" ca="1" si="452"/>
        <v>482239.48805781797</v>
      </c>
      <c r="V197" s="136">
        <f t="shared" ca="1" si="452"/>
        <v>552669.3968749902</v>
      </c>
      <c r="W197" s="136">
        <f t="shared" ca="1" si="452"/>
        <v>568262.32020182011</v>
      </c>
      <c r="X197" s="136">
        <f t="shared" ca="1" si="452"/>
        <v>584016.71630975546</v>
      </c>
      <c r="Y197" s="136">
        <f t="shared" ca="1" si="452"/>
        <v>599936.12301037577</v>
      </c>
      <c r="Z197" s="136">
        <f t="shared" ca="1" si="452"/>
        <v>616024.15124535165</v>
      </c>
      <c r="AA197" s="136">
        <f t="shared" ca="1" si="452"/>
        <v>632284.48643435875</v>
      </c>
      <c r="AB197" s="136">
        <f t="shared" ca="1" si="452"/>
        <v>2444556.0138518149</v>
      </c>
      <c r="AC197" s="136">
        <f t="shared" ca="1" si="452"/>
        <v>654379.69521846971</v>
      </c>
      <c r="AD197" s="136">
        <f t="shared" ca="1" si="452"/>
        <v>664249.9317007215</v>
      </c>
      <c r="AE197" s="136">
        <f t="shared" ca="1" si="452"/>
        <v>674168.45513153577</v>
      </c>
      <c r="AF197" s="136">
        <f t="shared" ca="1" si="452"/>
        <v>684137.02693357971</v>
      </c>
      <c r="AG197" s="136">
        <f t="shared" ca="1" si="452"/>
        <v>694157.43871215056</v>
      </c>
      <c r="AH197" s="136">
        <f t="shared" ca="1" si="452"/>
        <v>137240.98168752718</v>
      </c>
      <c r="AI197" s="136">
        <f t="shared" ca="1" si="452"/>
        <v>664138.01413743547</v>
      </c>
      <c r="AJ197" s="136">
        <f t="shared" ca="1" si="452"/>
        <v>691473.91252969962</v>
      </c>
      <c r="AK197" s="136">
        <f t="shared" ca="1" si="452"/>
        <v>719257.30923657224</v>
      </c>
      <c r="AL197" s="136">
        <f t="shared" ca="1" si="452"/>
        <v>747497.01518784428</v>
      </c>
      <c r="AM197" s="136">
        <f t="shared" ca="1" si="452"/>
        <v>772877.69998232066</v>
      </c>
      <c r="AN197" s="136">
        <f t="shared" ca="1" si="452"/>
        <v>812546.97184001631</v>
      </c>
      <c r="AO197" s="136">
        <f t="shared" ca="1" si="452"/>
        <v>841871.53104850871</v>
      </c>
      <c r="AP197" s="136">
        <f t="shared" ref="AP197:BU197" ca="1" si="453">_EBTAcc+_CorporateTax</f>
        <v>871683.38654296764</v>
      </c>
      <c r="AQ197" s="136">
        <f t="shared" ca="1" si="453"/>
        <v>901992.14722280926</v>
      </c>
      <c r="AR197" s="136">
        <f t="shared" ca="1" si="453"/>
        <v>932807.61795534682</v>
      </c>
      <c r="AS197" s="136">
        <f t="shared" ca="1" si="453"/>
        <v>964139.80341693282</v>
      </c>
      <c r="AT197" s="136">
        <f t="shared" ca="1" si="453"/>
        <v>1133410.7905364444</v>
      </c>
      <c r="AU197" s="136">
        <f t="shared" ca="1" si="453"/>
        <v>1166008.960245996</v>
      </c>
      <c r="AV197" s="136">
        <f t="shared" ca="1" si="453"/>
        <v>1199215.2461264487</v>
      </c>
      <c r="AW197" s="136">
        <f t="shared" ca="1" si="453"/>
        <v>1233041.6547577633</v>
      </c>
      <c r="AX197" s="136">
        <f t="shared" ca="1" si="453"/>
        <v>1267500.4365964776</v>
      </c>
      <c r="AY197" s="136">
        <f t="shared" ca="1" si="453"/>
        <v>1302604.0907793331</v>
      </c>
      <c r="AZ197" s="136">
        <f t="shared" ca="1" si="453"/>
        <v>1338365.370024316</v>
      </c>
      <c r="BA197" s="136">
        <f t="shared" ca="1" si="453"/>
        <v>1374797.2856310422</v>
      </c>
      <c r="BB197" s="136">
        <f t="shared" ca="1" si="453"/>
        <v>1411913.1125824468</v>
      </c>
      <c r="BC197" s="136">
        <f t="shared" ca="1" si="453"/>
        <v>1449726.3947498</v>
      </c>
      <c r="BD197" s="136">
        <f t="shared" ca="1" si="453"/>
        <v>1488250.9502030504</v>
      </c>
      <c r="BE197" s="136">
        <f t="shared" ca="1" si="453"/>
        <v>1527500.8766286403</v>
      </c>
      <c r="BF197" s="136">
        <f t="shared" ca="1" si="453"/>
        <v>1365141.8549132943</v>
      </c>
      <c r="BG197" s="136">
        <f t="shared" ca="1" si="453"/>
        <v>1550437.3938885652</v>
      </c>
      <c r="BH197" s="136">
        <f t="shared" ca="1" si="453"/>
        <v>1592514.925842698</v>
      </c>
      <c r="BI197" s="136">
        <f t="shared" ca="1" si="453"/>
        <v>1635389.9595706323</v>
      </c>
      <c r="BJ197" s="136">
        <f t="shared" ca="1" si="453"/>
        <v>1679078.3171418495</v>
      </c>
      <c r="BK197" s="136">
        <f t="shared" ca="1" si="453"/>
        <v>1723596.1401050715</v>
      </c>
      <c r="BL197" s="136">
        <f t="shared" ca="1" si="453"/>
        <v>1770071.0069292828</v>
      </c>
      <c r="BM197" s="136">
        <f t="shared" ca="1" si="453"/>
        <v>1817408.606127976</v>
      </c>
      <c r="BN197" s="136">
        <f t="shared" ca="1" si="453"/>
        <v>1865626.076180297</v>
      </c>
      <c r="BO197" s="136">
        <f t="shared" ca="1" si="453"/>
        <v>1914740.9011405297</v>
      </c>
      <c r="BP197" s="136">
        <f t="shared" ca="1" si="453"/>
        <v>1964770.917494162</v>
      </c>
      <c r="BQ197" s="136">
        <f t="shared" ca="1" si="453"/>
        <v>2015734.3211520573</v>
      </c>
      <c r="BR197" s="136">
        <f t="shared" ca="1" si="453"/>
        <v>1762143.1882609972</v>
      </c>
      <c r="BS197" s="136">
        <f t="shared" ca="1" si="453"/>
        <v>1838333.1631806919</v>
      </c>
      <c r="BT197" s="136">
        <f t="shared" ca="1" si="453"/>
        <v>1797334.8105194555</v>
      </c>
      <c r="BU197" s="136">
        <f t="shared" ca="1" si="453"/>
        <v>1759166.7121260199</v>
      </c>
      <c r="BV197" s="136">
        <f t="shared" ref="BV197:DA197" ca="1" si="454">_EBTAcc+_CorporateTax</f>
        <v>1723848.1994634976</v>
      </c>
      <c r="BW197" s="136">
        <f t="shared" ca="1" si="454"/>
        <v>1691399.3647975596</v>
      </c>
      <c r="BX197" s="136">
        <f t="shared" ca="1" si="454"/>
        <v>1662766.9985727167</v>
      </c>
      <c r="BY197" s="136">
        <f t="shared" ca="1" si="454"/>
        <v>1637046.8233519711</v>
      </c>
      <c r="BZ197" s="136">
        <f t="shared" ca="1" si="454"/>
        <v>1614261.2835840478</v>
      </c>
      <c r="CA197" s="136">
        <f t="shared" ca="1" si="454"/>
        <v>1594433.631943984</v>
      </c>
      <c r="CB197" s="136">
        <f t="shared" ca="1" si="454"/>
        <v>1577587.9418818927</v>
      </c>
      <c r="CC197" s="136">
        <f t="shared" ca="1" si="454"/>
        <v>1563749.1204592378</v>
      </c>
      <c r="CD197" s="136">
        <f t="shared" ca="1" si="454"/>
        <v>1380332.9999350761</v>
      </c>
      <c r="CE197" s="136">
        <f t="shared" ca="1" si="454"/>
        <v>1488149.8052884708</v>
      </c>
      <c r="CF197" s="136">
        <f t="shared" ca="1" si="454"/>
        <v>1477295.752408182</v>
      </c>
      <c r="CG197" s="136">
        <f t="shared" ca="1" si="454"/>
        <v>1467780.7540328412</v>
      </c>
      <c r="CH197" s="136">
        <f t="shared" ca="1" si="454"/>
        <v>1459615.0890513251</v>
      </c>
      <c r="CI197" s="136">
        <f t="shared" ca="1" si="454"/>
        <v>1452809.4081268834</v>
      </c>
      <c r="CJ197" s="136">
        <f t="shared" ca="1" si="454"/>
        <v>1448300.6653770145</v>
      </c>
      <c r="CK197" s="136">
        <f t="shared" ca="1" si="454"/>
        <v>1445174.3464818471</v>
      </c>
      <c r="CL197" s="136">
        <f t="shared" ca="1" si="454"/>
        <v>1443442.2524827872</v>
      </c>
      <c r="CM197" s="136">
        <f t="shared" ca="1" si="454"/>
        <v>1443116.5800146298</v>
      </c>
      <c r="CN197" s="136">
        <f t="shared" ca="1" si="454"/>
        <v>1444209.9276034299</v>
      </c>
      <c r="CO197" s="136">
        <f t="shared" ca="1" si="454"/>
        <v>1446735.3021067064</v>
      </c>
      <c r="CP197" s="136">
        <f t="shared" ca="1" si="454"/>
        <v>1275947.8104787236</v>
      </c>
      <c r="CQ197" s="136">
        <f t="shared" ca="1" si="454"/>
        <v>1395754.0879819703</v>
      </c>
      <c r="CR197" s="136">
        <f t="shared" ca="1" si="454"/>
        <v>1396159.2645046397</v>
      </c>
      <c r="CS197" s="136">
        <f t="shared" ca="1" si="454"/>
        <v>1397168.6391204398</v>
      </c>
      <c r="CT197" s="136">
        <f t="shared" ca="1" si="454"/>
        <v>1398787.6846499415</v>
      </c>
      <c r="CU197" s="136">
        <f t="shared" ca="1" si="454"/>
        <v>1401022.0504415943</v>
      </c>
      <c r="CV197" s="136">
        <f t="shared" ca="1" si="454"/>
        <v>1402953.6302390189</v>
      </c>
      <c r="CW197" s="136">
        <f t="shared" ca="1" si="454"/>
        <v>1404924.8490898337</v>
      </c>
      <c r="CX197" s="136">
        <f t="shared" ca="1" si="454"/>
        <v>1406997.0706737237</v>
      </c>
      <c r="CY197" s="136">
        <f t="shared" ca="1" si="454"/>
        <v>1409170.8685238399</v>
      </c>
      <c r="CZ197" s="136">
        <f t="shared" ca="1" si="454"/>
        <v>1411446.8429918753</v>
      </c>
      <c r="DA197" s="136">
        <f t="shared" ca="1" si="454"/>
        <v>1413825.6216162415</v>
      </c>
      <c r="DB197" s="136">
        <f t="shared" ref="DB197:DY197" ca="1" si="455">_EBTAcc+_CorporateTax</f>
        <v>1246296.4777947783</v>
      </c>
      <c r="DC197" s="136">
        <f t="shared" ca="1" si="455"/>
        <v>1368851.0683203558</v>
      </c>
      <c r="DD197" s="136">
        <f t="shared" ca="1" si="455"/>
        <v>1371496.7724682044</v>
      </c>
      <c r="DE197" s="136">
        <f t="shared" ca="1" si="455"/>
        <v>1374234.1866348872</v>
      </c>
      <c r="DF197" s="136">
        <f t="shared" ca="1" si="455"/>
        <v>1377063.9322016591</v>
      </c>
      <c r="DG197" s="136">
        <f t="shared" ca="1" si="455"/>
        <v>1379986.6558902911</v>
      </c>
      <c r="DH197" s="136">
        <f t="shared" ca="1" si="455"/>
        <v>1383928.9560535969</v>
      </c>
      <c r="DI197" s="136">
        <f t="shared" ca="1" si="455"/>
        <v>1387965.6052711909</v>
      </c>
      <c r="DJ197" s="136">
        <f t="shared" ca="1" si="455"/>
        <v>1392097.3285099035</v>
      </c>
      <c r="DK197" s="136">
        <f t="shared" ca="1" si="455"/>
        <v>1396324.8775897154</v>
      </c>
      <c r="DL197" s="136">
        <f t="shared" ca="1" si="455"/>
        <v>1400649.0315850605</v>
      </c>
      <c r="DM197" s="136">
        <f t="shared" ca="1" si="455"/>
        <v>1405070.5972357239</v>
      </c>
      <c r="DN197" s="136">
        <f t="shared" ca="1" si="455"/>
        <v>1187304.4847837503</v>
      </c>
      <c r="DO197" s="136">
        <f t="shared" ca="1" si="455"/>
        <v>1346580.3896432212</v>
      </c>
      <c r="DP197" s="136">
        <f t="shared" ca="1" si="455"/>
        <v>1349898.5982405315</v>
      </c>
      <c r="DQ197" s="136">
        <f t="shared" ca="1" si="455"/>
        <v>1353259.4089184853</v>
      </c>
      <c r="DR197" s="136">
        <f t="shared" ca="1" si="455"/>
        <v>1356663.1321163159</v>
      </c>
      <c r="DS197" s="136">
        <f t="shared" ca="1" si="455"/>
        <v>1360110.0905394382</v>
      </c>
      <c r="DT197" s="136">
        <f t="shared" ca="1" si="455"/>
        <v>1364804.3230372067</v>
      </c>
      <c r="DU197" s="136">
        <f t="shared" ca="1" si="455"/>
        <v>1369542.4736702596</v>
      </c>
      <c r="DV197" s="136">
        <f t="shared" ca="1" si="455"/>
        <v>1374324.9030044815</v>
      </c>
      <c r="DW197" s="136">
        <f t="shared" ca="1" si="455"/>
        <v>1379151.9845947269</v>
      </c>
      <c r="DX197" s="136">
        <f t="shared" ca="1" si="455"/>
        <v>1384024.1051768176</v>
      </c>
      <c r="DY197" s="136">
        <f t="shared" ca="1" si="455"/>
        <v>1388941.664864233</v>
      </c>
    </row>
    <row r="198" spans="1:129" ht="14.4" thickTop="1">
      <c r="C198" s="37"/>
      <c r="J198" s="96"/>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row>
    <row r="199" spans="1:129" s="19" customFormat="1" ht="15.6">
      <c r="A199" s="20"/>
      <c r="B199" s="391" t="s">
        <v>233</v>
      </c>
      <c r="C199" s="325"/>
      <c r="D199" s="326"/>
      <c r="E199" s="326"/>
      <c r="F199" s="326"/>
      <c r="G199" s="326"/>
      <c r="H199" s="326"/>
      <c r="I199" s="326"/>
      <c r="J199" s="329"/>
      <c r="K199" s="328"/>
      <c r="L199" s="329"/>
      <c r="M199" s="328"/>
      <c r="N199" s="329"/>
      <c r="O199" s="328"/>
      <c r="P199" s="329"/>
      <c r="Q199" s="329"/>
      <c r="R199" s="328"/>
      <c r="S199" s="328"/>
      <c r="T199" s="328"/>
      <c r="U199" s="328"/>
      <c r="V199" s="328"/>
      <c r="W199" s="328"/>
      <c r="X199" s="330"/>
      <c r="Y199" s="328"/>
      <c r="Z199" s="328"/>
      <c r="AA199" s="328"/>
      <c r="AB199" s="328"/>
      <c r="AC199" s="328"/>
      <c r="AD199" s="328"/>
      <c r="AE199" s="328"/>
      <c r="AF199" s="328"/>
      <c r="AG199" s="328"/>
      <c r="AH199" s="328"/>
      <c r="AI199" s="328"/>
      <c r="AJ199" s="328"/>
      <c r="AK199" s="328"/>
      <c r="AL199" s="328"/>
      <c r="AM199" s="328"/>
      <c r="AN199" s="328"/>
      <c r="AO199" s="328"/>
      <c r="AP199" s="328"/>
      <c r="AQ199" s="328"/>
      <c r="AR199" s="328"/>
      <c r="AS199" s="328"/>
      <c r="AT199" s="328"/>
      <c r="AU199" s="328"/>
      <c r="AV199" s="328"/>
      <c r="AW199" s="328"/>
      <c r="AX199" s="328"/>
      <c r="AY199" s="328"/>
      <c r="AZ199" s="328"/>
      <c r="BA199" s="328"/>
      <c r="BB199" s="328"/>
      <c r="BC199" s="328"/>
      <c r="BD199" s="328"/>
      <c r="BE199" s="328"/>
      <c r="BF199" s="328"/>
      <c r="BG199" s="328"/>
      <c r="BH199" s="328"/>
      <c r="BI199" s="328"/>
      <c r="BJ199" s="328"/>
      <c r="BK199" s="328"/>
      <c r="BL199" s="328"/>
      <c r="BM199" s="328"/>
      <c r="BN199" s="328"/>
      <c r="BO199" s="328"/>
      <c r="BP199" s="328"/>
      <c r="BQ199" s="328"/>
      <c r="BR199" s="328"/>
      <c r="BS199" s="328"/>
      <c r="BT199" s="328"/>
      <c r="BU199" s="328"/>
      <c r="BV199" s="328"/>
      <c r="BW199" s="328"/>
      <c r="BX199" s="328"/>
      <c r="BY199" s="328"/>
      <c r="BZ199" s="328"/>
      <c r="CA199" s="328"/>
      <c r="CB199" s="328"/>
      <c r="CC199" s="328"/>
      <c r="CD199" s="328"/>
      <c r="CE199" s="328"/>
      <c r="CF199" s="328"/>
      <c r="CG199" s="328"/>
      <c r="CH199" s="328"/>
      <c r="CI199" s="328"/>
      <c r="CJ199" s="328"/>
      <c r="CK199" s="328"/>
      <c r="CL199" s="328"/>
      <c r="CM199" s="328"/>
      <c r="CN199" s="328"/>
      <c r="CO199" s="328"/>
      <c r="CP199" s="328"/>
      <c r="CQ199" s="328"/>
      <c r="CR199" s="328"/>
      <c r="CS199" s="328"/>
      <c r="CT199" s="328"/>
      <c r="CU199" s="328"/>
      <c r="CV199" s="328"/>
      <c r="CW199" s="328"/>
      <c r="CX199" s="328"/>
      <c r="CY199" s="328"/>
      <c r="CZ199" s="328"/>
      <c r="DA199" s="328"/>
      <c r="DB199" s="328"/>
      <c r="DC199" s="328"/>
      <c r="DD199" s="328"/>
      <c r="DE199" s="328"/>
      <c r="DF199" s="328"/>
      <c r="DG199" s="328"/>
      <c r="DH199" s="328"/>
      <c r="DI199" s="328"/>
      <c r="DJ199" s="328"/>
      <c r="DK199" s="328"/>
      <c r="DL199" s="328"/>
      <c r="DM199" s="328"/>
      <c r="DN199" s="328"/>
      <c r="DO199" s="328"/>
      <c r="DP199" s="328"/>
      <c r="DQ199" s="328"/>
      <c r="DR199" s="328"/>
      <c r="DS199" s="328"/>
      <c r="DT199" s="328"/>
      <c r="DU199" s="328"/>
      <c r="DV199" s="328"/>
      <c r="DW199" s="328"/>
      <c r="DX199" s="328"/>
      <c r="DY199" s="328"/>
    </row>
    <row r="200" spans="1:129" s="19" customFormat="1" outlineLevel="1">
      <c r="A200" s="20"/>
      <c r="B200" s="14"/>
      <c r="C200" s="14"/>
      <c r="D200" s="30"/>
      <c r="E200" s="30"/>
      <c r="F200" s="30"/>
      <c r="G200" s="14"/>
      <c r="H200" s="14"/>
      <c r="I200" s="14"/>
      <c r="J200" s="104"/>
      <c r="K200" s="14"/>
      <c r="L200" s="104"/>
      <c r="M200" s="14"/>
      <c r="N200" s="104"/>
      <c r="O200" s="14"/>
      <c r="P200" s="104"/>
      <c r="Q200" s="104"/>
      <c r="R200" s="14"/>
      <c r="S200" s="14"/>
      <c r="T200" s="14"/>
      <c r="U200" s="14"/>
      <c r="V200" s="14"/>
      <c r="W200" s="14"/>
      <c r="X200" s="98"/>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row>
    <row r="201" spans="1:129" outlineLevel="1">
      <c r="A201" s="6"/>
      <c r="C201" s="85" t="s">
        <v>11</v>
      </c>
      <c r="D201" s="85"/>
      <c r="E201" s="85"/>
      <c r="F201" s="85" t="s">
        <v>162</v>
      </c>
      <c r="G201" s="85"/>
      <c r="H201" s="85"/>
      <c r="I201" s="437"/>
      <c r="J201" s="86">
        <f>+I220</f>
        <v>300000</v>
      </c>
      <c r="K201" s="86">
        <f ca="1">+J220</f>
        <v>17607626.924219824</v>
      </c>
      <c r="L201" s="86">
        <f t="shared" ref="L201:S201" ca="1" si="456">+K220</f>
        <v>16899007.183608748</v>
      </c>
      <c r="M201" s="86">
        <f t="shared" ca="1" si="456"/>
        <v>16201122.101979548</v>
      </c>
      <c r="N201" s="86">
        <f t="shared" ca="1" si="456"/>
        <v>15514827.990227282</v>
      </c>
      <c r="O201" s="86">
        <f t="shared" ca="1" si="456"/>
        <v>14840991.869287752</v>
      </c>
      <c r="P201" s="86">
        <f ca="1">+O220</f>
        <v>14180491.748500096</v>
      </c>
      <c r="Q201" s="149">
        <f t="shared" ca="1" si="456"/>
        <v>13534216.908895005</v>
      </c>
      <c r="R201" s="86">
        <f t="shared" ca="1" si="456"/>
        <v>12903068.191513505</v>
      </c>
      <c r="S201" s="86">
        <f t="shared" ca="1" si="456"/>
        <v>12287958.290863274</v>
      </c>
      <c r="T201" s="86">
        <f ca="1">+S220</f>
        <v>11680744.520900525</v>
      </c>
      <c r="U201" s="86">
        <f ca="1">+T220</f>
        <v>11090721.717653003</v>
      </c>
      <c r="V201" s="86">
        <f t="shared" ref="V201:AS201" ca="1" si="457">+U220</f>
        <v>10518825.749797761</v>
      </c>
      <c r="W201" s="86">
        <f t="shared" ca="1" si="457"/>
        <v>9554523.4321791176</v>
      </c>
      <c r="X201" s="86">
        <f t="shared" ca="1" si="457"/>
        <v>8605647.895207176</v>
      </c>
      <c r="Y201" s="86">
        <f t="shared" ca="1" si="457"/>
        <v>7672559.8056339482</v>
      </c>
      <c r="Z201" s="86">
        <f t="shared" ca="1" si="457"/>
        <v>6755625.6541795461</v>
      </c>
      <c r="AA201" s="86">
        <f t="shared" ca="1" si="457"/>
        <v>5855217.8859051997</v>
      </c>
      <c r="AB201" s="86">
        <f ca="1">+AA220</f>
        <v>4971715.033054824</v>
      </c>
      <c r="AC201" s="86">
        <f t="shared" ca="1" si="457"/>
        <v>5901336.9744150704</v>
      </c>
      <c r="AD201" s="86">
        <f t="shared" ca="1" si="457"/>
        <v>5041847.0724303238</v>
      </c>
      <c r="AE201" s="86">
        <f t="shared" ca="1" si="457"/>
        <v>4193505.6745024486</v>
      </c>
      <c r="AF201" s="86">
        <f t="shared" ca="1" si="457"/>
        <v>3343892.637103776</v>
      </c>
      <c r="AG201" s="86">
        <f t="shared" ca="1" si="457"/>
        <v>2505510.2198921186</v>
      </c>
      <c r="AH201" s="86">
        <f t="shared" ca="1" si="457"/>
        <v>1678623.1536511392</v>
      </c>
      <c r="AI201" s="86">
        <f t="shared" ca="1" si="457"/>
        <v>35201204.617801949</v>
      </c>
      <c r="AJ201" s="86">
        <f t="shared" ca="1" si="457"/>
        <v>34235484.341899417</v>
      </c>
      <c r="AK201" s="86">
        <f t="shared" ca="1" si="457"/>
        <v>33281674.473440137</v>
      </c>
      <c r="AL201" s="86">
        <f t="shared" ca="1" si="457"/>
        <v>32332580.484912269</v>
      </c>
      <c r="AM201" s="86">
        <f t="shared" ca="1" si="457"/>
        <v>31395544.726072647</v>
      </c>
      <c r="AN201" s="86">
        <f t="shared" ca="1" si="457"/>
        <v>30467460.29028222</v>
      </c>
      <c r="AO201" s="86">
        <f t="shared" ca="1" si="457"/>
        <v>29083459.571408145</v>
      </c>
      <c r="AP201" s="86">
        <f t="shared" ca="1" si="457"/>
        <v>27703622.780623782</v>
      </c>
      <c r="AQ201" s="86">
        <f t="shared" ca="1" si="457"/>
        <v>26327941.543778364</v>
      </c>
      <c r="AR201" s="86">
        <f t="shared" ca="1" si="457"/>
        <v>24956336.10713242</v>
      </c>
      <c r="AS201" s="86">
        <f t="shared" ca="1" si="457"/>
        <v>23588863.479246043</v>
      </c>
      <c r="AT201" s="86">
        <f t="shared" ref="AT201:CC201" ca="1" si="458">+AS220</f>
        <v>22225514.746453486</v>
      </c>
      <c r="AU201" s="86">
        <f t="shared" ca="1" si="458"/>
        <v>21329119.064522363</v>
      </c>
      <c r="AV201" s="86">
        <f t="shared" ca="1" si="458"/>
        <v>20435100.105017047</v>
      </c>
      <c r="AW201" s="86">
        <f t="shared" ca="1" si="458"/>
        <v>19543463.27873183</v>
      </c>
      <c r="AX201" s="86">
        <f t="shared" ca="1" si="458"/>
        <v>18654214.150452279</v>
      </c>
      <c r="AY201" s="86">
        <f t="shared" ca="1" si="458"/>
        <v>17767358.440118954</v>
      </c>
      <c r="AZ201" s="86">
        <f t="shared" ca="1" si="458"/>
        <v>16882902.024057858</v>
      </c>
      <c r="BA201" s="86">
        <f t="shared" ca="1" si="458"/>
        <v>16000850.936278122</v>
      </c>
      <c r="BB201" s="86">
        <f t="shared" ca="1" si="458"/>
        <v>15121211.369837444</v>
      </c>
      <c r="BC201" s="86">
        <f t="shared" ca="1" si="458"/>
        <v>14243989.678275838</v>
      </c>
      <c r="BD201" s="86">
        <f t="shared" ca="1" si="458"/>
        <v>13368252.587387428</v>
      </c>
      <c r="BE201" s="86">
        <f t="shared" ca="1" si="458"/>
        <v>12494915.518447716</v>
      </c>
      <c r="BF201" s="86">
        <f t="shared" ca="1" si="458"/>
        <v>11623984.694787119</v>
      </c>
      <c r="BG201" s="86">
        <f t="shared" ca="1" si="458"/>
        <v>22551272.016240992</v>
      </c>
      <c r="BH201" s="86">
        <f t="shared" ca="1" si="458"/>
        <v>21624476.300602805</v>
      </c>
      <c r="BI201" s="86">
        <f t="shared" ca="1" si="458"/>
        <v>20699592.579034455</v>
      </c>
      <c r="BJ201" s="86">
        <f t="shared" ca="1" si="458"/>
        <v>19776615.824958861</v>
      </c>
      <c r="BK201" s="86">
        <f t="shared" ca="1" si="458"/>
        <v>18855540.95129681</v>
      </c>
      <c r="BL201" s="86">
        <f t="shared" ca="1" si="458"/>
        <v>17936362.8076845</v>
      </c>
      <c r="BM201" s="86">
        <f t="shared" ca="1" si="458"/>
        <v>16797965.066559557</v>
      </c>
      <c r="BN201" s="86">
        <f t="shared" ca="1" si="458"/>
        <v>15662564.664781168</v>
      </c>
      <c r="BO201" s="86">
        <f t="shared" ca="1" si="458"/>
        <v>14530156.245227605</v>
      </c>
      <c r="BP201" s="86">
        <f t="shared" ca="1" si="458"/>
        <v>13454973.150973288</v>
      </c>
      <c r="BQ201" s="86">
        <f t="shared" ca="1" si="458"/>
        <v>12438633.022063969</v>
      </c>
      <c r="BR201" s="86">
        <f ca="1">+BQ220</f>
        <v>11482247.507261027</v>
      </c>
      <c r="BS201" s="86">
        <f t="shared" ca="1" si="458"/>
        <v>20375091.679375932</v>
      </c>
      <c r="BT201" s="86">
        <f t="shared" ca="1" si="458"/>
        <v>19441679.505604103</v>
      </c>
      <c r="BU201" s="86">
        <f t="shared" ca="1" si="458"/>
        <v>18558911.831532046</v>
      </c>
      <c r="BV201" s="86">
        <f t="shared" ca="1" si="458"/>
        <v>17723668.633204602</v>
      </c>
      <c r="BW201" s="86">
        <f t="shared" ca="1" si="458"/>
        <v>16932808.18762438</v>
      </c>
      <c r="BX201" s="86">
        <f t="shared" ca="1" si="458"/>
        <v>16183166.2307985</v>
      </c>
      <c r="BY201" s="86">
        <f t="shared" ca="1" si="458"/>
        <v>15287295.843782693</v>
      </c>
      <c r="BZ201" s="86">
        <f t="shared" ca="1" si="458"/>
        <v>14427170.288648926</v>
      </c>
      <c r="CA201" s="86">
        <f t="shared" ca="1" si="458"/>
        <v>13599552.497778609</v>
      </c>
      <c r="CB201" s="86">
        <f t="shared" ca="1" si="458"/>
        <v>12803389.827099532</v>
      </c>
      <c r="CC201" s="86">
        <f t="shared" ca="1" si="458"/>
        <v>12035508.88524298</v>
      </c>
      <c r="CD201" s="86">
        <f t="shared" ref="CD201:DY201" ca="1" si="459">+CC220</f>
        <v>11292638.28908148</v>
      </c>
      <c r="CE201" s="86">
        <f t="shared" ca="1" si="459"/>
        <v>20402024.481087074</v>
      </c>
      <c r="CF201" s="86">
        <f t="shared" ca="1" si="459"/>
        <v>19652390.769063395</v>
      </c>
      <c r="CG201" s="86">
        <f t="shared" ca="1" si="459"/>
        <v>18922474.011138458</v>
      </c>
      <c r="CH201" s="86">
        <f t="shared" ca="1" si="459"/>
        <v>18211001.807450194</v>
      </c>
      <c r="CI201" s="86">
        <f t="shared" ca="1" si="459"/>
        <v>17516692.154141858</v>
      </c>
      <c r="CJ201" s="86">
        <f t="shared" ca="1" si="459"/>
        <v>16838253.092059042</v>
      </c>
      <c r="CK201" s="86">
        <f t="shared" ca="1" si="459"/>
        <v>15990123.090766653</v>
      </c>
      <c r="CL201" s="86">
        <f t="shared" ca="1" si="459"/>
        <v>15156174.389983419</v>
      </c>
      <c r="CM201" s="86">
        <f t="shared" ca="1" si="459"/>
        <v>14335083.002010547</v>
      </c>
      <c r="CN201" s="86">
        <f t="shared" ca="1" si="459"/>
        <v>13526966.850123884</v>
      </c>
      <c r="CO201" s="86">
        <f t="shared" ca="1" si="459"/>
        <v>12730507.805675909</v>
      </c>
      <c r="CP201" s="86">
        <f t="shared" ca="1" si="459"/>
        <v>11944376.135893073</v>
      </c>
      <c r="CQ201" s="86">
        <f t="shared" ca="1" si="459"/>
        <v>21458188.463417925</v>
      </c>
      <c r="CR201" s="86">
        <f t="shared" ca="1" si="459"/>
        <v>21098466.123817455</v>
      </c>
      <c r="CS201" s="86">
        <f t="shared" ca="1" si="459"/>
        <v>20744689.104670689</v>
      </c>
      <c r="CT201" s="86">
        <f t="shared" ca="1" si="459"/>
        <v>20397216.641729299</v>
      </c>
      <c r="CU201" s="86">
        <f t="shared" ca="1" si="459"/>
        <v>20055577.110836327</v>
      </c>
      <c r="CV201" s="86">
        <f t="shared" ca="1" si="459"/>
        <v>19719255.490976773</v>
      </c>
      <c r="CW201" s="86">
        <f t="shared" ca="1" si="459"/>
        <v>19203524.006850842</v>
      </c>
      <c r="CX201" s="86">
        <f t="shared" ca="1" si="459"/>
        <v>18693456.285631124</v>
      </c>
      <c r="CY201" s="86">
        <f t="shared" ca="1" si="459"/>
        <v>18188956.221778337</v>
      </c>
      <c r="CZ201" s="86">
        <f t="shared" ca="1" si="459"/>
        <v>17689939.32007812</v>
      </c>
      <c r="DA201" s="86">
        <f t="shared" ca="1" si="459"/>
        <v>17196314.240808178</v>
      </c>
      <c r="DB201" s="86">
        <f t="shared" ca="1" si="459"/>
        <v>16707983.451476024</v>
      </c>
      <c r="DC201" s="86">
        <f t="shared" ca="1" si="459"/>
        <v>26054851.986047842</v>
      </c>
      <c r="DD201" s="86">
        <f t="shared" ca="1" si="459"/>
        <v>25526835.473172247</v>
      </c>
      <c r="DE201" s="86">
        <f t="shared" ca="1" si="459"/>
        <v>25003850.77267139</v>
      </c>
      <c r="DF201" s="86">
        <f t="shared" ca="1" si="459"/>
        <v>24485814.190098364</v>
      </c>
      <c r="DG201" s="86">
        <f t="shared" ca="1" si="459"/>
        <v>23972641.454034485</v>
      </c>
      <c r="DH201" s="86">
        <f t="shared" ca="1" si="459"/>
        <v>23464247.693057545</v>
      </c>
      <c r="DI201" s="86">
        <f t="shared" ca="1" si="459"/>
        <v>22776288.15311382</v>
      </c>
      <c r="DJ201" s="86">
        <f t="shared" ca="1" si="459"/>
        <v>22093861.877507932</v>
      </c>
      <c r="DK201" s="86">
        <f t="shared" ca="1" si="459"/>
        <v>21416882.053205989</v>
      </c>
      <c r="DL201" s="86">
        <f t="shared" ca="1" si="459"/>
        <v>20745361.042072583</v>
      </c>
      <c r="DM201" s="86">
        <f t="shared" ca="1" si="459"/>
        <v>20079212.612551849</v>
      </c>
      <c r="DN201" s="86">
        <f t="shared" ca="1" si="459"/>
        <v>19418349.827443976</v>
      </c>
      <c r="DO201" s="86">
        <f t="shared" ca="1" si="459"/>
        <v>31762816.985016771</v>
      </c>
      <c r="DP201" s="86">
        <f t="shared" ca="1" si="459"/>
        <v>31267356.306021124</v>
      </c>
      <c r="DQ201" s="86">
        <f t="shared" ca="1" si="459"/>
        <v>30775931.985216774</v>
      </c>
      <c r="DR201" s="86">
        <f t="shared" ca="1" si="459"/>
        <v>30288507.959092878</v>
      </c>
      <c r="DS201" s="86">
        <f t="shared" ca="1" si="459"/>
        <v>29805047.895689413</v>
      </c>
      <c r="DT201" s="86">
        <f t="shared" ca="1" si="459"/>
        <v>29325515.184272408</v>
      </c>
      <c r="DU201" s="86">
        <f t="shared" ca="1" si="459"/>
        <v>28610335.887822319</v>
      </c>
      <c r="DV201" s="86">
        <f t="shared" ca="1" si="459"/>
        <v>27900213.547220748</v>
      </c>
      <c r="DW201" s="86">
        <f t="shared" ca="1" si="459"/>
        <v>27195110.651946619</v>
      </c>
      <c r="DX201" s="86">
        <f t="shared" ca="1" si="459"/>
        <v>26495067.066345703</v>
      </c>
      <c r="DY201" s="86">
        <f t="shared" ca="1" si="459"/>
        <v>25800046.179498479</v>
      </c>
    </row>
    <row r="202" spans="1:129" outlineLevel="1">
      <c r="A202" s="6"/>
      <c r="J202" s="91"/>
      <c r="K202" s="35"/>
      <c r="L202" s="91"/>
      <c r="M202" s="35"/>
      <c r="N202" s="91"/>
      <c r="O202" s="35"/>
      <c r="P202" s="91"/>
      <c r="Q202" s="91"/>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row>
    <row r="203" spans="1:129" outlineLevel="1">
      <c r="A203" s="6"/>
      <c r="C203" s="37" t="s">
        <v>116</v>
      </c>
      <c r="J203" s="91"/>
      <c r="K203" s="35"/>
      <c r="L203" s="91"/>
      <c r="M203" s="35"/>
      <c r="N203" s="91"/>
      <c r="O203" s="35"/>
      <c r="P203" s="91"/>
      <c r="Q203" s="91"/>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row>
    <row r="204" spans="1:129" outlineLevel="1">
      <c r="C204" s="5" t="s">
        <v>5</v>
      </c>
      <c r="D204" s="5" t="s">
        <v>8</v>
      </c>
      <c r="F204" s="5" t="s">
        <v>172</v>
      </c>
      <c r="J204" s="35">
        <f ca="1">_NetIncomeCash</f>
        <v>2763702.8241691752</v>
      </c>
      <c r="K204" s="35">
        <f t="shared" ref="K204:T204" ca="1" si="460">_NetIncomeCash</f>
        <v>-255970.40434597491</v>
      </c>
      <c r="L204" s="35">
        <f t="shared" ca="1" si="460"/>
        <v>-249157.70346610891</v>
      </c>
      <c r="M204" s="35">
        <f t="shared" ca="1" si="460"/>
        <v>-241990.12598314491</v>
      </c>
      <c r="N204" s="35">
        <f t="shared" ca="1" si="460"/>
        <v>-234463.15453120493</v>
      </c>
      <c r="O204" s="35">
        <f t="shared" ca="1" si="460"/>
        <v>-226572.14902975989</v>
      </c>
      <c r="P204" s="35">
        <f t="shared" ca="1" si="460"/>
        <v>-218312.34466243672</v>
      </c>
      <c r="Q204" s="35">
        <f t="shared" ca="1" si="460"/>
        <v>-209678.8498092494</v>
      </c>
      <c r="R204" s="35">
        <f t="shared" ca="1" si="460"/>
        <v>-200666.64393140899</v>
      </c>
      <c r="S204" s="35">
        <f t="shared" ca="1" si="460"/>
        <v>-191270.57540785763</v>
      </c>
      <c r="T204" s="35">
        <f t="shared" ca="1" si="460"/>
        <v>-181485.35932265563</v>
      </c>
      <c r="U204" s="35">
        <f t="shared" ref="U204:CF204" ca="1" si="461">_NetIncomeCash</f>
        <v>-171305.57520231075</v>
      </c>
      <c r="V204" s="35">
        <f t="shared" ca="1" si="461"/>
        <v>-142920.1631102004</v>
      </c>
      <c r="W204" s="35">
        <f t="shared" ca="1" si="461"/>
        <v>-128843.23685170998</v>
      </c>
      <c r="X204" s="35">
        <f t="shared" ca="1" si="461"/>
        <v>-114476.6183832266</v>
      </c>
      <c r="Y204" s="35">
        <f t="shared" ca="1" si="461"/>
        <v>-99815.790898295585</v>
      </c>
      <c r="Z204" s="35">
        <f t="shared" ca="1" si="461"/>
        <v>-84856.129026536655</v>
      </c>
      <c r="AA204" s="35">
        <f t="shared" ca="1" si="461"/>
        <v>-69592.896935591853</v>
      </c>
      <c r="AB204" s="35">
        <f t="shared" ca="1" si="461"/>
        <v>1741813.8776083344</v>
      </c>
      <c r="AC204" s="35">
        <f t="shared" ca="1" si="461"/>
        <v>-49093.719592381953</v>
      </c>
      <c r="AD204" s="35">
        <f t="shared" ca="1" si="461"/>
        <v>-39820.125578853673</v>
      </c>
      <c r="AE204" s="35">
        <f t="shared" ca="1" si="461"/>
        <v>-30362.408412846245</v>
      </c>
      <c r="AF204" s="35">
        <f t="shared" ca="1" si="461"/>
        <v>-20717.567638145036</v>
      </c>
      <c r="AG204" s="35">
        <f t="shared" ca="1" si="461"/>
        <v>-10882.533058329987</v>
      </c>
      <c r="AH204" s="35">
        <f t="shared" ca="1" si="461"/>
        <v>-649869.75954125705</v>
      </c>
      <c r="AI204" s="35">
        <f t="shared" ca="1" si="461"/>
        <v>-134278.57758401847</v>
      </c>
      <c r="AJ204" s="35">
        <f t="shared" ca="1" si="461"/>
        <v>-118396.70911082238</v>
      </c>
      <c r="AK204" s="35">
        <f t="shared" ca="1" si="461"/>
        <v>-102219.26471378248</v>
      </c>
      <c r="AL204" s="35">
        <f t="shared" ca="1" si="461"/>
        <v>-85741.243492996466</v>
      </c>
      <c r="AM204" s="35">
        <f t="shared" ca="1" si="461"/>
        <v>-72281.85436432928</v>
      </c>
      <c r="AN204" s="35">
        <f t="shared" ca="1" si="461"/>
        <v>-58414.241208877662</v>
      </c>
      <c r="AO204" s="35">
        <f t="shared" ca="1" si="461"/>
        <v>-47114.013743003452</v>
      </c>
      <c r="AP204" s="35">
        <f t="shared" ca="1" si="461"/>
        <v>-35659.579237673148</v>
      </c>
      <c r="AQ204" s="35">
        <f t="shared" ca="1" si="461"/>
        <v>-24048.264552284687</v>
      </c>
      <c r="AR204" s="35">
        <f t="shared" ca="1" si="461"/>
        <v>-12277.336553773777</v>
      </c>
      <c r="AS204" s="35">
        <f t="shared" ca="1" si="461"/>
        <v>-344.00102238466934</v>
      </c>
      <c r="AT204" s="35">
        <f t="shared" ca="1" si="461"/>
        <v>68551.618377321865</v>
      </c>
      <c r="AU204" s="35">
        <f t="shared" ca="1" si="461"/>
        <v>79357.279816864728</v>
      </c>
      <c r="AV204" s="35">
        <f t="shared" ca="1" si="461"/>
        <v>90357.00675849762</v>
      </c>
      <c r="AW204" s="35">
        <f t="shared" ca="1" si="461"/>
        <v>101554.30677383927</v>
      </c>
      <c r="AX204" s="35">
        <f t="shared" ca="1" si="461"/>
        <v>112952.76351086903</v>
      </c>
      <c r="AY204" s="35">
        <f t="shared" ca="1" si="461"/>
        <v>124556.03811974908</v>
      </c>
      <c r="AZ204" s="35">
        <f t="shared" ca="1" si="461"/>
        <v>136367.87070871986</v>
      </c>
      <c r="BA204" s="35">
        <f t="shared" ca="1" si="461"/>
        <v>148392.08183066297</v>
      </c>
      <c r="BB204" s="35">
        <f t="shared" ca="1" si="461"/>
        <v>160632.57400089569</v>
      </c>
      <c r="BC204" s="35">
        <f t="shared" ca="1" si="461"/>
        <v>173093.333246825</v>
      </c>
      <c r="BD204" s="35">
        <f t="shared" ca="1" si="461"/>
        <v>185778.43069004369</v>
      </c>
      <c r="BE204" s="35">
        <f t="shared" ca="1" si="461"/>
        <v>198692.02416152277</v>
      </c>
      <c r="BF204" s="35">
        <f t="shared" ca="1" si="461"/>
        <v>7998.671042526621</v>
      </c>
      <c r="BG204" s="35">
        <f t="shared" ca="1" si="461"/>
        <v>165259.87688248686</v>
      </c>
      <c r="BH204" s="35">
        <f t="shared" ca="1" si="461"/>
        <v>178759.75264808242</v>
      </c>
      <c r="BI204" s="35">
        <f t="shared" ca="1" si="461"/>
        <v>192502.76703709271</v>
      </c>
      <c r="BJ204" s="35">
        <f t="shared" ca="1" si="461"/>
        <v>206493.48295625663</v>
      </c>
      <c r="BK204" s="35">
        <f t="shared" ca="1" si="461"/>
        <v>220736.55932729907</v>
      </c>
      <c r="BL204" s="35">
        <f t="shared" ca="1" si="461"/>
        <v>236347.86404147011</v>
      </c>
      <c r="BM204" s="35">
        <f ca="1">_NetIncomeCash</f>
        <v>252221.14250776742</v>
      </c>
      <c r="BN204" s="35">
        <f t="shared" ca="1" si="461"/>
        <v>268361.35290668957</v>
      </c>
      <c r="BO204" s="35">
        <f t="shared" ca="1" si="461"/>
        <v>284773.55703916767</v>
      </c>
      <c r="BP204" s="35">
        <f t="shared" ca="1" si="461"/>
        <v>301462.92232701415</v>
      </c>
      <c r="BQ204" s="35">
        <f t="shared" ca="1" si="461"/>
        <v>318434.72385454149</v>
      </c>
      <c r="BR204" s="35">
        <f t="shared" ca="1" si="461"/>
        <v>127832.76460763984</v>
      </c>
      <c r="BS204" s="35">
        <f t="shared" ca="1" si="461"/>
        <v>264275.89771414601</v>
      </c>
      <c r="BT204" s="35">
        <f t="shared" ca="1" si="461"/>
        <v>280158.50713954389</v>
      </c>
      <c r="BU204" s="35">
        <f t="shared" ca="1" si="461"/>
        <v>295477.50340319547</v>
      </c>
      <c r="BV204" s="35">
        <f t="shared" ca="1" si="461"/>
        <v>310229.65548634349</v>
      </c>
      <c r="BW204" s="35">
        <f t="shared" ca="1" si="461"/>
        <v>324411.58877446922</v>
      </c>
      <c r="BX204" s="35">
        <f t="shared" ca="1" si="461"/>
        <v>338945.70887711784</v>
      </c>
      <c r="BY204" s="35">
        <f t="shared" ca="1" si="461"/>
        <v>352902.42169461708</v>
      </c>
      <c r="BZ204" s="35">
        <f t="shared" ca="1" si="461"/>
        <v>366277.90899006254</v>
      </c>
      <c r="CA204" s="35">
        <f t="shared" ca="1" si="461"/>
        <v>379068.20020635519</v>
      </c>
      <c r="CB204" s="35">
        <f t="shared" ca="1" si="461"/>
        <v>391269.17015695246</v>
      </c>
      <c r="CC204" s="35">
        <f t="shared" ca="1" si="461"/>
        <v>402876.53666344378</v>
      </c>
      <c r="CD204" s="35">
        <f t="shared" ca="1" si="461"/>
        <v>242746.21135245974</v>
      </c>
      <c r="CE204" s="35">
        <f t="shared" ca="1" si="461"/>
        <v>372295.43793000327</v>
      </c>
      <c r="CF204" s="35">
        <f t="shared" ca="1" si="461"/>
        <v>381543.42608993239</v>
      </c>
      <c r="CG204" s="35">
        <f t="shared" ref="CG204:DY204" ca="1" si="462">_NetIncomeCash</f>
        <v>390488.13125329162</v>
      </c>
      <c r="CH204" s="35">
        <f t="shared" ca="1" si="462"/>
        <v>399127.42934214411</v>
      </c>
      <c r="CI204" s="35">
        <f t="shared" ca="1" si="462"/>
        <v>407459.1155557668</v>
      </c>
      <c r="CJ204" s="35">
        <f t="shared" ca="1" si="462"/>
        <v>416406.8290449467</v>
      </c>
      <c r="CK204" s="35">
        <f t="shared" ca="1" si="462"/>
        <v>425042.27385425381</v>
      </c>
      <c r="CL204" s="35">
        <f t="shared" ca="1" si="462"/>
        <v>433362.99539099226</v>
      </c>
      <c r="CM204" s="35">
        <f t="shared" ca="1" si="462"/>
        <v>441366.45316101826</v>
      </c>
      <c r="CN204" s="35">
        <f t="shared" ca="1" si="462"/>
        <v>449050.01940050832</v>
      </c>
      <c r="CO204" s="35">
        <f t="shared" ca="1" si="462"/>
        <v>456410.97767715843</v>
      </c>
      <c r="CP204" s="35">
        <f t="shared" ca="1" si="462"/>
        <v>290820.9843513426</v>
      </c>
      <c r="CQ204" s="35">
        <f t="shared" ca="1" si="462"/>
        <v>415087.77491632081</v>
      </c>
      <c r="CR204" s="35">
        <f t="shared" ca="1" si="462"/>
        <v>419210.14970757923</v>
      </c>
      <c r="CS204" s="35">
        <f t="shared" ca="1" si="462"/>
        <v>423186.86675350793</v>
      </c>
      <c r="CT204" s="35">
        <f t="shared" ca="1" si="462"/>
        <v>427016.64375594689</v>
      </c>
      <c r="CU204" s="35">
        <f t="shared" ca="1" si="462"/>
        <v>430698.1574222577</v>
      </c>
      <c r="CV204" s="35">
        <f t="shared" ca="1" si="462"/>
        <v>434941.90013599925</v>
      </c>
      <c r="CW204" s="35">
        <f t="shared" ca="1" si="462"/>
        <v>439151.69150629663</v>
      </c>
      <c r="CX204" s="35">
        <f t="shared" ca="1" si="462"/>
        <v>443342.64787272498</v>
      </c>
      <c r="CY204" s="35">
        <f t="shared" ca="1" si="462"/>
        <v>447514.59210556233</v>
      </c>
      <c r="CZ204" s="35">
        <f t="shared" ca="1" si="462"/>
        <v>451667.34241946106</v>
      </c>
      <c r="DA204" s="35">
        <f t="shared" ca="1" si="462"/>
        <v>455800.71227674658</v>
      </c>
      <c r="DB204" s="35">
        <f t="shared" ca="1" si="462"/>
        <v>289906.42124781845</v>
      </c>
      <c r="DC204" s="35">
        <f t="shared" ca="1" si="462"/>
        <v>413993.06948468799</v>
      </c>
      <c r="DD204" s="35">
        <f t="shared" ca="1" si="462"/>
        <v>418062.13898488239</v>
      </c>
      <c r="DE204" s="35">
        <f t="shared" ca="1" si="462"/>
        <v>422113.44563292002</v>
      </c>
      <c r="DF204" s="35">
        <f t="shared" ca="1" si="462"/>
        <v>426146.8007544147</v>
      </c>
      <c r="DG204" s="35">
        <f t="shared" ca="1" si="462"/>
        <v>430162.01102036517</v>
      </c>
      <c r="DH204" s="35">
        <f t="shared" ca="1" si="462"/>
        <v>435084.80427572504</v>
      </c>
      <c r="DI204" s="35">
        <f t="shared" ca="1" si="462"/>
        <v>439989.05166257464</v>
      </c>
      <c r="DJ204" s="35">
        <f t="shared" ca="1" si="462"/>
        <v>444874.54529712762</v>
      </c>
      <c r="DK204" s="35">
        <f t="shared" ca="1" si="462"/>
        <v>449741.07224126795</v>
      </c>
      <c r="DL204" s="35">
        <f t="shared" ca="1" si="462"/>
        <v>454588.41439819668</v>
      </c>
      <c r="DM204" s="35">
        <f t="shared" ca="1" si="462"/>
        <v>459416.3484062393</v>
      </c>
      <c r="DN204" s="35">
        <f t="shared" ca="1" si="462"/>
        <v>242096.3412986832</v>
      </c>
      <c r="DO204" s="35">
        <f t="shared" ca="1" si="462"/>
        <v>401769.10314188048</v>
      </c>
      <c r="DP204" s="35">
        <f t="shared" ca="1" si="462"/>
        <v>405434.51710597292</v>
      </c>
      <c r="DQ204" s="35">
        <f t="shared" ca="1" si="462"/>
        <v>409092.46438899473</v>
      </c>
      <c r="DR204" s="35">
        <f t="shared" ca="1" si="462"/>
        <v>412742.82418362913</v>
      </c>
      <c r="DS204" s="35">
        <f t="shared" ca="1" si="462"/>
        <v>416385.47362253029</v>
      </c>
      <c r="DT204" s="35">
        <f t="shared" ca="1" si="462"/>
        <v>421223.99142656813</v>
      </c>
      <c r="DU204" s="35">
        <f t="shared" ca="1" si="462"/>
        <v>426054.54673748079</v>
      </c>
      <c r="DV204" s="35">
        <f t="shared" ca="1" si="462"/>
        <v>430877.01017193816</v>
      </c>
      <c r="DW204" s="35">
        <f t="shared" ca="1" si="462"/>
        <v>435691.25005994923</v>
      </c>
      <c r="DX204" s="35">
        <f t="shared" ca="1" si="462"/>
        <v>440497.13238612877</v>
      </c>
      <c r="DY204" s="35">
        <f t="shared" ca="1" si="462"/>
        <v>445294.52073008451</v>
      </c>
    </row>
    <row r="205" spans="1:129" outlineLevel="1">
      <c r="C205" s="5" t="s">
        <v>5</v>
      </c>
      <c r="D205" s="5" t="s">
        <v>89</v>
      </c>
      <c r="F205" s="5" t="s">
        <v>173</v>
      </c>
      <c r="J205" s="35">
        <f ca="1">-_TotalCOGSCash-_Depreciation</f>
        <v>592382.86847168801</v>
      </c>
      <c r="K205" s="35">
        <f t="shared" ref="K205:AO205" ca="1" si="463">-_TotalCOGSCash-_Depreciation</f>
        <v>613884.15497165907</v>
      </c>
      <c r="L205" s="35">
        <f t="shared" ca="1" si="463"/>
        <v>636242.33034570434</v>
      </c>
      <c r="M205" s="35">
        <f t="shared" ca="1" si="463"/>
        <v>659470.66435714869</v>
      </c>
      <c r="N205" s="35">
        <f t="shared" ca="1" si="463"/>
        <v>683582.72416777012</v>
      </c>
      <c r="O205" s="35">
        <f t="shared" ca="1" si="463"/>
        <v>708592.3800770198</v>
      </c>
      <c r="P205" s="35">
        <f t="shared" ca="1" si="463"/>
        <v>734513.81137625896</v>
      </c>
      <c r="Q205" s="35">
        <f t="shared" ca="1" si="463"/>
        <v>761361.51232034154</v>
      </c>
      <c r="R205" s="35">
        <f t="shared" ca="1" si="463"/>
        <v>789150.29821891955</v>
      </c>
      <c r="S205" s="35">
        <f t="shared" ca="1" si="463"/>
        <v>817895.31164988654</v>
      </c>
      <c r="T205" s="35">
        <f t="shared" ca="1" si="463"/>
        <v>847612.02879743814</v>
      </c>
      <c r="U205" s="35">
        <f t="shared" ca="1" si="463"/>
        <v>878316.26591725554</v>
      </c>
      <c r="V205" s="35">
        <f t="shared" ca="1" si="463"/>
        <v>897403.50029324461</v>
      </c>
      <c r="W205" s="35">
        <f t="shared" ca="1" si="463"/>
        <v>922429.93083759036</v>
      </c>
      <c r="X205" s="35">
        <f t="shared" ca="1" si="463"/>
        <v>948000.86744707962</v>
      </c>
      <c r="Y205" s="35">
        <f t="shared" ca="1" si="463"/>
        <v>974127.08791381482</v>
      </c>
      <c r="Z205" s="35">
        <f t="shared" ca="1" si="463"/>
        <v>1000819.5812516109</v>
      </c>
      <c r="AA205" s="35">
        <f t="shared" ca="1" si="463"/>
        <v>1028089.5520547256</v>
      </c>
      <c r="AB205" s="35">
        <f t="shared" ca="1" si="463"/>
        <v>1055948.4249409114</v>
      </c>
      <c r="AC205" s="35">
        <f t="shared" ca="1" si="463"/>
        <v>1084407.8490805146</v>
      </c>
      <c r="AD205" s="35">
        <f t="shared" ca="1" si="463"/>
        <v>1113479.7028134151</v>
      </c>
      <c r="AE205" s="35">
        <f t="shared" ca="1" si="463"/>
        <v>1143176.0983555948</v>
      </c>
      <c r="AF205" s="35">
        <f t="shared" ca="1" si="463"/>
        <v>1173509.3865971938</v>
      </c>
      <c r="AG205" s="35">
        <f t="shared" ca="1" si="463"/>
        <v>1204492.1619939264</v>
      </c>
      <c r="AH205" s="35">
        <f t="shared" ca="1" si="463"/>
        <v>1222856.8270546247</v>
      </c>
      <c r="AI205" s="35">
        <f t="shared" ca="1" si="463"/>
        <v>1249470.9913937589</v>
      </c>
      <c r="AJ205" s="35">
        <f t="shared" ca="1" si="463"/>
        <v>1276616.7584405164</v>
      </c>
      <c r="AK205" s="35">
        <f t="shared" ca="1" si="463"/>
        <v>1304305.0346929517</v>
      </c>
      <c r="AL205" s="35">
        <f t="shared" ca="1" si="463"/>
        <v>1332546.9375740041</v>
      </c>
      <c r="AM205" s="35">
        <f t="shared" ca="1" si="463"/>
        <v>1361353.7997963924</v>
      </c>
      <c r="AN205" s="35">
        <f t="shared" ca="1" si="463"/>
        <v>1388514.0933881537</v>
      </c>
      <c r="AO205" s="35">
        <f t="shared" ca="1" si="463"/>
        <v>1416038.6454172495</v>
      </c>
      <c r="AP205" s="35">
        <f t="shared" ref="AP205:BU205" ca="1" si="464">-_TotalCOGSCash-_Depreciation</f>
        <v>1444093.8332842225</v>
      </c>
      <c r="AQ205" s="35">
        <f t="shared" ca="1" si="464"/>
        <v>1472690.7102228398</v>
      </c>
      <c r="AR205" s="35">
        <f t="shared" ca="1" si="464"/>
        <v>1501840.5420936258</v>
      </c>
      <c r="AS205" s="35">
        <f t="shared" ca="1" si="464"/>
        <v>1531554.8117879853</v>
      </c>
      <c r="AT205" s="35">
        <f t="shared" ca="1" si="464"/>
        <v>1551219.7609176054</v>
      </c>
      <c r="AU205" s="35">
        <f t="shared" ca="1" si="464"/>
        <v>1581830.4899251282</v>
      </c>
      <c r="AV205" s="35">
        <f t="shared" ca="1" si="464"/>
        <v>1613033.3575852723</v>
      </c>
      <c r="AW205" s="35">
        <f t="shared" ca="1" si="464"/>
        <v>1644840.626184911</v>
      </c>
      <c r="AX205" s="35">
        <f t="shared" ca="1" si="464"/>
        <v>1677264.7954156094</v>
      </c>
      <c r="AY205" s="35">
        <f t="shared" ca="1" si="464"/>
        <v>1710318.6072608901</v>
      </c>
      <c r="AZ205" s="35">
        <f t="shared" ca="1" si="464"/>
        <v>1744015.0509788475</v>
      </c>
      <c r="BA205" s="35">
        <f t="shared" ca="1" si="464"/>
        <v>1778367.3681820445</v>
      </c>
      <c r="BB205" s="35">
        <f t="shared" ca="1" si="464"/>
        <v>1813389.0580166846</v>
      </c>
      <c r="BC205" s="35">
        <f t="shared" ca="1" si="464"/>
        <v>1849093.8824430893</v>
      </c>
      <c r="BD205" s="35">
        <f t="shared" ca="1" si="464"/>
        <v>1885495.8716195326</v>
      </c>
      <c r="BE205" s="35">
        <f t="shared" ca="1" si="464"/>
        <v>1922609.3293915489</v>
      </c>
      <c r="BF205" s="35">
        <f t="shared" ca="1" si="464"/>
        <v>1960094.0497086856</v>
      </c>
      <c r="BG205" s="35">
        <f t="shared" ca="1" si="464"/>
        <v>1998294.4933020098</v>
      </c>
      <c r="BH205" s="35">
        <f t="shared" ca="1" si="464"/>
        <v>2037242.1918620998</v>
      </c>
      <c r="BI205" s="35">
        <f t="shared" ca="1" si="464"/>
        <v>2076952.4368268095</v>
      </c>
      <c r="BJ205" s="35">
        <f t="shared" ca="1" si="464"/>
        <v>2117440.8190193758</v>
      </c>
      <c r="BK205" s="35">
        <f t="shared" ca="1" si="464"/>
        <v>2158723.2347502219</v>
      </c>
      <c r="BL205" s="35">
        <f t="shared" ca="1" si="464"/>
        <v>2200815.8920388371</v>
      </c>
      <c r="BM205" s="35">
        <f t="shared" ca="1" si="464"/>
        <v>2243735.316958148</v>
      </c>
      <c r="BN205" s="35">
        <f t="shared" ca="1" si="464"/>
        <v>2287498.3601038894</v>
      </c>
      <c r="BO205" s="35">
        <f t="shared" ca="1" si="464"/>
        <v>2332122.2031914787</v>
      </c>
      <c r="BP205" s="35">
        <f t="shared" ca="1" si="464"/>
        <v>2377624.3657829957</v>
      </c>
      <c r="BQ205" s="35">
        <f t="shared" ca="1" si="464"/>
        <v>2424022.7121468978</v>
      </c>
      <c r="BR205" s="35">
        <f t="shared" ca="1" si="464"/>
        <v>2467338.202772398</v>
      </c>
      <c r="BS205" s="35">
        <f t="shared" ca="1" si="464"/>
        <v>2508192.2451291322</v>
      </c>
      <c r="BT205" s="35">
        <f t="shared" ca="1" si="464"/>
        <v>2546578.7271804721</v>
      </c>
      <c r="BU205" s="35">
        <f t="shared" ca="1" si="464"/>
        <v>2582481.2902739421</v>
      </c>
      <c r="BV205" s="35">
        <f t="shared" ref="BV205:DY205" ca="1" si="465">-_TotalCOGSCash-_Depreciation</f>
        <v>2615882.9162227744</v>
      </c>
      <c r="BW205" s="35">
        <f t="shared" ca="1" si="465"/>
        <v>2646765.9174794401</v>
      </c>
      <c r="BX205" s="35">
        <f t="shared" ca="1" si="465"/>
        <v>2675111.9270783132</v>
      </c>
      <c r="BY205" s="35">
        <f t="shared" ca="1" si="465"/>
        <v>2700901.888343242</v>
      </c>
      <c r="BZ205" s="35">
        <f t="shared" ca="1" si="465"/>
        <v>2724116.0443556411</v>
      </c>
      <c r="CA205" s="35">
        <f t="shared" ca="1" si="465"/>
        <v>2744733.9271786967</v>
      </c>
      <c r="CB205" s="35">
        <f t="shared" ca="1" si="465"/>
        <v>2762734.346833114</v>
      </c>
      <c r="CC205" s="35">
        <f t="shared" ca="1" si="465"/>
        <v>2778095.3800198156</v>
      </c>
      <c r="CD205" s="35">
        <f t="shared" ca="1" si="465"/>
        <v>2792479.708575998</v>
      </c>
      <c r="CE205" s="35">
        <f t="shared" ca="1" si="465"/>
        <v>2805947.7373488462</v>
      </c>
      <c r="CF205" s="35">
        <f t="shared" ca="1" si="465"/>
        <v>2818494.6058549173</v>
      </c>
      <c r="CG205" s="35">
        <f t="shared" ca="1" si="465"/>
        <v>2830113.9155468387</v>
      </c>
      <c r="CH205" s="35">
        <f t="shared" ca="1" si="465"/>
        <v>2840799.0176688894</v>
      </c>
      <c r="CI205" s="35">
        <f t="shared" ca="1" si="465"/>
        <v>2850543.0095083797</v>
      </c>
      <c r="CJ205" s="35">
        <f t="shared" ca="1" si="465"/>
        <v>2859338.7305589635</v>
      </c>
      <c r="CK205" s="35">
        <f t="shared" ca="1" si="465"/>
        <v>2867178.7585942405</v>
      </c>
      <c r="CL205" s="35">
        <f t="shared" ca="1" si="465"/>
        <v>2874055.4056500024</v>
      </c>
      <c r="CM205" s="35">
        <f t="shared" ca="1" si="465"/>
        <v>2879960.7139134319</v>
      </c>
      <c r="CN205" s="35">
        <f t="shared" ca="1" si="465"/>
        <v>2884886.451517534</v>
      </c>
      <c r="CO205" s="35">
        <f t="shared" ca="1" si="465"/>
        <v>2888824.1082390249</v>
      </c>
      <c r="CP205" s="35">
        <f t="shared" ca="1" si="465"/>
        <v>2892385.8010492264</v>
      </c>
      <c r="CQ205" s="35">
        <f t="shared" ca="1" si="465"/>
        <v>2895594.8218013849</v>
      </c>
      <c r="CR205" s="35">
        <f t="shared" ca="1" si="465"/>
        <v>2898448.4554751338</v>
      </c>
      <c r="CS205" s="35">
        <f t="shared" ca="1" si="465"/>
        <v>2900943.8876361628</v>
      </c>
      <c r="CT205" s="35">
        <f t="shared" ca="1" si="465"/>
        <v>2903078.2030012002</v>
      </c>
      <c r="CU205" s="35">
        <f t="shared" ca="1" si="465"/>
        <v>2904848.3838937506</v>
      </c>
      <c r="CV205" s="35">
        <f t="shared" ca="1" si="465"/>
        <v>2906516.4212947632</v>
      </c>
      <c r="CW205" s="35">
        <f t="shared" ca="1" si="465"/>
        <v>2908109.5812105499</v>
      </c>
      <c r="CX205" s="35">
        <f t="shared" ca="1" si="465"/>
        <v>2909628.2543585193</v>
      </c>
      <c r="CY205" s="35">
        <f t="shared" ca="1" si="465"/>
        <v>2911072.1027699416</v>
      </c>
      <c r="CZ205" s="35">
        <f t="shared" ca="1" si="465"/>
        <v>2912440.7687279298</v>
      </c>
      <c r="DA205" s="35">
        <f t="shared" ca="1" si="465"/>
        <v>2913733.8745268839</v>
      </c>
      <c r="DB205" s="35">
        <f t="shared" ca="1" si="465"/>
        <v>2914962.3188926</v>
      </c>
      <c r="DC205" s="35">
        <f t="shared" ca="1" si="465"/>
        <v>2916128.1492297868</v>
      </c>
      <c r="DD205" s="35">
        <f t="shared" ca="1" si="465"/>
        <v>2917231.1686462294</v>
      </c>
      <c r="DE205" s="35">
        <f t="shared" ca="1" si="465"/>
        <v>2918271.0619987631</v>
      </c>
      <c r="DF205" s="35">
        <f t="shared" ca="1" si="465"/>
        <v>2919247.4971006089</v>
      </c>
      <c r="DG205" s="35">
        <f t="shared" ca="1" si="465"/>
        <v>2920160.124510075</v>
      </c>
      <c r="DH205" s="35">
        <f t="shared" ca="1" si="465"/>
        <v>2921008.5773133668</v>
      </c>
      <c r="DI205" s="35">
        <f t="shared" ca="1" si="465"/>
        <v>2921792.4709014096</v>
      </c>
      <c r="DJ205" s="35">
        <f t="shared" ca="1" si="465"/>
        <v>2922511.4027405926</v>
      </c>
      <c r="DK205" s="35">
        <f t="shared" ca="1" si="465"/>
        <v>2923164.9521373268</v>
      </c>
      <c r="DL205" s="35">
        <f t="shared" ca="1" si="465"/>
        <v>2923752.6799963177</v>
      </c>
      <c r="DM205" s="35">
        <f t="shared" ca="1" si="465"/>
        <v>2924274.12857245</v>
      </c>
      <c r="DN205" s="35">
        <f t="shared" ca="1" si="465"/>
        <v>2924766.869073194</v>
      </c>
      <c r="DO205" s="35">
        <f t="shared" ca="1" si="465"/>
        <v>2925232.5838549859</v>
      </c>
      <c r="DP205" s="35">
        <f t="shared" ca="1" si="465"/>
        <v>2925671.1675394941</v>
      </c>
      <c r="DQ205" s="35">
        <f t="shared" ca="1" si="465"/>
        <v>2926082.5071833744</v>
      </c>
      <c r="DR205" s="35">
        <f t="shared" ca="1" si="465"/>
        <v>2926466.4822005494</v>
      </c>
      <c r="DS205" s="35">
        <f t="shared" ca="1" si="465"/>
        <v>2926822.964281315</v>
      </c>
      <c r="DT205" s="35">
        <f t="shared" ca="1" si="465"/>
        <v>2927151.8173088003</v>
      </c>
      <c r="DU205" s="35">
        <f t="shared" ca="1" si="465"/>
        <v>2927452.8972727535</v>
      </c>
      <c r="DV205" s="35">
        <f t="shared" ca="1" si="465"/>
        <v>2927726.0521806111</v>
      </c>
      <c r="DW205" s="35">
        <f t="shared" ca="1" si="465"/>
        <v>2927971.121965813</v>
      </c>
      <c r="DX205" s="35">
        <f t="shared" ca="1" si="465"/>
        <v>2928187.9383933274</v>
      </c>
      <c r="DY205" s="35">
        <f t="shared" ca="1" si="465"/>
        <v>2928376.3249623179</v>
      </c>
    </row>
    <row r="206" spans="1:129" s="9" customFormat="1" outlineLevel="1">
      <c r="C206" s="9" t="s">
        <v>6</v>
      </c>
      <c r="D206" s="9" t="s">
        <v>457</v>
      </c>
      <c r="F206" s="9" t="s">
        <v>161</v>
      </c>
      <c r="G206" s="265" t="s">
        <v>447</v>
      </c>
      <c r="H206" s="113"/>
      <c r="I206" s="113"/>
      <c r="J206" s="113">
        <f t="shared" ref="J206:AO206" ca="1" si="466">IF(M$4="",I206,-(SUM(M40:M41)*_CapCostP1+SUM(M52:M53)*_CapCostP2+SUM(M76:M77)*_CapCostP4+SUM(M64:M65)*_CapCostP3+SUM(M88:M89)*_CapCostP5)*_currencyeffect)</f>
        <v>-948458.76842104108</v>
      </c>
      <c r="K206" s="113">
        <f t="shared" ca="1" si="466"/>
        <v>-966533.4912367611</v>
      </c>
      <c r="L206" s="113">
        <f t="shared" ca="1" si="466"/>
        <v>-984969.70850879548</v>
      </c>
      <c r="M206" s="113">
        <f t="shared" ca="1" si="466"/>
        <v>-1003774.6501262706</v>
      </c>
      <c r="N206" s="113">
        <f t="shared" ca="1" si="466"/>
        <v>-1022955.6905760951</v>
      </c>
      <c r="O206" s="113">
        <f t="shared" ca="1" si="466"/>
        <v>-1042520.3518349163</v>
      </c>
      <c r="P206" s="113">
        <f t="shared" ca="1" si="466"/>
        <v>-1062476.3063189138</v>
      </c>
      <c r="Q206" s="113">
        <f t="shared" ca="1" si="466"/>
        <v>-1082831.3798925914</v>
      </c>
      <c r="R206" s="113">
        <f t="shared" ca="1" si="466"/>
        <v>-1103593.5549377424</v>
      </c>
      <c r="S206" s="113">
        <f t="shared" ca="1" si="466"/>
        <v>-1133838.5062047769</v>
      </c>
      <c r="T206" s="113">
        <f t="shared" ca="1" si="466"/>
        <v>-1156149.4727223059</v>
      </c>
      <c r="U206" s="113">
        <f t="shared" ca="1" si="466"/>
        <v>-1178906.6585701855</v>
      </c>
      <c r="V206" s="113">
        <f t="shared" ca="1" si="466"/>
        <v>-1202118.9881350228</v>
      </c>
      <c r="W206" s="113">
        <f t="shared" ca="1" si="466"/>
        <v>-1225795.5642911568</v>
      </c>
      <c r="X206" s="113">
        <f t="shared" ca="1" si="466"/>
        <v>-1249945.6719704135</v>
      </c>
      <c r="Y206" s="113">
        <f t="shared" ca="1" si="466"/>
        <v>-1274578.7818032547</v>
      </c>
      <c r="Z206" s="113">
        <f t="shared" ca="1" si="466"/>
        <v>-1299704.5538327538</v>
      </c>
      <c r="AA206" s="113">
        <f t="shared" ca="1" si="466"/>
        <v>-1325332.8413028421</v>
      </c>
      <c r="AB206" s="113">
        <f t="shared" ca="1" si="466"/>
        <v>-1351473.6945223324</v>
      </c>
      <c r="AC206" s="113">
        <f t="shared" ca="1" si="466"/>
        <v>-1378137.364806212</v>
      </c>
      <c r="AD206" s="113">
        <f t="shared" ca="1" si="466"/>
        <v>-1405334.30849577</v>
      </c>
      <c r="AE206" s="113">
        <f t="shared" ca="1" si="466"/>
        <v>-1445760.0606747547</v>
      </c>
      <c r="AF206" s="113">
        <f t="shared" ca="1" si="466"/>
        <v>-1474507.5695040394</v>
      </c>
      <c r="AG206" s="113">
        <f t="shared" ca="1" si="466"/>
        <v>-1503830.0285099093</v>
      </c>
      <c r="AH206" s="113">
        <f t="shared" ca="1" si="466"/>
        <v>-1533738.936695897</v>
      </c>
      <c r="AI206" s="113">
        <f t="shared" ca="1" si="466"/>
        <v>-1564246.0230456046</v>
      </c>
      <c r="AJ206" s="113">
        <f t="shared" ca="1" si="466"/>
        <v>-1595363.2511223061</v>
      </c>
      <c r="AK206" s="113">
        <f t="shared" ca="1" si="466"/>
        <v>-1634513.0918403706</v>
      </c>
      <c r="AL206" s="113">
        <f t="shared" ca="1" si="466"/>
        <v>-1667174.7862539603</v>
      </c>
      <c r="AM206" s="113">
        <f t="shared" ca="1" si="466"/>
        <v>-1700489.7145558218</v>
      </c>
      <c r="AN206" s="113">
        <f t="shared" ca="1" si="466"/>
        <v>-1734470.9414237209</v>
      </c>
      <c r="AO206" s="113">
        <f t="shared" ca="1" si="466"/>
        <v>-1769131.7928289778</v>
      </c>
      <c r="AP206" s="113">
        <f t="shared" ref="AP206:BU206" ca="1" si="467">IF(AS$4="",AO206,-(SUM(AS40:AS41)*_CapCostP1+SUM(AS52:AS53)*_CapCostP2+SUM(AS76:AS77)*_CapCostP4+SUM(AS64:AS65)*_CapCostP3+SUM(AS88:AS89)*_CapCostP5)*_currencyeffect)</f>
        <v>-1804485.8612623394</v>
      </c>
      <c r="AQ206" s="113">
        <f t="shared" ca="1" si="467"/>
        <v>-1840618.2526868682</v>
      </c>
      <c r="AR206" s="113">
        <f t="shared" ca="1" si="467"/>
        <v>-1877406.2037965993</v>
      </c>
      <c r="AS206" s="113">
        <f t="shared" ca="1" si="467"/>
        <v>-1914929.9139285253</v>
      </c>
      <c r="AT206" s="113">
        <f t="shared" ca="1" si="467"/>
        <v>-1953204.0982630895</v>
      </c>
      <c r="AU206" s="113">
        <f t="shared" ca="1" si="467"/>
        <v>-1992243.7662843452</v>
      </c>
      <c r="AV206" s="113">
        <f t="shared" ca="1" si="467"/>
        <v>-2032064.2276660257</v>
      </c>
      <c r="AW206" s="113">
        <f t="shared" ca="1" si="467"/>
        <v>-2072681.0982753402</v>
      </c>
      <c r="AX206" s="113">
        <f t="shared" ca="1" si="467"/>
        <v>-2114110.3062968403</v>
      </c>
      <c r="AY206" s="113">
        <f t="shared" ca="1" si="467"/>
        <v>-2156368.0984787713</v>
      </c>
      <c r="AZ206" s="113">
        <f t="shared" ca="1" si="467"/>
        <v>-2199471.0465043411</v>
      </c>
      <c r="BA206" s="113">
        <f t="shared" ca="1" si="467"/>
        <v>-2243436.0534904217</v>
      </c>
      <c r="BB206" s="113">
        <f t="shared" ca="1" si="467"/>
        <v>-2288280.3606162239</v>
      </c>
      <c r="BC206" s="113">
        <f t="shared" ca="1" si="467"/>
        <v>-2334961.3436153634</v>
      </c>
      <c r="BD206" s="113">
        <f t="shared" ca="1" si="467"/>
        <v>-2381648.4082863256</v>
      </c>
      <c r="BE206" s="113">
        <f t="shared" ca="1" si="467"/>
        <v>-2429269.2142507071</v>
      </c>
      <c r="BF206" s="113">
        <f t="shared" ca="1" si="467"/>
        <v>-2477842.4363343758</v>
      </c>
      <c r="BG206" s="113">
        <f t="shared" ca="1" si="467"/>
        <v>-2527387.1228597192</v>
      </c>
      <c r="BH206" s="113">
        <f t="shared" ca="1" si="467"/>
        <v>-2577922.7031155685</v>
      </c>
      <c r="BI206" s="113">
        <f t="shared" ca="1" si="467"/>
        <v>-2629468.9949765354</v>
      </c>
      <c r="BJ206" s="113">
        <f t="shared" ca="1" si="467"/>
        <v>-2682046.2126747211</v>
      </c>
      <c r="BK206" s="113">
        <f t="shared" ca="1" si="467"/>
        <v>-2735674.9747268702</v>
      </c>
      <c r="BL206" s="113">
        <f t="shared" ca="1" si="467"/>
        <v>-2790376.3120200629</v>
      </c>
      <c r="BM206" s="113">
        <f t="shared" ca="1" si="467"/>
        <v>-2846171.6760591194</v>
      </c>
      <c r="BN206" s="113">
        <f t="shared" ca="1" si="467"/>
        <v>-2903082.9473789567</v>
      </c>
      <c r="BO206" s="113">
        <f t="shared" ca="1" si="467"/>
        <v>-2906893.6692997785</v>
      </c>
      <c r="BP206" s="113">
        <f t="shared" ca="1" si="467"/>
        <v>-2910242.2318341439</v>
      </c>
      <c r="BQ206" s="113">
        <f t="shared" ca="1" si="467"/>
        <v>-2913657.7656191969</v>
      </c>
      <c r="BR206" s="113">
        <f t="shared" ca="1" si="467"/>
        <v>-2917141.6100799507</v>
      </c>
      <c r="BS206" s="113">
        <f t="shared" ca="1" si="467"/>
        <v>-2920695.1314299195</v>
      </c>
      <c r="BT206" s="113">
        <f t="shared" ca="1" si="467"/>
        <v>-2924319.723206888</v>
      </c>
      <c r="BU206" s="113">
        <f t="shared" ca="1" si="467"/>
        <v>-2928016.8068193961</v>
      </c>
      <c r="BV206" s="113">
        <f t="shared" ref="BV206:DA206" ca="1" si="468">IF(BY$4="",BU206,-(SUM(BY40:BY41)*_CapCostP1+SUM(BY52:BY53)*_CapCostP2+SUM(BY76:BY77)*_CapCostP4+SUM(BY64:BY65)*_CapCostP3+SUM(BY88:BY89)*_CapCostP5)*_currencyeffect)</f>
        <v>-2931787.8321041539</v>
      </c>
      <c r="BW206" s="113">
        <f t="shared" ca="1" si="468"/>
        <v>-2935634.2778946063</v>
      </c>
      <c r="BX206" s="113">
        <f t="shared" ca="1" si="468"/>
        <v>-2939557.6526008681</v>
      </c>
      <c r="BY206" s="113">
        <f t="shared" ca="1" si="468"/>
        <v>-2943559.4948012559</v>
      </c>
      <c r="BZ206" s="113">
        <f t="shared" ca="1" si="468"/>
        <v>-2947641.3738456508</v>
      </c>
      <c r="CA206" s="113">
        <f t="shared" ca="1" si="468"/>
        <v>-2949594.4276937586</v>
      </c>
      <c r="CB206" s="113">
        <f t="shared" ca="1" si="468"/>
        <v>-2951514.088476249</v>
      </c>
      <c r="CC206" s="113">
        <f t="shared" ca="1" si="468"/>
        <v>-2953472.1424743896</v>
      </c>
      <c r="CD206" s="113">
        <f t="shared" ca="1" si="468"/>
        <v>-2955469.3575524935</v>
      </c>
      <c r="CE206" s="113">
        <f t="shared" ca="1" si="468"/>
        <v>-2957506.5169321592</v>
      </c>
      <c r="CF206" s="113">
        <f t="shared" ca="1" si="468"/>
        <v>-2959584.4194994187</v>
      </c>
      <c r="CG206" s="113">
        <f t="shared" ca="1" si="468"/>
        <v>-2961703.8801180227</v>
      </c>
      <c r="CH206" s="113">
        <f t="shared" ca="1" si="468"/>
        <v>-2963865.7299489984</v>
      </c>
      <c r="CI206" s="113">
        <f t="shared" ca="1" si="468"/>
        <v>-2966070.8167765946</v>
      </c>
      <c r="CJ206" s="113">
        <f t="shared" ca="1" si="468"/>
        <v>-2968320.0053407419</v>
      </c>
      <c r="CK206" s="113">
        <f t="shared" ca="1" si="468"/>
        <v>-2970614.1776761725</v>
      </c>
      <c r="CL206" s="113">
        <f t="shared" ca="1" si="468"/>
        <v>-2972954.2334583118</v>
      </c>
      <c r="CM206" s="113">
        <f t="shared" ca="1" si="468"/>
        <v>-2973887.7634055563</v>
      </c>
      <c r="CN206" s="113">
        <f t="shared" ca="1" si="468"/>
        <v>-2974839.9598104609</v>
      </c>
      <c r="CO206" s="113">
        <f t="shared" ca="1" si="468"/>
        <v>-2975811.200143463</v>
      </c>
      <c r="CP206" s="113">
        <f t="shared" ca="1" si="468"/>
        <v>-2976801.8652831255</v>
      </c>
      <c r="CQ206" s="113">
        <f t="shared" ca="1" si="468"/>
        <v>-2977812.3437255817</v>
      </c>
      <c r="CR206" s="113">
        <f t="shared" ca="1" si="468"/>
        <v>-2978843.0317368861</v>
      </c>
      <c r="CS206" s="113">
        <f t="shared" ca="1" si="468"/>
        <v>-2979010.6247384669</v>
      </c>
      <c r="CT206" s="113">
        <f t="shared" ca="1" si="468"/>
        <v>-2979141.785057527</v>
      </c>
      <c r="CU206" s="113">
        <f t="shared" ca="1" si="468"/>
        <v>-2979275.5685829683</v>
      </c>
      <c r="CV206" s="113">
        <f t="shared" ca="1" si="468"/>
        <v>-2979412.0277789184</v>
      </c>
      <c r="CW206" s="113">
        <f t="shared" ca="1" si="468"/>
        <v>-2979551.2161587877</v>
      </c>
      <c r="CX206" s="113">
        <f t="shared" ca="1" si="468"/>
        <v>-2979693.1883062543</v>
      </c>
      <c r="CY206" s="113">
        <f t="shared" ca="1" si="468"/>
        <v>-2979825.8187979432</v>
      </c>
      <c r="CZ206" s="113">
        <f t="shared" ca="1" si="468"/>
        <v>-2979955.4126395574</v>
      </c>
      <c r="DA206" s="113">
        <f t="shared" ca="1" si="468"/>
        <v>-2980087.5983580044</v>
      </c>
      <c r="DB206" s="113">
        <f t="shared" ref="DB206:DY206" ca="1" si="469">IF(DE$4="",DA206,-(SUM(DE40:DE41)*_CapCostP1+SUM(DE52:DE53)*_CapCostP2+SUM(DE76:DE77)*_CapCostP4+SUM(DE64:DE65)*_CapCostP3+SUM(DE88:DE89)*_CapCostP5)*_currencyeffect)</f>
        <v>-2980222.4277908201</v>
      </c>
      <c r="DC206" s="113">
        <f t="shared" ca="1" si="469"/>
        <v>-2980359.9538122923</v>
      </c>
      <c r="DD206" s="113">
        <f t="shared" ca="1" si="469"/>
        <v>-2980500.2303541936</v>
      </c>
      <c r="DE206" s="113">
        <f t="shared" ca="1" si="469"/>
        <v>-2980643.3124269336</v>
      </c>
      <c r="DF206" s="113">
        <f t="shared" ca="1" si="469"/>
        <v>-2980789.256141128</v>
      </c>
      <c r="DG206" s="113">
        <f t="shared" ca="1" si="469"/>
        <v>-2980938.1187296058</v>
      </c>
      <c r="DH206" s="113">
        <f t="shared" ca="1" si="469"/>
        <v>-2981089.9585698536</v>
      </c>
      <c r="DI206" s="113">
        <f t="shared" ca="1" si="469"/>
        <v>-2981244.8352069068</v>
      </c>
      <c r="DJ206" s="113">
        <f t="shared" ca="1" si="469"/>
        <v>-2981402.8093767008</v>
      </c>
      <c r="DK206" s="113">
        <f t="shared" ca="1" si="469"/>
        <v>-2981464.0725490386</v>
      </c>
      <c r="DL206" s="113">
        <f t="shared" ca="1" si="469"/>
        <v>-2981526.5609522867</v>
      </c>
      <c r="DM206" s="113">
        <f t="shared" ca="1" si="469"/>
        <v>-2981590.2991235997</v>
      </c>
      <c r="DN206" s="113">
        <f t="shared" ca="1" si="469"/>
        <v>-2981655.3120583394</v>
      </c>
      <c r="DO206" s="113">
        <f t="shared" ca="1" si="469"/>
        <v>-2981721.6252517728</v>
      </c>
      <c r="DP206" s="113">
        <f t="shared" ca="1" si="469"/>
        <v>-2981789.2647090754</v>
      </c>
      <c r="DQ206" s="113">
        <f t="shared" ca="1" si="469"/>
        <v>-2981858.2569555249</v>
      </c>
      <c r="DR206" s="113">
        <f t="shared" ca="1" si="469"/>
        <v>-2981928.6290469021</v>
      </c>
      <c r="DS206" s="113">
        <f t="shared" ca="1" si="469"/>
        <v>-2982000.4085801076</v>
      </c>
      <c r="DT206" s="113">
        <f t="shared" ca="1" si="469"/>
        <v>-2982073.6237039771</v>
      </c>
      <c r="DU206" s="113">
        <f t="shared" ca="1" si="469"/>
        <v>-2982148.303130324</v>
      </c>
      <c r="DV206" s="113">
        <f t="shared" ca="1" si="469"/>
        <v>-2982224.4761451976</v>
      </c>
      <c r="DW206" s="113">
        <f t="shared" ca="1" si="469"/>
        <v>-2982224.4761451976</v>
      </c>
      <c r="DX206" s="113">
        <f t="shared" ca="1" si="469"/>
        <v>-2982224.4761451976</v>
      </c>
      <c r="DY206" s="113">
        <f t="shared" ca="1" si="469"/>
        <v>-2982224.4761451976</v>
      </c>
    </row>
    <row r="207" spans="1:129" outlineLevel="1">
      <c r="A207" s="6"/>
      <c r="C207" s="68" t="s">
        <v>117</v>
      </c>
      <c r="D207" s="56"/>
      <c r="E207" s="56"/>
      <c r="F207" s="56" t="s">
        <v>160</v>
      </c>
      <c r="G207" s="56"/>
      <c r="H207" s="56"/>
      <c r="I207" s="56"/>
      <c r="J207" s="64">
        <f t="shared" ref="J207:AO207" ca="1" si="470">SUM(J204:J206)</f>
        <v>2407626.9242198225</v>
      </c>
      <c r="K207" s="64">
        <f t="shared" ca="1" si="470"/>
        <v>-608619.74061107694</v>
      </c>
      <c r="L207" s="64">
        <f t="shared" ca="1" si="470"/>
        <v>-597885.08162920002</v>
      </c>
      <c r="M207" s="64">
        <f t="shared" ca="1" si="470"/>
        <v>-586294.11175226676</v>
      </c>
      <c r="N207" s="64">
        <f t="shared" ca="1" si="470"/>
        <v>-573836.12093952997</v>
      </c>
      <c r="O207" s="64">
        <f t="shared" ca="1" si="470"/>
        <v>-560500.1207876564</v>
      </c>
      <c r="P207" s="64">
        <f t="shared" ca="1" si="470"/>
        <v>-546274.83960509161</v>
      </c>
      <c r="Q207" s="64">
        <f t="shared" ca="1" si="470"/>
        <v>-531148.71738149924</v>
      </c>
      <c r="R207" s="64">
        <f t="shared" ca="1" si="470"/>
        <v>-515109.90065023187</v>
      </c>
      <c r="S207" s="64">
        <f t="shared" ca="1" si="470"/>
        <v>-507213.76996274805</v>
      </c>
      <c r="T207" s="64">
        <f t="shared" ca="1" si="470"/>
        <v>-490022.80324752338</v>
      </c>
      <c r="U207" s="64">
        <f t="shared" ca="1" si="470"/>
        <v>-471895.96785524068</v>
      </c>
      <c r="V207" s="64">
        <f t="shared" ca="1" si="470"/>
        <v>-447635.65095197863</v>
      </c>
      <c r="W207" s="64">
        <f t="shared" ca="1" si="470"/>
        <v>-432208.87030527648</v>
      </c>
      <c r="X207" s="64">
        <f t="shared" ca="1" si="470"/>
        <v>-416421.42290656047</v>
      </c>
      <c r="Y207" s="64">
        <f t="shared" ca="1" si="470"/>
        <v>-400267.48478773551</v>
      </c>
      <c r="Z207" s="64">
        <f t="shared" ca="1" si="470"/>
        <v>-383741.10160767962</v>
      </c>
      <c r="AA207" s="64">
        <f t="shared" ca="1" si="470"/>
        <v>-366836.18618370837</v>
      </c>
      <c r="AB207" s="64">
        <f t="shared" ca="1" si="470"/>
        <v>1446288.6080269134</v>
      </c>
      <c r="AC207" s="64">
        <f t="shared" ca="1" si="470"/>
        <v>-342823.23531807936</v>
      </c>
      <c r="AD207" s="64">
        <f t="shared" ca="1" si="470"/>
        <v>-331674.73126120865</v>
      </c>
      <c r="AE207" s="64">
        <f t="shared" ca="1" si="470"/>
        <v>-332946.37073200615</v>
      </c>
      <c r="AF207" s="64">
        <f t="shared" ca="1" si="470"/>
        <v>-321715.75054499065</v>
      </c>
      <c r="AG207" s="64">
        <f t="shared" ca="1" si="470"/>
        <v>-310220.39957431285</v>
      </c>
      <c r="AH207" s="64">
        <f t="shared" ca="1" si="470"/>
        <v>-960751.86918252939</v>
      </c>
      <c r="AI207" s="64">
        <f t="shared" ca="1" si="470"/>
        <v>-449053.60923586413</v>
      </c>
      <c r="AJ207" s="64">
        <f t="shared" ca="1" si="470"/>
        <v>-437143.20179261197</v>
      </c>
      <c r="AK207" s="64">
        <f t="shared" ca="1" si="470"/>
        <v>-432427.32186120143</v>
      </c>
      <c r="AL207" s="64">
        <f t="shared" ca="1" si="470"/>
        <v>-420369.09217295283</v>
      </c>
      <c r="AM207" s="64">
        <f t="shared" ca="1" si="470"/>
        <v>-411417.76912375866</v>
      </c>
      <c r="AN207" s="64">
        <f t="shared" ca="1" si="470"/>
        <v>-404371.08924444485</v>
      </c>
      <c r="AO207" s="64">
        <f t="shared" ca="1" si="470"/>
        <v>-400207.16115473164</v>
      </c>
      <c r="AP207" s="64">
        <f t="shared" ref="AP207:BU207" ca="1" si="471">SUM(AP204:AP206)</f>
        <v>-396051.60721579008</v>
      </c>
      <c r="AQ207" s="64">
        <f t="shared" ca="1" si="471"/>
        <v>-391975.80701631308</v>
      </c>
      <c r="AR207" s="64">
        <f t="shared" ca="1" si="471"/>
        <v>-387842.99825674738</v>
      </c>
      <c r="AS207" s="64">
        <f t="shared" ca="1" si="471"/>
        <v>-383719.10316292476</v>
      </c>
      <c r="AT207" s="64">
        <f t="shared" ca="1" si="471"/>
        <v>-333432.71896816231</v>
      </c>
      <c r="AU207" s="64">
        <f t="shared" ca="1" si="471"/>
        <v>-331055.99654235225</v>
      </c>
      <c r="AV207" s="64">
        <f t="shared" ca="1" si="471"/>
        <v>-328673.8633222559</v>
      </c>
      <c r="AW207" s="64">
        <f t="shared" ca="1" si="471"/>
        <v>-326286.16531658988</v>
      </c>
      <c r="AX207" s="64">
        <f t="shared" ca="1" si="471"/>
        <v>-323892.74737036182</v>
      </c>
      <c r="AY207" s="64">
        <f t="shared" ca="1" si="471"/>
        <v>-321493.45309813204</v>
      </c>
      <c r="AZ207" s="64">
        <f t="shared" ca="1" si="471"/>
        <v>-319088.12481677369</v>
      </c>
      <c r="BA207" s="64">
        <f t="shared" ca="1" si="471"/>
        <v>-316676.60347771435</v>
      </c>
      <c r="BB207" s="64">
        <f t="shared" ca="1" si="471"/>
        <v>-314258.72859864356</v>
      </c>
      <c r="BC207" s="64">
        <f t="shared" ca="1" si="471"/>
        <v>-312774.12792544905</v>
      </c>
      <c r="BD207" s="64">
        <f t="shared" ca="1" si="471"/>
        <v>-310374.10597674944</v>
      </c>
      <c r="BE207" s="64">
        <f t="shared" ca="1" si="471"/>
        <v>-307967.86069763545</v>
      </c>
      <c r="BF207" s="64">
        <f t="shared" ca="1" si="471"/>
        <v>-509749.71558316355</v>
      </c>
      <c r="BG207" s="64">
        <f t="shared" ca="1" si="471"/>
        <v>-363832.7526752227</v>
      </c>
      <c r="BH207" s="64">
        <f t="shared" ca="1" si="471"/>
        <v>-361920.75860538613</v>
      </c>
      <c r="BI207" s="64">
        <f t="shared" ca="1" si="471"/>
        <v>-360013.79111263342</v>
      </c>
      <c r="BJ207" s="64">
        <f t="shared" ca="1" si="471"/>
        <v>-358111.91069908859</v>
      </c>
      <c r="BK207" s="64">
        <f t="shared" ca="1" si="471"/>
        <v>-356215.180649349</v>
      </c>
      <c r="BL207" s="64">
        <f t="shared" ca="1" si="471"/>
        <v>-353212.55593975587</v>
      </c>
      <c r="BM207" s="64">
        <f t="shared" ca="1" si="471"/>
        <v>-350215.21659320407</v>
      </c>
      <c r="BN207" s="64">
        <f t="shared" ca="1" si="471"/>
        <v>-347223.23436837783</v>
      </c>
      <c r="BO207" s="64">
        <f t="shared" ca="1" si="471"/>
        <v>-289997.90906913206</v>
      </c>
      <c r="BP207" s="64">
        <f t="shared" ca="1" si="471"/>
        <v>-231154.94372413401</v>
      </c>
      <c r="BQ207" s="64">
        <f t="shared" ca="1" si="471"/>
        <v>-171200.32961775782</v>
      </c>
      <c r="BR207" s="64">
        <f t="shared" ca="1" si="471"/>
        <v>-321970.64269991266</v>
      </c>
      <c r="BS207" s="64">
        <f t="shared" ca="1" si="471"/>
        <v>-148226.98858664138</v>
      </c>
      <c r="BT207" s="64">
        <f t="shared" ca="1" si="471"/>
        <v>-97582.488886871841</v>
      </c>
      <c r="BU207" s="64">
        <f t="shared" ca="1" si="471"/>
        <v>-50058.013142258395</v>
      </c>
      <c r="BV207" s="64">
        <f t="shared" ref="BV207:CC207" ca="1" si="472">SUM(BV204:BV206)</f>
        <v>-5675.260395036079</v>
      </c>
      <c r="BW207" s="64">
        <f t="shared" ca="1" si="472"/>
        <v>35543.228359302972</v>
      </c>
      <c r="BX207" s="64">
        <f t="shared" ca="1" si="472"/>
        <v>74499.983354562894</v>
      </c>
      <c r="BY207" s="64">
        <f t="shared" ca="1" si="472"/>
        <v>110244.81523660338</v>
      </c>
      <c r="BZ207" s="64">
        <f t="shared" ca="1" si="472"/>
        <v>142752.57950005308</v>
      </c>
      <c r="CA207" s="64">
        <f t="shared" ca="1" si="472"/>
        <v>174207.6996912933</v>
      </c>
      <c r="CB207" s="64">
        <f t="shared" ca="1" si="472"/>
        <v>202489.42851381749</v>
      </c>
      <c r="CC207" s="64">
        <f t="shared" ca="1" si="472"/>
        <v>227499.77420886979</v>
      </c>
      <c r="CD207" s="64">
        <f t="shared" ref="CD207:DY207" ca="1" si="473">SUM(CD204:CD206)</f>
        <v>79756.562375964131</v>
      </c>
      <c r="CE207" s="64">
        <f t="shared" ca="1" si="473"/>
        <v>220736.65834669024</v>
      </c>
      <c r="CF207" s="64">
        <f t="shared" ca="1" si="473"/>
        <v>240453.61244543083</v>
      </c>
      <c r="CG207" s="64">
        <f t="shared" ca="1" si="473"/>
        <v>258898.16668210737</v>
      </c>
      <c r="CH207" s="64">
        <f t="shared" ca="1" si="473"/>
        <v>276060.71706203511</v>
      </c>
      <c r="CI207" s="64">
        <f t="shared" ca="1" si="473"/>
        <v>291931.30828755209</v>
      </c>
      <c r="CJ207" s="64">
        <f t="shared" ca="1" si="473"/>
        <v>307425.55426316801</v>
      </c>
      <c r="CK207" s="64">
        <f t="shared" ca="1" si="473"/>
        <v>321606.85477232188</v>
      </c>
      <c r="CL207" s="64">
        <f t="shared" ca="1" si="473"/>
        <v>334464.1675826828</v>
      </c>
      <c r="CM207" s="64">
        <f t="shared" ca="1" si="473"/>
        <v>347439.40366889397</v>
      </c>
      <c r="CN207" s="64">
        <f t="shared" ca="1" si="473"/>
        <v>359096.5111075812</v>
      </c>
      <c r="CO207" s="64">
        <f t="shared" ca="1" si="473"/>
        <v>369423.88577272044</v>
      </c>
      <c r="CP207" s="64">
        <f t="shared" ca="1" si="473"/>
        <v>206404.92011744343</v>
      </c>
      <c r="CQ207" s="64">
        <f t="shared" ca="1" si="473"/>
        <v>332870.2529921243</v>
      </c>
      <c r="CR207" s="64">
        <f t="shared" ca="1" si="473"/>
        <v>338815.57344582677</v>
      </c>
      <c r="CS207" s="64">
        <f t="shared" ca="1" si="473"/>
        <v>345120.12965120375</v>
      </c>
      <c r="CT207" s="64">
        <f t="shared" ca="1" si="473"/>
        <v>350953.06169961998</v>
      </c>
      <c r="CU207" s="64">
        <f t="shared" ca="1" si="473"/>
        <v>356270.97273303987</v>
      </c>
      <c r="CV207" s="64">
        <f t="shared" ca="1" si="473"/>
        <v>362046.29365184391</v>
      </c>
      <c r="CW207" s="64">
        <f t="shared" ca="1" si="473"/>
        <v>367710.0565580586</v>
      </c>
      <c r="CX207" s="64">
        <f t="shared" ca="1" si="473"/>
        <v>373277.71392499004</v>
      </c>
      <c r="CY207" s="64">
        <f t="shared" ca="1" si="473"/>
        <v>378760.87607756071</v>
      </c>
      <c r="CZ207" s="64">
        <f t="shared" ca="1" si="473"/>
        <v>384152.69850783329</v>
      </c>
      <c r="DA207" s="64">
        <f t="shared" ca="1" si="473"/>
        <v>389446.98844562611</v>
      </c>
      <c r="DB207" s="64">
        <f t="shared" ca="1" si="473"/>
        <v>224646.31234959839</v>
      </c>
      <c r="DC207" s="64">
        <f t="shared" ca="1" si="473"/>
        <v>349761.26490218239</v>
      </c>
      <c r="DD207" s="64">
        <f t="shared" ca="1" si="473"/>
        <v>354793.07727691811</v>
      </c>
      <c r="DE207" s="64">
        <f t="shared" ca="1" si="473"/>
        <v>359741.1952047497</v>
      </c>
      <c r="DF207" s="64">
        <f t="shared" ca="1" si="473"/>
        <v>364605.04171389574</v>
      </c>
      <c r="DG207" s="64">
        <f t="shared" ca="1" si="473"/>
        <v>369384.01680083433</v>
      </c>
      <c r="DH207" s="64">
        <f t="shared" ca="1" si="473"/>
        <v>375003.42301923828</v>
      </c>
      <c r="DI207" s="64">
        <f t="shared" ca="1" si="473"/>
        <v>380536.68735707738</v>
      </c>
      <c r="DJ207" s="64">
        <f t="shared" ca="1" si="473"/>
        <v>385983.1386610195</v>
      </c>
      <c r="DK207" s="64">
        <f t="shared" ca="1" si="473"/>
        <v>391441.95182955638</v>
      </c>
      <c r="DL207" s="64">
        <f t="shared" ca="1" si="473"/>
        <v>396814.53344222764</v>
      </c>
      <c r="DM207" s="64">
        <f t="shared" ca="1" si="473"/>
        <v>402100.17785508977</v>
      </c>
      <c r="DN207" s="64">
        <f t="shared" ca="1" si="473"/>
        <v>185207.89831353771</v>
      </c>
      <c r="DO207" s="64">
        <f t="shared" ca="1" si="473"/>
        <v>345280.06174509367</v>
      </c>
      <c r="DP207" s="64">
        <f t="shared" ca="1" si="473"/>
        <v>349316.41993639152</v>
      </c>
      <c r="DQ207" s="64">
        <f t="shared" ca="1" si="473"/>
        <v>353316.71461684443</v>
      </c>
      <c r="DR207" s="64">
        <f t="shared" ca="1" si="473"/>
        <v>357280.67733727675</v>
      </c>
      <c r="DS207" s="64">
        <f t="shared" ca="1" si="473"/>
        <v>361208.0293237376</v>
      </c>
      <c r="DT207" s="64">
        <f t="shared" ca="1" si="473"/>
        <v>366302.18503139121</v>
      </c>
      <c r="DU207" s="64">
        <f t="shared" ca="1" si="473"/>
        <v>371359.14087991044</v>
      </c>
      <c r="DV207" s="64">
        <f t="shared" ca="1" si="473"/>
        <v>376378.58620735165</v>
      </c>
      <c r="DW207" s="64">
        <f t="shared" ca="1" si="473"/>
        <v>381437.89588056458</v>
      </c>
      <c r="DX207" s="64">
        <f t="shared" ca="1" si="473"/>
        <v>386460.59463425865</v>
      </c>
      <c r="DY207" s="64">
        <f t="shared" ca="1" si="473"/>
        <v>391446.36954720505</v>
      </c>
    </row>
    <row r="208" spans="1:129" outlineLevel="1">
      <c r="A208" s="6"/>
      <c r="J208" s="91"/>
      <c r="K208" s="35"/>
      <c r="L208" s="91"/>
      <c r="M208" s="35"/>
      <c r="N208" s="91"/>
      <c r="O208" s="35"/>
      <c r="P208" s="91"/>
      <c r="Q208" s="91"/>
      <c r="R208" s="35"/>
      <c r="S208" s="35"/>
      <c r="T208" s="35"/>
      <c r="U208" s="35"/>
      <c r="V208" s="35"/>
      <c r="W208" s="35"/>
      <c r="X208" s="99"/>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row>
    <row r="209" spans="1:129" outlineLevel="1">
      <c r="A209" s="6"/>
      <c r="C209" s="37" t="s">
        <v>118</v>
      </c>
      <c r="J209" s="91"/>
      <c r="K209" s="35"/>
      <c r="L209" s="91"/>
      <c r="M209" s="35"/>
      <c r="N209" s="91"/>
      <c r="O209" s="35"/>
      <c r="P209" s="91"/>
      <c r="Q209" s="91"/>
      <c r="R209" s="35"/>
      <c r="S209" s="35"/>
      <c r="T209" s="35"/>
      <c r="U209" s="35"/>
      <c r="V209" s="133"/>
      <c r="W209" s="150"/>
      <c r="X209" s="99"/>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row>
    <row r="210" spans="1:129" outlineLevel="1">
      <c r="C210" s="5" t="s">
        <v>6</v>
      </c>
      <c r="D210" s="5" t="s">
        <v>408</v>
      </c>
      <c r="F210" s="5" t="s">
        <v>174</v>
      </c>
      <c r="G210" s="62"/>
      <c r="J210" s="150">
        <f>-INDEX(Costs,MATCH($D210,'Model Assumptions'!$C$95:$C$104,0),MATCH(J$4,'Model Assumptions'!$C$95:$P$95,0))</f>
        <v>-100000</v>
      </c>
      <c r="K210" s="150">
        <f>-INDEX(Costs,MATCH($D210,'Model Assumptions'!$C$95:$C$104,0),MATCH(K$4,'Model Assumptions'!$C$95:$P$95,0))</f>
        <v>-100000</v>
      </c>
      <c r="L210" s="150">
        <f>-INDEX(Costs,MATCH($D210,'Model Assumptions'!$C$95:$C$104,0),MATCH(L$4,'Model Assumptions'!$C$95:$P$95,0))</f>
        <v>-100000</v>
      </c>
      <c r="M210" s="150">
        <f>-INDEX(Costs,MATCH($D210,'Model Assumptions'!$C$95:$C$104,0),MATCH(M$4,'Model Assumptions'!$C$95:$P$95,0))</f>
        <v>-100000</v>
      </c>
      <c r="N210" s="150">
        <f>-INDEX(Costs,MATCH($D210,'Model Assumptions'!$C$95:$C$104,0),MATCH(N$4,'Model Assumptions'!$C$95:$P$95,0))</f>
        <v>-100000</v>
      </c>
      <c r="O210" s="150">
        <f>-INDEX(Costs,MATCH($D210,'Model Assumptions'!$C$95:$C$104,0),MATCH(O$4,'Model Assumptions'!$C$95:$P$95,0))</f>
        <v>-100000</v>
      </c>
      <c r="P210" s="150">
        <f>-INDEX(Costs,MATCH($D210,'Model Assumptions'!$C$95:$C$104,0),MATCH(P$4,'Model Assumptions'!$C$95:$P$95,0))</f>
        <v>-100000</v>
      </c>
      <c r="Q210" s="150">
        <f>-INDEX(Costs,MATCH($D210,'Model Assumptions'!$C$95:$C$104,0),MATCH(Q$4,'Model Assumptions'!$C$95:$P$95,0))</f>
        <v>-100000</v>
      </c>
      <c r="R210" s="150">
        <f>-INDEX(Costs,MATCH($D210,'Model Assumptions'!$C$95:$C$104,0),MATCH(R$4,'Model Assumptions'!$C$95:$P$95,0))</f>
        <v>-100000</v>
      </c>
      <c r="S210" s="150">
        <f>-INDEX(Costs,MATCH($D210,'Model Assumptions'!$C$95:$C$104,0),MATCH(S$4,'Model Assumptions'!$C$95:$P$95,0))</f>
        <v>-100000</v>
      </c>
      <c r="T210" s="150">
        <f>-INDEX(Costs,MATCH($D210,'Model Assumptions'!$C$95:$C$104,0),MATCH(T$4,'Model Assumptions'!$C$95:$P$95,0))</f>
        <v>-100000</v>
      </c>
      <c r="U210" s="150">
        <f>-INDEX(Costs,MATCH($D210,'Model Assumptions'!$C$95:$C$104,0),MATCH(U$4,'Model Assumptions'!$C$95:$P$95,0))</f>
        <v>-100000</v>
      </c>
      <c r="V210" s="150">
        <f>-INDEX(Costs,MATCH($D210,'Model Assumptions'!$C$95:$C$104,0),MATCH(V$4,'Model Assumptions'!$C$95:$P$95,0))</f>
        <v>-100000</v>
      </c>
      <c r="W210" s="150">
        <f>-INDEX(Costs,MATCH($D210,'Model Assumptions'!$C$95:$C$104,0),MATCH(W$4,'Model Assumptions'!$C$95:$P$95,0))</f>
        <v>-100000</v>
      </c>
      <c r="X210" s="150">
        <f>-INDEX(Costs,MATCH($D210,'Model Assumptions'!$C$95:$C$104,0),MATCH(X$4,'Model Assumptions'!$C$95:$P$95,0))</f>
        <v>-100000</v>
      </c>
      <c r="Y210" s="150">
        <f>-INDEX(Costs,MATCH($D210,'Model Assumptions'!$C$95:$C$104,0),MATCH(Y$4,'Model Assumptions'!$C$95:$P$95,0))</f>
        <v>-100000</v>
      </c>
      <c r="Z210" s="150">
        <f>-INDEX(Costs,MATCH($D210,'Model Assumptions'!$C$95:$C$104,0),MATCH(Z$4,'Model Assumptions'!$C$95:$P$95,0))</f>
        <v>-100000</v>
      </c>
      <c r="AA210" s="150">
        <f>-INDEX(Costs,MATCH($D210,'Model Assumptions'!$C$95:$C$104,0),MATCH(AA$4,'Model Assumptions'!$C$95:$P$95,0))</f>
        <v>-100000</v>
      </c>
      <c r="AB210" s="150">
        <f>-INDEX(Costs,MATCH($D210,'Model Assumptions'!$C$95:$C$104,0),MATCH(AB$4,'Model Assumptions'!$C$95:$P$95,0))</f>
        <v>-100000</v>
      </c>
      <c r="AC210" s="150">
        <f>-INDEX(Costs,MATCH($D210,'Model Assumptions'!$C$95:$C$104,0),MATCH(AC$4,'Model Assumptions'!$C$95:$P$95,0))</f>
        <v>-100000</v>
      </c>
      <c r="AD210" s="150">
        <f>-INDEX(Costs,MATCH($D210,'Model Assumptions'!$C$95:$C$104,0),MATCH(AD$4,'Model Assumptions'!$C$95:$P$95,0))</f>
        <v>-100000</v>
      </c>
      <c r="AE210" s="150">
        <f>-INDEX(Costs,MATCH($D210,'Model Assumptions'!$C$95:$C$104,0),MATCH(AE$4,'Model Assumptions'!$C$95:$P$95,0))</f>
        <v>-100000</v>
      </c>
      <c r="AF210" s="150">
        <f>-INDEX(Costs,MATCH($D210,'Model Assumptions'!$C$95:$C$104,0),MATCH(AF$4,'Model Assumptions'!$C$95:$P$95,0))</f>
        <v>-100000</v>
      </c>
      <c r="AG210" s="150">
        <f>-INDEX(Costs,MATCH($D210,'Model Assumptions'!$C$95:$C$104,0),MATCH(AG$4,'Model Assumptions'!$C$95:$P$95,0))</f>
        <v>-100000</v>
      </c>
      <c r="AH210" s="150">
        <f>-INDEX(Costs,MATCH($D210,'Model Assumptions'!$C$95:$C$104,0),MATCH(AH$4,'Model Assumptions'!$C$95:$P$95,0))</f>
        <v>-100000</v>
      </c>
      <c r="AI210" s="150">
        <f>-INDEX(Costs,MATCH($D210,'Model Assumptions'!$C$95:$C$104,0),MATCH(AI$4,'Model Assumptions'!$C$95:$P$95,0))</f>
        <v>-100000</v>
      </c>
      <c r="AJ210" s="150">
        <f>-INDEX(Costs,MATCH($D210,'Model Assumptions'!$C$95:$C$104,0),MATCH(AJ$4,'Model Assumptions'!$C$95:$P$95,0))</f>
        <v>-100000</v>
      </c>
      <c r="AK210" s="150">
        <f>-INDEX(Costs,MATCH($D210,'Model Assumptions'!$C$95:$C$104,0),MATCH(AK$4,'Model Assumptions'!$C$95:$P$95,0))</f>
        <v>-100000</v>
      </c>
      <c r="AL210" s="150">
        <f>-INDEX(Costs,MATCH($D210,'Model Assumptions'!$C$95:$C$104,0),MATCH(AL$4,'Model Assumptions'!$C$95:$P$95,0))</f>
        <v>-100000</v>
      </c>
      <c r="AM210" s="150">
        <f>-INDEX(Costs,MATCH($D210,'Model Assumptions'!$C$95:$C$104,0),MATCH(AM$4,'Model Assumptions'!$C$95:$P$95,0))</f>
        <v>-100000</v>
      </c>
      <c r="AN210" s="150">
        <f>-INDEX(Costs,MATCH($D210,'Model Assumptions'!$C$95:$C$104,0),MATCH(AN$4,'Model Assumptions'!$C$95:$P$95,0))</f>
        <v>-100000</v>
      </c>
      <c r="AO210" s="150">
        <f>-INDEX(Costs,MATCH($D210,'Model Assumptions'!$C$95:$C$104,0),MATCH(AO$4,'Model Assumptions'!$C$95:$P$95,0))</f>
        <v>-100000</v>
      </c>
      <c r="AP210" s="150">
        <f>-INDEX(Costs,MATCH($D210,'Model Assumptions'!$C$95:$C$104,0),MATCH(AP$4,'Model Assumptions'!$C$95:$P$95,0))</f>
        <v>-100000</v>
      </c>
      <c r="AQ210" s="150">
        <f>-INDEX(Costs,MATCH($D210,'Model Assumptions'!$C$95:$C$104,0),MATCH(AQ$4,'Model Assumptions'!$C$95:$P$95,0))</f>
        <v>-100000</v>
      </c>
      <c r="AR210" s="150">
        <f>-INDEX(Costs,MATCH($D210,'Model Assumptions'!$C$95:$C$104,0),MATCH(AR$4,'Model Assumptions'!$C$95:$P$95,0))</f>
        <v>-100000</v>
      </c>
      <c r="AS210" s="150">
        <f>-INDEX(Costs,MATCH($D210,'Model Assumptions'!$C$95:$C$104,0),MATCH(AS$4,'Model Assumptions'!$C$95:$P$95,0))</f>
        <v>-100000</v>
      </c>
      <c r="AT210" s="150">
        <f>-INDEX(Costs,MATCH($D210,'Model Assumptions'!$C$95:$C$104,0),MATCH(AT$4,'Model Assumptions'!$C$95:$P$95,0))</f>
        <v>-100000</v>
      </c>
      <c r="AU210" s="150">
        <f>-INDEX(Costs,MATCH($D210,'Model Assumptions'!$C$95:$C$104,0),MATCH(AU$4,'Model Assumptions'!$C$95:$P$95,0))</f>
        <v>-100000</v>
      </c>
      <c r="AV210" s="150">
        <f>-INDEX(Costs,MATCH($D210,'Model Assumptions'!$C$95:$C$104,0),MATCH(AV$4,'Model Assumptions'!$C$95:$P$95,0))</f>
        <v>-100000</v>
      </c>
      <c r="AW210" s="150">
        <f>-INDEX(Costs,MATCH($D210,'Model Assumptions'!$C$95:$C$104,0),MATCH(AW$4,'Model Assumptions'!$C$95:$P$95,0))</f>
        <v>-100000</v>
      </c>
      <c r="AX210" s="150">
        <f>-INDEX(Costs,MATCH($D210,'Model Assumptions'!$C$95:$C$104,0),MATCH(AX$4,'Model Assumptions'!$C$95:$P$95,0))</f>
        <v>-100000</v>
      </c>
      <c r="AY210" s="150">
        <f>-INDEX(Costs,MATCH($D210,'Model Assumptions'!$C$95:$C$104,0),MATCH(AY$4,'Model Assumptions'!$C$95:$P$95,0))</f>
        <v>-100000</v>
      </c>
      <c r="AZ210" s="150">
        <f>-INDEX(Costs,MATCH($D210,'Model Assumptions'!$C$95:$C$104,0),MATCH(AZ$4,'Model Assumptions'!$C$95:$P$95,0))</f>
        <v>-100000</v>
      </c>
      <c r="BA210" s="150">
        <f>-INDEX(Costs,MATCH($D210,'Model Assumptions'!$C$95:$C$104,0),MATCH(BA$4,'Model Assumptions'!$C$95:$P$95,0))</f>
        <v>-100000</v>
      </c>
      <c r="BB210" s="150">
        <f>-INDEX(Costs,MATCH($D210,'Model Assumptions'!$C$95:$C$104,0),MATCH(BB$4,'Model Assumptions'!$C$95:$P$95,0))</f>
        <v>-100000</v>
      </c>
      <c r="BC210" s="150">
        <f>-INDEX(Costs,MATCH($D210,'Model Assumptions'!$C$95:$C$104,0),MATCH(BC$4,'Model Assumptions'!$C$95:$P$95,0))</f>
        <v>-100000</v>
      </c>
      <c r="BD210" s="150">
        <f>-INDEX(Costs,MATCH($D210,'Model Assumptions'!$C$95:$C$104,0),MATCH(BD$4,'Model Assumptions'!$C$95:$P$95,0))</f>
        <v>-100000</v>
      </c>
      <c r="BE210" s="150">
        <f>-INDEX(Costs,MATCH($D210,'Model Assumptions'!$C$95:$C$104,0),MATCH(BE$4,'Model Assumptions'!$C$95:$P$95,0))</f>
        <v>-100000</v>
      </c>
      <c r="BF210" s="150">
        <f>-INDEX(Costs,MATCH($D210,'Model Assumptions'!$C$95:$C$104,0),MATCH(BF$4,'Model Assumptions'!$C$95:$P$95,0))</f>
        <v>-100000</v>
      </c>
      <c r="BG210" s="150">
        <f>-INDEX(Costs,MATCH($D210,'Model Assumptions'!$C$95:$C$104,0),MATCH(BG$4,'Model Assumptions'!$C$95:$P$95,0))</f>
        <v>-100000</v>
      </c>
      <c r="BH210" s="150">
        <f>-INDEX(Costs,MATCH($D210,'Model Assumptions'!$C$95:$C$104,0),MATCH(BH$4,'Model Assumptions'!$C$95:$P$95,0))</f>
        <v>-100000</v>
      </c>
      <c r="BI210" s="150">
        <f>-INDEX(Costs,MATCH($D210,'Model Assumptions'!$C$95:$C$104,0),MATCH(BI$4,'Model Assumptions'!$C$95:$P$95,0))</f>
        <v>-100000</v>
      </c>
      <c r="BJ210" s="150">
        <f>-INDEX(Costs,MATCH($D210,'Model Assumptions'!$C$95:$C$104,0),MATCH(BJ$4,'Model Assumptions'!$C$95:$P$95,0))</f>
        <v>-100000</v>
      </c>
      <c r="BK210" s="150">
        <f>-INDEX(Costs,MATCH($D210,'Model Assumptions'!$C$95:$C$104,0),MATCH(BK$4,'Model Assumptions'!$C$95:$P$95,0))</f>
        <v>-100000</v>
      </c>
      <c r="BL210" s="150">
        <f>-INDEX(Costs,MATCH($D210,'Model Assumptions'!$C$95:$C$104,0),MATCH(BL$4,'Model Assumptions'!$C$95:$P$95,0))</f>
        <v>-100000</v>
      </c>
      <c r="BM210" s="150">
        <f>-INDEX(Costs,MATCH($D210,'Model Assumptions'!$C$95:$C$104,0),MATCH(BM$4,'Model Assumptions'!$C$95:$P$95,0))</f>
        <v>-100000</v>
      </c>
      <c r="BN210" s="150">
        <f>-INDEX(Costs,MATCH($D210,'Model Assumptions'!$C$95:$C$104,0),MATCH(BN$4,'Model Assumptions'!$C$95:$P$95,0))</f>
        <v>-100000</v>
      </c>
      <c r="BO210" s="150">
        <f>-INDEX(Costs,MATCH($D210,'Model Assumptions'!$C$95:$C$104,0),MATCH(BO$4,'Model Assumptions'!$C$95:$P$95,0))</f>
        <v>-100000</v>
      </c>
      <c r="BP210" s="150">
        <f>-INDEX(Costs,MATCH($D210,'Model Assumptions'!$C$95:$C$104,0),MATCH(BP$4,'Model Assumptions'!$C$95:$P$95,0))</f>
        <v>-100000</v>
      </c>
      <c r="BQ210" s="150">
        <f>-INDEX(Costs,MATCH($D210,'Model Assumptions'!$C$95:$C$104,0),MATCH(BQ$4,'Model Assumptions'!$C$95:$P$95,0))</f>
        <v>-100000</v>
      </c>
      <c r="BR210" s="150">
        <f>-INDEX(Costs,MATCH($D210,'Model Assumptions'!$C$95:$C$104,0),MATCH(BR$4,'Model Assumptions'!$C$95:$P$95,0))</f>
        <v>-100000</v>
      </c>
      <c r="BS210" s="150">
        <f>-INDEX(Costs,MATCH($D210,'Model Assumptions'!$C$95:$C$104,0),MATCH(BS$4,'Model Assumptions'!$C$95:$P$95,0))</f>
        <v>-100000</v>
      </c>
      <c r="BT210" s="150">
        <f>-INDEX(Costs,MATCH($D210,'Model Assumptions'!$C$95:$C$104,0),MATCH(BT$4,'Model Assumptions'!$C$95:$P$95,0))</f>
        <v>-100000</v>
      </c>
      <c r="BU210" s="150">
        <f>-INDEX(Costs,MATCH($D210,'Model Assumptions'!$C$95:$C$104,0),MATCH(BU$4,'Model Assumptions'!$C$95:$P$95,0))</f>
        <v>-100000</v>
      </c>
      <c r="BV210" s="150">
        <f>-INDEX(Costs,MATCH($D210,'Model Assumptions'!$C$95:$C$104,0),MATCH(BV$4,'Model Assumptions'!$C$95:$P$95,0))</f>
        <v>-100000</v>
      </c>
      <c r="BW210" s="150">
        <f>-INDEX(Costs,MATCH($D210,'Model Assumptions'!$C$95:$C$104,0),MATCH(BW$4,'Model Assumptions'!$C$95:$P$95,0))</f>
        <v>-100000</v>
      </c>
      <c r="BX210" s="150">
        <f>-INDEX(Costs,MATCH($D210,'Model Assumptions'!$C$95:$C$104,0),MATCH(BX$4,'Model Assumptions'!$C$95:$P$95,0))</f>
        <v>-100000</v>
      </c>
      <c r="BY210" s="150">
        <f>-INDEX(Costs,MATCH($D210,'Model Assumptions'!$C$95:$C$104,0),MATCH(BY$4,'Model Assumptions'!$C$95:$P$95,0))</f>
        <v>-100000</v>
      </c>
      <c r="BZ210" s="150">
        <f>-INDEX(Costs,MATCH($D210,'Model Assumptions'!$C$95:$C$104,0),MATCH(BZ$4,'Model Assumptions'!$C$95:$P$95,0))</f>
        <v>-100000</v>
      </c>
      <c r="CA210" s="150">
        <f>-INDEX(Costs,MATCH($D210,'Model Assumptions'!$C$95:$C$104,0),MATCH(CA$4,'Model Assumptions'!$C$95:$P$95,0))</f>
        <v>-100000</v>
      </c>
      <c r="CB210" s="150">
        <f>-INDEX(Costs,MATCH($D210,'Model Assumptions'!$C$95:$C$104,0),MATCH(CB$4,'Model Assumptions'!$C$95:$P$95,0))</f>
        <v>-100000</v>
      </c>
      <c r="CC210" s="150">
        <f>-INDEX(Costs,MATCH($D210,'Model Assumptions'!$C$95:$C$104,0),MATCH(CC$4,'Model Assumptions'!$C$95:$P$95,0))</f>
        <v>-100000</v>
      </c>
      <c r="CD210" s="150">
        <f>-INDEX(Costs,MATCH($D210,'Model Assumptions'!$C$95:$C$104,0),MATCH(CD$4,'Model Assumptions'!$C$95:$P$95,0))</f>
        <v>-100000</v>
      </c>
      <c r="CE210" s="150">
        <f>-INDEX(Costs,MATCH($D210,'Model Assumptions'!$C$95:$C$104,0),MATCH(CE$4,'Model Assumptions'!$C$95:$P$95,0))</f>
        <v>-100000</v>
      </c>
      <c r="CF210" s="150">
        <f>-INDEX(Costs,MATCH($D210,'Model Assumptions'!$C$95:$C$104,0),MATCH(CF$4,'Model Assumptions'!$C$95:$P$95,0))</f>
        <v>-100000</v>
      </c>
      <c r="CG210" s="150">
        <f>-INDEX(Costs,MATCH($D210,'Model Assumptions'!$C$95:$C$104,0),MATCH(CG$4,'Model Assumptions'!$C$95:$P$95,0))</f>
        <v>-100000</v>
      </c>
      <c r="CH210" s="150">
        <f>-INDEX(Costs,MATCH($D210,'Model Assumptions'!$C$95:$C$104,0),MATCH(CH$4,'Model Assumptions'!$C$95:$P$95,0))</f>
        <v>-100000</v>
      </c>
      <c r="CI210" s="150">
        <f>-INDEX(Costs,MATCH($D210,'Model Assumptions'!$C$95:$C$104,0),MATCH(CI$4,'Model Assumptions'!$C$95:$P$95,0))</f>
        <v>-100000</v>
      </c>
      <c r="CJ210" s="150">
        <f>-INDEX(Costs,MATCH($D210,'Model Assumptions'!$C$95:$C$104,0),MATCH(CJ$4,'Model Assumptions'!$C$95:$P$95,0))</f>
        <v>-100000</v>
      </c>
      <c r="CK210" s="150">
        <f>-INDEX(Costs,MATCH($D210,'Model Assumptions'!$C$95:$C$104,0),MATCH(CK$4,'Model Assumptions'!$C$95:$P$95,0))</f>
        <v>-100000</v>
      </c>
      <c r="CL210" s="150">
        <f>-INDEX(Costs,MATCH($D210,'Model Assumptions'!$C$95:$C$104,0),MATCH(CL$4,'Model Assumptions'!$C$95:$P$95,0))</f>
        <v>-100000</v>
      </c>
      <c r="CM210" s="150">
        <f>-INDEX(Costs,MATCH($D210,'Model Assumptions'!$C$95:$C$104,0),MATCH(CM$4,'Model Assumptions'!$C$95:$P$95,0))</f>
        <v>-100000</v>
      </c>
      <c r="CN210" s="150">
        <f>-INDEX(Costs,MATCH($D210,'Model Assumptions'!$C$95:$C$104,0),MATCH(CN$4,'Model Assumptions'!$C$95:$P$95,0))</f>
        <v>-100000</v>
      </c>
      <c r="CO210" s="150">
        <f>-INDEX(Costs,MATCH($D210,'Model Assumptions'!$C$95:$C$104,0),MATCH(CO$4,'Model Assumptions'!$C$95:$P$95,0))</f>
        <v>-100000</v>
      </c>
      <c r="CP210" s="150">
        <f>-INDEX(Costs,MATCH($D210,'Model Assumptions'!$C$95:$C$104,0),MATCH(CP$4,'Model Assumptions'!$C$95:$P$95,0))</f>
        <v>-100000</v>
      </c>
      <c r="CQ210" s="150">
        <f>-INDEX(Costs,MATCH($D210,'Model Assumptions'!$C$95:$C$104,0),MATCH(CQ$4,'Model Assumptions'!$C$95:$P$95,0))</f>
        <v>-100000</v>
      </c>
      <c r="CR210" s="150">
        <f>-INDEX(Costs,MATCH($D210,'Model Assumptions'!$C$95:$C$104,0),MATCH(CR$4,'Model Assumptions'!$C$95:$P$95,0))</f>
        <v>-100000</v>
      </c>
      <c r="CS210" s="150">
        <f>-INDEX(Costs,MATCH($D210,'Model Assumptions'!$C$95:$C$104,0),MATCH(CS$4,'Model Assumptions'!$C$95:$P$95,0))</f>
        <v>-100000</v>
      </c>
      <c r="CT210" s="150">
        <f>-INDEX(Costs,MATCH($D210,'Model Assumptions'!$C$95:$C$104,0),MATCH(CT$4,'Model Assumptions'!$C$95:$P$95,0))</f>
        <v>-100000</v>
      </c>
      <c r="CU210" s="150">
        <f>-INDEX(Costs,MATCH($D210,'Model Assumptions'!$C$95:$C$104,0),MATCH(CU$4,'Model Assumptions'!$C$95:$P$95,0))</f>
        <v>-100000</v>
      </c>
      <c r="CV210" s="150">
        <f>-INDEX(Costs,MATCH($D210,'Model Assumptions'!$C$95:$C$104,0),MATCH(CV$4,'Model Assumptions'!$C$95:$P$95,0))</f>
        <v>-100000</v>
      </c>
      <c r="CW210" s="150">
        <f>-INDEX(Costs,MATCH($D210,'Model Assumptions'!$C$95:$C$104,0),MATCH(CW$4,'Model Assumptions'!$C$95:$P$95,0))</f>
        <v>-100000</v>
      </c>
      <c r="CX210" s="150">
        <f>-INDEX(Costs,MATCH($D210,'Model Assumptions'!$C$95:$C$104,0),MATCH(CX$4,'Model Assumptions'!$C$95:$P$95,0))</f>
        <v>-100000</v>
      </c>
      <c r="CY210" s="150">
        <f>-INDEX(Costs,MATCH($D210,'Model Assumptions'!$C$95:$C$104,0),MATCH(CY$4,'Model Assumptions'!$C$95:$P$95,0))</f>
        <v>-100000</v>
      </c>
      <c r="CZ210" s="150">
        <f>-INDEX(Costs,MATCH($D210,'Model Assumptions'!$C$95:$C$104,0),MATCH(CZ$4,'Model Assumptions'!$C$95:$P$95,0))</f>
        <v>-100000</v>
      </c>
      <c r="DA210" s="150">
        <f>-INDEX(Costs,MATCH($D210,'Model Assumptions'!$C$95:$C$104,0),MATCH(DA$4,'Model Assumptions'!$C$95:$P$95,0))</f>
        <v>-100000</v>
      </c>
      <c r="DB210" s="150">
        <f>-INDEX(Costs,MATCH($D210,'Model Assumptions'!$C$95:$C$104,0),MATCH(DB$4,'Model Assumptions'!$C$95:$P$95,0))</f>
        <v>-100000</v>
      </c>
      <c r="DC210" s="150">
        <f>-INDEX(Costs,MATCH($D210,'Model Assumptions'!$C$95:$C$104,0),MATCH(DC$4,'Model Assumptions'!$C$95:$P$95,0))</f>
        <v>-100000</v>
      </c>
      <c r="DD210" s="150">
        <f>-INDEX(Costs,MATCH($D210,'Model Assumptions'!$C$95:$C$104,0),MATCH(DD$4,'Model Assumptions'!$C$95:$P$95,0))</f>
        <v>-100000</v>
      </c>
      <c r="DE210" s="150">
        <f>-INDEX(Costs,MATCH($D210,'Model Assumptions'!$C$95:$C$104,0),MATCH(DE$4,'Model Assumptions'!$C$95:$P$95,0))</f>
        <v>-100000</v>
      </c>
      <c r="DF210" s="150">
        <f>-INDEX(Costs,MATCH($D210,'Model Assumptions'!$C$95:$C$104,0),MATCH(DF$4,'Model Assumptions'!$C$95:$P$95,0))</f>
        <v>-100000</v>
      </c>
      <c r="DG210" s="150">
        <f>-INDEX(Costs,MATCH($D210,'Model Assumptions'!$C$95:$C$104,0),MATCH(DG$4,'Model Assumptions'!$C$95:$P$95,0))</f>
        <v>-100000</v>
      </c>
      <c r="DH210" s="150">
        <f>-INDEX(Costs,MATCH($D210,'Model Assumptions'!$C$95:$C$104,0),MATCH(DH$4,'Model Assumptions'!$C$95:$P$95,0))</f>
        <v>-100000</v>
      </c>
      <c r="DI210" s="150">
        <f>-INDEX(Costs,MATCH($D210,'Model Assumptions'!$C$95:$C$104,0),MATCH(DI$4,'Model Assumptions'!$C$95:$P$95,0))</f>
        <v>-100000</v>
      </c>
      <c r="DJ210" s="150">
        <f>-INDEX(Costs,MATCH($D210,'Model Assumptions'!$C$95:$C$104,0),MATCH(DJ$4,'Model Assumptions'!$C$95:$P$95,0))</f>
        <v>-100000</v>
      </c>
      <c r="DK210" s="150">
        <f>-INDEX(Costs,MATCH($D210,'Model Assumptions'!$C$95:$C$104,0),MATCH(DK$4,'Model Assumptions'!$C$95:$P$95,0))</f>
        <v>-100000</v>
      </c>
      <c r="DL210" s="150">
        <f>-INDEX(Costs,MATCH($D210,'Model Assumptions'!$C$95:$C$104,0),MATCH(DL$4,'Model Assumptions'!$C$95:$P$95,0))</f>
        <v>-100000</v>
      </c>
      <c r="DM210" s="150">
        <f>-INDEX(Costs,MATCH($D210,'Model Assumptions'!$C$95:$C$104,0),MATCH(DM$4,'Model Assumptions'!$C$95:$P$95,0))</f>
        <v>-100000</v>
      </c>
      <c r="DN210" s="150">
        <f>-INDEX(Costs,MATCH($D210,'Model Assumptions'!$C$95:$C$104,0),MATCH(DN$4,'Model Assumptions'!$C$95:$P$95,0))</f>
        <v>-100000</v>
      </c>
      <c r="DO210" s="150">
        <f>-INDEX(Costs,MATCH($D210,'Model Assumptions'!$C$95:$C$104,0),MATCH(DO$4,'Model Assumptions'!$C$95:$P$95,0))</f>
        <v>-100000</v>
      </c>
      <c r="DP210" s="150">
        <f>-INDEX(Costs,MATCH($D210,'Model Assumptions'!$C$95:$C$104,0),MATCH(DP$4,'Model Assumptions'!$C$95:$P$95,0))</f>
        <v>-100000</v>
      </c>
      <c r="DQ210" s="150">
        <f>-INDEX(Costs,MATCH($D210,'Model Assumptions'!$C$95:$C$104,0),MATCH(DQ$4,'Model Assumptions'!$C$95:$P$95,0))</f>
        <v>-100000</v>
      </c>
      <c r="DR210" s="150">
        <f>-INDEX(Costs,MATCH($D210,'Model Assumptions'!$C$95:$C$104,0),MATCH(DR$4,'Model Assumptions'!$C$95:$P$95,0))</f>
        <v>-100000</v>
      </c>
      <c r="DS210" s="150">
        <f>-INDEX(Costs,MATCH($D210,'Model Assumptions'!$C$95:$C$104,0),MATCH(DS$4,'Model Assumptions'!$C$95:$P$95,0))</f>
        <v>-100000</v>
      </c>
      <c r="DT210" s="150">
        <f>-INDEX(Costs,MATCH($D210,'Model Assumptions'!$C$95:$C$104,0),MATCH(DT$4,'Model Assumptions'!$C$95:$P$95,0))</f>
        <v>-100000</v>
      </c>
      <c r="DU210" s="150">
        <f>-INDEX(Costs,MATCH($D210,'Model Assumptions'!$C$95:$C$104,0),MATCH(DU$4,'Model Assumptions'!$C$95:$P$95,0))</f>
        <v>-100000</v>
      </c>
      <c r="DV210" s="150">
        <f>-INDEX(Costs,MATCH($D210,'Model Assumptions'!$C$95:$C$104,0),MATCH(DV$4,'Model Assumptions'!$C$95:$P$95,0))</f>
        <v>-100000</v>
      </c>
      <c r="DW210" s="150">
        <f>-INDEX(Costs,MATCH($D210,'Model Assumptions'!$C$95:$C$104,0),MATCH(DW$4,'Model Assumptions'!$C$95:$P$95,0))</f>
        <v>-100000</v>
      </c>
      <c r="DX210" s="150">
        <f>-INDEX(Costs,MATCH($D210,'Model Assumptions'!$C$95:$C$104,0),MATCH(DX$4,'Model Assumptions'!$C$95:$P$95,0))</f>
        <v>-100000</v>
      </c>
      <c r="DY210" s="150">
        <f>-INDEX(Costs,MATCH($D210,'Model Assumptions'!$C$95:$C$104,0),MATCH(DY$4,'Model Assumptions'!$C$95:$P$95,0))</f>
        <v>-100000</v>
      </c>
    </row>
    <row r="211" spans="1:129" outlineLevel="1">
      <c r="A211" s="6"/>
      <c r="C211" s="68" t="s">
        <v>119</v>
      </c>
      <c r="D211" s="56"/>
      <c r="E211" s="56"/>
      <c r="F211" s="56" t="s">
        <v>159</v>
      </c>
      <c r="G211" s="56"/>
      <c r="H211" s="56"/>
      <c r="I211" s="56"/>
      <c r="J211" s="111">
        <f>+J210</f>
        <v>-100000</v>
      </c>
      <c r="K211" s="111">
        <f t="shared" ref="K211:BV211" si="474">+K210</f>
        <v>-100000</v>
      </c>
      <c r="L211" s="111">
        <f t="shared" si="474"/>
        <v>-100000</v>
      </c>
      <c r="M211" s="111">
        <f t="shared" si="474"/>
        <v>-100000</v>
      </c>
      <c r="N211" s="111">
        <f t="shared" si="474"/>
        <v>-100000</v>
      </c>
      <c r="O211" s="111">
        <f t="shared" si="474"/>
        <v>-100000</v>
      </c>
      <c r="P211" s="111">
        <f t="shared" si="474"/>
        <v>-100000</v>
      </c>
      <c r="Q211" s="111">
        <f t="shared" si="474"/>
        <v>-100000</v>
      </c>
      <c r="R211" s="111">
        <f t="shared" si="474"/>
        <v>-100000</v>
      </c>
      <c r="S211" s="111">
        <f t="shared" si="474"/>
        <v>-100000</v>
      </c>
      <c r="T211" s="111">
        <f t="shared" si="474"/>
        <v>-100000</v>
      </c>
      <c r="U211" s="111">
        <f t="shared" si="474"/>
        <v>-100000</v>
      </c>
      <c r="V211" s="111">
        <f t="shared" si="474"/>
        <v>-100000</v>
      </c>
      <c r="W211" s="111">
        <f t="shared" si="474"/>
        <v>-100000</v>
      </c>
      <c r="X211" s="111">
        <f t="shared" si="474"/>
        <v>-100000</v>
      </c>
      <c r="Y211" s="111">
        <f t="shared" si="474"/>
        <v>-100000</v>
      </c>
      <c r="Z211" s="111">
        <f t="shared" si="474"/>
        <v>-100000</v>
      </c>
      <c r="AA211" s="111">
        <f t="shared" si="474"/>
        <v>-100000</v>
      </c>
      <c r="AB211" s="111">
        <f t="shared" si="474"/>
        <v>-100000</v>
      </c>
      <c r="AC211" s="111">
        <f t="shared" si="474"/>
        <v>-100000</v>
      </c>
      <c r="AD211" s="111">
        <f t="shared" si="474"/>
        <v>-100000</v>
      </c>
      <c r="AE211" s="111">
        <f t="shared" si="474"/>
        <v>-100000</v>
      </c>
      <c r="AF211" s="111">
        <f t="shared" si="474"/>
        <v>-100000</v>
      </c>
      <c r="AG211" s="111">
        <f t="shared" si="474"/>
        <v>-100000</v>
      </c>
      <c r="AH211" s="111">
        <f t="shared" si="474"/>
        <v>-100000</v>
      </c>
      <c r="AI211" s="111">
        <f t="shared" si="474"/>
        <v>-100000</v>
      </c>
      <c r="AJ211" s="111">
        <f t="shared" si="474"/>
        <v>-100000</v>
      </c>
      <c r="AK211" s="111">
        <f t="shared" si="474"/>
        <v>-100000</v>
      </c>
      <c r="AL211" s="111">
        <f t="shared" si="474"/>
        <v>-100000</v>
      </c>
      <c r="AM211" s="111">
        <f t="shared" si="474"/>
        <v>-100000</v>
      </c>
      <c r="AN211" s="111">
        <f t="shared" si="474"/>
        <v>-100000</v>
      </c>
      <c r="AO211" s="111">
        <f t="shared" si="474"/>
        <v>-100000</v>
      </c>
      <c r="AP211" s="111">
        <f t="shared" si="474"/>
        <v>-100000</v>
      </c>
      <c r="AQ211" s="111">
        <f t="shared" si="474"/>
        <v>-100000</v>
      </c>
      <c r="AR211" s="111">
        <f t="shared" si="474"/>
        <v>-100000</v>
      </c>
      <c r="AS211" s="111">
        <f t="shared" si="474"/>
        <v>-100000</v>
      </c>
      <c r="AT211" s="111">
        <f t="shared" si="474"/>
        <v>-100000</v>
      </c>
      <c r="AU211" s="111">
        <f t="shared" si="474"/>
        <v>-100000</v>
      </c>
      <c r="AV211" s="111">
        <f t="shared" si="474"/>
        <v>-100000</v>
      </c>
      <c r="AW211" s="111">
        <f t="shared" si="474"/>
        <v>-100000</v>
      </c>
      <c r="AX211" s="111">
        <f t="shared" si="474"/>
        <v>-100000</v>
      </c>
      <c r="AY211" s="111">
        <f t="shared" si="474"/>
        <v>-100000</v>
      </c>
      <c r="AZ211" s="111">
        <f t="shared" si="474"/>
        <v>-100000</v>
      </c>
      <c r="BA211" s="111">
        <f t="shared" si="474"/>
        <v>-100000</v>
      </c>
      <c r="BB211" s="111">
        <f t="shared" si="474"/>
        <v>-100000</v>
      </c>
      <c r="BC211" s="111">
        <f t="shared" si="474"/>
        <v>-100000</v>
      </c>
      <c r="BD211" s="111">
        <f t="shared" si="474"/>
        <v>-100000</v>
      </c>
      <c r="BE211" s="111">
        <f t="shared" si="474"/>
        <v>-100000</v>
      </c>
      <c r="BF211" s="111">
        <f t="shared" si="474"/>
        <v>-100000</v>
      </c>
      <c r="BG211" s="111">
        <f t="shared" si="474"/>
        <v>-100000</v>
      </c>
      <c r="BH211" s="111">
        <f t="shared" si="474"/>
        <v>-100000</v>
      </c>
      <c r="BI211" s="111">
        <f t="shared" si="474"/>
        <v>-100000</v>
      </c>
      <c r="BJ211" s="111">
        <f t="shared" si="474"/>
        <v>-100000</v>
      </c>
      <c r="BK211" s="111">
        <f t="shared" si="474"/>
        <v>-100000</v>
      </c>
      <c r="BL211" s="111">
        <f t="shared" si="474"/>
        <v>-100000</v>
      </c>
      <c r="BM211" s="111">
        <f t="shared" si="474"/>
        <v>-100000</v>
      </c>
      <c r="BN211" s="111">
        <f t="shared" si="474"/>
        <v>-100000</v>
      </c>
      <c r="BO211" s="111">
        <f t="shared" si="474"/>
        <v>-100000</v>
      </c>
      <c r="BP211" s="111">
        <f t="shared" si="474"/>
        <v>-100000</v>
      </c>
      <c r="BQ211" s="111">
        <f t="shared" si="474"/>
        <v>-100000</v>
      </c>
      <c r="BR211" s="111">
        <f>+BR210</f>
        <v>-100000</v>
      </c>
      <c r="BS211" s="111">
        <f t="shared" si="474"/>
        <v>-100000</v>
      </c>
      <c r="BT211" s="111">
        <f t="shared" si="474"/>
        <v>-100000</v>
      </c>
      <c r="BU211" s="111">
        <f t="shared" si="474"/>
        <v>-100000</v>
      </c>
      <c r="BV211" s="111">
        <f t="shared" si="474"/>
        <v>-100000</v>
      </c>
      <c r="BW211" s="111">
        <f t="shared" ref="BW211:CC211" si="475">+BW210</f>
        <v>-100000</v>
      </c>
      <c r="BX211" s="111">
        <f t="shared" si="475"/>
        <v>-100000</v>
      </c>
      <c r="BY211" s="111">
        <f t="shared" si="475"/>
        <v>-100000</v>
      </c>
      <c r="BZ211" s="111">
        <f t="shared" si="475"/>
        <v>-100000</v>
      </c>
      <c r="CA211" s="111">
        <f t="shared" si="475"/>
        <v>-100000</v>
      </c>
      <c r="CB211" s="111">
        <f t="shared" si="475"/>
        <v>-100000</v>
      </c>
      <c r="CC211" s="111">
        <f t="shared" si="475"/>
        <v>-100000</v>
      </c>
      <c r="CD211" s="111">
        <f t="shared" ref="CD211:DY211" si="476">+CD210</f>
        <v>-100000</v>
      </c>
      <c r="CE211" s="111">
        <f t="shared" si="476"/>
        <v>-100000</v>
      </c>
      <c r="CF211" s="111">
        <f t="shared" si="476"/>
        <v>-100000</v>
      </c>
      <c r="CG211" s="111">
        <f t="shared" si="476"/>
        <v>-100000</v>
      </c>
      <c r="CH211" s="111">
        <f t="shared" si="476"/>
        <v>-100000</v>
      </c>
      <c r="CI211" s="111">
        <f t="shared" si="476"/>
        <v>-100000</v>
      </c>
      <c r="CJ211" s="111">
        <f t="shared" si="476"/>
        <v>-100000</v>
      </c>
      <c r="CK211" s="111">
        <f t="shared" si="476"/>
        <v>-100000</v>
      </c>
      <c r="CL211" s="111">
        <f t="shared" si="476"/>
        <v>-100000</v>
      </c>
      <c r="CM211" s="111">
        <f t="shared" si="476"/>
        <v>-100000</v>
      </c>
      <c r="CN211" s="111">
        <f t="shared" si="476"/>
        <v>-100000</v>
      </c>
      <c r="CO211" s="111">
        <f t="shared" si="476"/>
        <v>-100000</v>
      </c>
      <c r="CP211" s="111">
        <f t="shared" si="476"/>
        <v>-100000</v>
      </c>
      <c r="CQ211" s="111">
        <f t="shared" si="476"/>
        <v>-100000</v>
      </c>
      <c r="CR211" s="111">
        <f t="shared" si="476"/>
        <v>-100000</v>
      </c>
      <c r="CS211" s="111">
        <f t="shared" si="476"/>
        <v>-100000</v>
      </c>
      <c r="CT211" s="111">
        <f t="shared" si="476"/>
        <v>-100000</v>
      </c>
      <c r="CU211" s="111">
        <f t="shared" si="476"/>
        <v>-100000</v>
      </c>
      <c r="CV211" s="111">
        <f t="shared" si="476"/>
        <v>-100000</v>
      </c>
      <c r="CW211" s="111">
        <f t="shared" si="476"/>
        <v>-100000</v>
      </c>
      <c r="CX211" s="111">
        <f t="shared" si="476"/>
        <v>-100000</v>
      </c>
      <c r="CY211" s="111">
        <f t="shared" si="476"/>
        <v>-100000</v>
      </c>
      <c r="CZ211" s="111">
        <f t="shared" si="476"/>
        <v>-100000</v>
      </c>
      <c r="DA211" s="111">
        <f t="shared" si="476"/>
        <v>-100000</v>
      </c>
      <c r="DB211" s="111">
        <f t="shared" si="476"/>
        <v>-100000</v>
      </c>
      <c r="DC211" s="111">
        <f t="shared" si="476"/>
        <v>-100000</v>
      </c>
      <c r="DD211" s="111">
        <f t="shared" si="476"/>
        <v>-100000</v>
      </c>
      <c r="DE211" s="111">
        <f t="shared" si="476"/>
        <v>-100000</v>
      </c>
      <c r="DF211" s="111">
        <f t="shared" si="476"/>
        <v>-100000</v>
      </c>
      <c r="DG211" s="111">
        <f t="shared" si="476"/>
        <v>-100000</v>
      </c>
      <c r="DH211" s="111">
        <f t="shared" si="476"/>
        <v>-100000</v>
      </c>
      <c r="DI211" s="111">
        <f t="shared" si="476"/>
        <v>-100000</v>
      </c>
      <c r="DJ211" s="111">
        <f t="shared" si="476"/>
        <v>-100000</v>
      </c>
      <c r="DK211" s="111">
        <f t="shared" si="476"/>
        <v>-100000</v>
      </c>
      <c r="DL211" s="111">
        <f t="shared" si="476"/>
        <v>-100000</v>
      </c>
      <c r="DM211" s="111">
        <f t="shared" si="476"/>
        <v>-100000</v>
      </c>
      <c r="DN211" s="111">
        <f t="shared" si="476"/>
        <v>-100000</v>
      </c>
      <c r="DO211" s="111">
        <f t="shared" si="476"/>
        <v>-100000</v>
      </c>
      <c r="DP211" s="111">
        <f t="shared" si="476"/>
        <v>-100000</v>
      </c>
      <c r="DQ211" s="111">
        <f t="shared" si="476"/>
        <v>-100000</v>
      </c>
      <c r="DR211" s="111">
        <f t="shared" si="476"/>
        <v>-100000</v>
      </c>
      <c r="DS211" s="111">
        <f t="shared" si="476"/>
        <v>-100000</v>
      </c>
      <c r="DT211" s="111">
        <f t="shared" si="476"/>
        <v>-100000</v>
      </c>
      <c r="DU211" s="111">
        <f t="shared" si="476"/>
        <v>-100000</v>
      </c>
      <c r="DV211" s="111">
        <f t="shared" si="476"/>
        <v>-100000</v>
      </c>
      <c r="DW211" s="111">
        <f t="shared" si="476"/>
        <v>-100000</v>
      </c>
      <c r="DX211" s="111">
        <f t="shared" si="476"/>
        <v>-100000</v>
      </c>
      <c r="DY211" s="111">
        <f t="shared" si="476"/>
        <v>-100000</v>
      </c>
    </row>
    <row r="212" spans="1:129" outlineLevel="1">
      <c r="A212" s="6"/>
      <c r="J212" s="91"/>
      <c r="K212" s="91"/>
      <c r="L212" s="91"/>
      <c r="M212" s="91"/>
      <c r="N212" s="91"/>
      <c r="O212" s="35"/>
      <c r="P212" s="91"/>
      <c r="Q212" s="91"/>
      <c r="R212" s="35"/>
      <c r="S212" s="35"/>
      <c r="T212" s="35"/>
      <c r="U212" s="35"/>
      <c r="V212" s="35"/>
      <c r="W212" s="35"/>
      <c r="X212" s="99"/>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row>
    <row r="213" spans="1:129" outlineLevel="1">
      <c r="A213" s="6"/>
      <c r="C213" s="37" t="s">
        <v>120</v>
      </c>
      <c r="J213" s="91"/>
      <c r="K213" s="91"/>
      <c r="L213" s="91"/>
      <c r="M213" s="91"/>
      <c r="N213" s="91"/>
      <c r="O213" s="35"/>
      <c r="P213" s="91"/>
      <c r="Q213" s="91"/>
      <c r="R213" s="35"/>
      <c r="S213" s="35"/>
      <c r="T213" s="35"/>
      <c r="U213" s="35"/>
      <c r="V213" s="35"/>
      <c r="W213" s="35"/>
      <c r="X213" s="99"/>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row>
    <row r="214" spans="1:129" outlineLevel="1">
      <c r="C214" s="5" t="s">
        <v>5</v>
      </c>
      <c r="D214" s="5" t="s">
        <v>90</v>
      </c>
      <c r="F214" s="5" t="s">
        <v>155</v>
      </c>
      <c r="J214" s="431">
        <f>+Financing!J8</f>
        <v>5000000</v>
      </c>
      <c r="K214" s="431">
        <f>+Financing!K8</f>
        <v>0</v>
      </c>
      <c r="L214" s="431">
        <f>+Financing!L8</f>
        <v>0</v>
      </c>
      <c r="M214" s="431">
        <f>+Financing!M8</f>
        <v>0</v>
      </c>
      <c r="N214" s="431">
        <f>+Financing!N8</f>
        <v>0</v>
      </c>
      <c r="O214" s="431">
        <f>+Financing!O8</f>
        <v>0</v>
      </c>
      <c r="P214" s="431">
        <f>+Financing!P8</f>
        <v>0</v>
      </c>
      <c r="Q214" s="431">
        <f>+Financing!Q8</f>
        <v>0</v>
      </c>
      <c r="R214" s="431">
        <f>+Financing!R8</f>
        <v>0</v>
      </c>
      <c r="S214" s="431">
        <f>+Financing!S8</f>
        <v>0</v>
      </c>
      <c r="T214" s="431">
        <f>+Financing!T8</f>
        <v>0</v>
      </c>
      <c r="U214" s="431">
        <f>+Financing!U8</f>
        <v>0</v>
      </c>
      <c r="V214" s="431">
        <f>+Financing!V8</f>
        <v>0</v>
      </c>
      <c r="W214" s="431">
        <f>+Financing!W8</f>
        <v>0</v>
      </c>
      <c r="X214" s="431">
        <f>+Financing!X8</f>
        <v>0</v>
      </c>
      <c r="Y214" s="431">
        <f>+Financing!Y8</f>
        <v>0</v>
      </c>
      <c r="Z214" s="431">
        <f>+Financing!Z8</f>
        <v>0</v>
      </c>
      <c r="AA214" s="431">
        <f>+Financing!AA8</f>
        <v>0</v>
      </c>
      <c r="AB214" s="431">
        <f>+Financing!AB8</f>
        <v>0</v>
      </c>
      <c r="AC214" s="431">
        <f>+Financing!AC8</f>
        <v>0</v>
      </c>
      <c r="AD214" s="431">
        <f>+Financing!AD8</f>
        <v>0</v>
      </c>
      <c r="AE214" s="431">
        <f>+Financing!AE8</f>
        <v>0</v>
      </c>
      <c r="AF214" s="431">
        <f>+Financing!AF8</f>
        <v>0</v>
      </c>
      <c r="AG214" s="431">
        <f>+Financing!AG8</f>
        <v>0</v>
      </c>
      <c r="AH214" s="431">
        <f>+Financing!AH8</f>
        <v>10000000</v>
      </c>
      <c r="AI214" s="431">
        <f>+Financing!AI8</f>
        <v>0</v>
      </c>
      <c r="AJ214" s="431">
        <f>+Financing!AJ8</f>
        <v>0</v>
      </c>
      <c r="AK214" s="431">
        <f>+Financing!AK8</f>
        <v>0</v>
      </c>
      <c r="AL214" s="431">
        <f>+Financing!AL8</f>
        <v>0</v>
      </c>
      <c r="AM214" s="431">
        <f>+Financing!AM8</f>
        <v>0</v>
      </c>
      <c r="AN214" s="431">
        <f>+Financing!AN8</f>
        <v>0</v>
      </c>
      <c r="AO214" s="431">
        <f>+Financing!AO8</f>
        <v>0</v>
      </c>
      <c r="AP214" s="431">
        <f>+Financing!AP8</f>
        <v>0</v>
      </c>
      <c r="AQ214" s="431">
        <f>+Financing!AQ8</f>
        <v>0</v>
      </c>
      <c r="AR214" s="431">
        <f>+Financing!AR8</f>
        <v>0</v>
      </c>
      <c r="AS214" s="431">
        <f>+Financing!AS8</f>
        <v>0</v>
      </c>
      <c r="AT214" s="431">
        <f>+Financing!AT8</f>
        <v>0</v>
      </c>
      <c r="AU214" s="431">
        <f>+Financing!AU8</f>
        <v>0</v>
      </c>
      <c r="AV214" s="431">
        <f>+Financing!AV8</f>
        <v>0</v>
      </c>
      <c r="AW214" s="431">
        <f>+Financing!AW8</f>
        <v>0</v>
      </c>
      <c r="AX214" s="431">
        <f>+Financing!AX8</f>
        <v>0</v>
      </c>
      <c r="AY214" s="431">
        <f>+Financing!AY8</f>
        <v>0</v>
      </c>
      <c r="AZ214" s="431">
        <f>+Financing!AZ8</f>
        <v>0</v>
      </c>
      <c r="BA214" s="431">
        <f>+Financing!BA8</f>
        <v>0</v>
      </c>
      <c r="BB214" s="431">
        <f>+Financing!BB8</f>
        <v>0</v>
      </c>
      <c r="BC214" s="431">
        <f>+Financing!BC8</f>
        <v>0</v>
      </c>
      <c r="BD214" s="431">
        <f>+Financing!BD8</f>
        <v>0</v>
      </c>
      <c r="BE214" s="431">
        <f>+Financing!BE8</f>
        <v>0</v>
      </c>
      <c r="BF214" s="431">
        <f>+Financing!BF8</f>
        <v>0</v>
      </c>
      <c r="BG214" s="431">
        <f>+Financing!BG8</f>
        <v>0</v>
      </c>
      <c r="BH214" s="431">
        <f>+Financing!BH8</f>
        <v>0</v>
      </c>
      <c r="BI214" s="431">
        <f>+Financing!BI8</f>
        <v>0</v>
      </c>
      <c r="BJ214" s="431">
        <f>+Financing!BJ8</f>
        <v>0</v>
      </c>
      <c r="BK214" s="431">
        <f>+Financing!BK8</f>
        <v>0</v>
      </c>
      <c r="BL214" s="431">
        <f>+Financing!BL8</f>
        <v>0</v>
      </c>
      <c r="BM214" s="431">
        <f>+Financing!BM8</f>
        <v>0</v>
      </c>
      <c r="BN214" s="431">
        <f>+Financing!BN8</f>
        <v>0</v>
      </c>
      <c r="BO214" s="431">
        <f>+Financing!BO8</f>
        <v>0</v>
      </c>
      <c r="BP214" s="431">
        <f>+Financing!BP8</f>
        <v>0</v>
      </c>
      <c r="BQ214" s="431">
        <f>+Financing!BQ8</f>
        <v>0</v>
      </c>
      <c r="BR214" s="431">
        <f>+Financing!BR8</f>
        <v>0</v>
      </c>
      <c r="BS214" s="431">
        <f>+Financing!BS8</f>
        <v>0</v>
      </c>
      <c r="BT214" s="431">
        <f>+Financing!BT8</f>
        <v>0</v>
      </c>
      <c r="BU214" s="431">
        <f>+Financing!BU8</f>
        <v>0</v>
      </c>
      <c r="BV214" s="431">
        <f>+Financing!BV8</f>
        <v>0</v>
      </c>
      <c r="BW214" s="431">
        <f>+Financing!BW8</f>
        <v>0</v>
      </c>
      <c r="BX214" s="431">
        <f>+Financing!BX8</f>
        <v>0</v>
      </c>
      <c r="BY214" s="431">
        <f>+Financing!BY8</f>
        <v>0</v>
      </c>
      <c r="BZ214" s="431">
        <f>+Financing!BZ8</f>
        <v>0</v>
      </c>
      <c r="CA214" s="431">
        <f>+Financing!CA8</f>
        <v>0</v>
      </c>
      <c r="CB214" s="431">
        <f>+Financing!CB8</f>
        <v>0</v>
      </c>
      <c r="CC214" s="431">
        <f>+Financing!CC8</f>
        <v>0</v>
      </c>
      <c r="CD214" s="431">
        <f>+Financing!CD8</f>
        <v>0</v>
      </c>
      <c r="CE214" s="431">
        <f>+Financing!CE8</f>
        <v>0</v>
      </c>
      <c r="CF214" s="431">
        <f>+Financing!CF8</f>
        <v>0</v>
      </c>
      <c r="CG214" s="431">
        <f>+Financing!CG8</f>
        <v>0</v>
      </c>
      <c r="CH214" s="431">
        <f>+Financing!CH8</f>
        <v>0</v>
      </c>
      <c r="CI214" s="431">
        <f>+Financing!CI8</f>
        <v>0</v>
      </c>
      <c r="CJ214" s="431">
        <f>+Financing!CJ8</f>
        <v>0</v>
      </c>
      <c r="CK214" s="431">
        <f>+Financing!CK8</f>
        <v>0</v>
      </c>
      <c r="CL214" s="431">
        <f>+Financing!CL8</f>
        <v>0</v>
      </c>
      <c r="CM214" s="431">
        <f>+Financing!CM8</f>
        <v>0</v>
      </c>
      <c r="CN214" s="431">
        <f>+Financing!CN8</f>
        <v>0</v>
      </c>
      <c r="CO214" s="431">
        <f>+Financing!CO8</f>
        <v>0</v>
      </c>
      <c r="CP214" s="431">
        <f>+Financing!CP8</f>
        <v>0</v>
      </c>
      <c r="CQ214" s="431">
        <f>+Financing!CQ8</f>
        <v>0</v>
      </c>
      <c r="CR214" s="431">
        <f>+Financing!CR8</f>
        <v>0</v>
      </c>
      <c r="CS214" s="431">
        <f>+Financing!CS8</f>
        <v>0</v>
      </c>
      <c r="CT214" s="431">
        <f>+Financing!CT8</f>
        <v>0</v>
      </c>
      <c r="CU214" s="431">
        <f>+Financing!CU8</f>
        <v>0</v>
      </c>
      <c r="CV214" s="431">
        <f>+Financing!CV8</f>
        <v>0</v>
      </c>
      <c r="CW214" s="431">
        <f>+Financing!CW8</f>
        <v>0</v>
      </c>
      <c r="CX214" s="431">
        <f>+Financing!CX8</f>
        <v>0</v>
      </c>
      <c r="CY214" s="431">
        <f>+Financing!CY8</f>
        <v>0</v>
      </c>
      <c r="CZ214" s="431">
        <f>+Financing!CZ8</f>
        <v>0</v>
      </c>
      <c r="DA214" s="431">
        <f>+Financing!DA8</f>
        <v>0</v>
      </c>
      <c r="DB214" s="431">
        <f>+Financing!DB8</f>
        <v>0</v>
      </c>
      <c r="DC214" s="431">
        <f>+Financing!DC8</f>
        <v>0</v>
      </c>
      <c r="DD214" s="431">
        <f>+Financing!DD8</f>
        <v>0</v>
      </c>
      <c r="DE214" s="431">
        <f>+Financing!DE8</f>
        <v>0</v>
      </c>
      <c r="DF214" s="431">
        <f>+Financing!DF8</f>
        <v>0</v>
      </c>
      <c r="DG214" s="431">
        <f>+Financing!DG8</f>
        <v>0</v>
      </c>
      <c r="DH214" s="431">
        <f>+Financing!DH8</f>
        <v>0</v>
      </c>
      <c r="DI214" s="431">
        <f>+Financing!DI8</f>
        <v>0</v>
      </c>
      <c r="DJ214" s="431">
        <f>+Financing!DJ8</f>
        <v>0</v>
      </c>
      <c r="DK214" s="431">
        <f>+Financing!DK8</f>
        <v>0</v>
      </c>
      <c r="DL214" s="431">
        <f>+Financing!DL8</f>
        <v>0</v>
      </c>
      <c r="DM214" s="431">
        <f>+Financing!DM8</f>
        <v>0</v>
      </c>
      <c r="DN214" s="431">
        <f>+Financing!DN8</f>
        <v>0</v>
      </c>
      <c r="DO214" s="431">
        <f>+Financing!DO8</f>
        <v>0</v>
      </c>
      <c r="DP214" s="431">
        <f>+Financing!DP8</f>
        <v>0</v>
      </c>
      <c r="DQ214" s="431">
        <f>+Financing!DQ8</f>
        <v>0</v>
      </c>
      <c r="DR214" s="431">
        <f>+Financing!DR8</f>
        <v>0</v>
      </c>
      <c r="DS214" s="431">
        <f>+Financing!DS8</f>
        <v>0</v>
      </c>
      <c r="DT214" s="431">
        <f>+Financing!DT8</f>
        <v>0</v>
      </c>
      <c r="DU214" s="431">
        <f>+Financing!DU8</f>
        <v>0</v>
      </c>
      <c r="DV214" s="431">
        <f>+Financing!DV8</f>
        <v>0</v>
      </c>
      <c r="DW214" s="431">
        <f>+Financing!DW8</f>
        <v>0</v>
      </c>
      <c r="DX214" s="431">
        <f>+Financing!DX8</f>
        <v>0</v>
      </c>
      <c r="DY214" s="431">
        <f>+Financing!DY8</f>
        <v>0</v>
      </c>
    </row>
    <row r="215" spans="1:129" outlineLevel="1">
      <c r="C215" s="5" t="s">
        <v>5</v>
      </c>
      <c r="D215" s="5" t="s">
        <v>91</v>
      </c>
      <c r="F215" s="5" t="s">
        <v>156</v>
      </c>
      <c r="J215" s="438">
        <f>+Financing!J10</f>
        <v>10000000</v>
      </c>
      <c r="K215" s="438">
        <f>+Financing!K10</f>
        <v>0</v>
      </c>
      <c r="L215" s="438">
        <f>+Financing!L10</f>
        <v>0</v>
      </c>
      <c r="M215" s="438">
        <f>+Financing!M10</f>
        <v>0</v>
      </c>
      <c r="N215" s="438">
        <f>+Financing!N10</f>
        <v>0</v>
      </c>
      <c r="O215" s="438">
        <f>+Financing!O10</f>
        <v>0</v>
      </c>
      <c r="P215" s="438">
        <f>+Financing!P10</f>
        <v>0</v>
      </c>
      <c r="Q215" s="438">
        <f>+Financing!Q10</f>
        <v>0</v>
      </c>
      <c r="R215" s="438">
        <f>+Financing!R10</f>
        <v>0</v>
      </c>
      <c r="S215" s="438">
        <f>+Financing!S10</f>
        <v>0</v>
      </c>
      <c r="T215" s="438">
        <f>+Financing!T10</f>
        <v>0</v>
      </c>
      <c r="U215" s="438">
        <f>+Financing!U10</f>
        <v>0</v>
      </c>
      <c r="V215" s="438">
        <f>+Financing!V10</f>
        <v>0</v>
      </c>
      <c r="W215" s="438">
        <f>+Financing!W10</f>
        <v>0</v>
      </c>
      <c r="X215" s="438">
        <f>+Financing!X10</f>
        <v>0</v>
      </c>
      <c r="Y215" s="438">
        <f>+Financing!Y10</f>
        <v>0</v>
      </c>
      <c r="Z215" s="438">
        <f>+Financing!Z10</f>
        <v>0</v>
      </c>
      <c r="AA215" s="438">
        <f>+Financing!AA10</f>
        <v>0</v>
      </c>
      <c r="AB215" s="438">
        <f>+Financing!AB10</f>
        <v>0</v>
      </c>
      <c r="AC215" s="438">
        <f>+Financing!AC10</f>
        <v>0</v>
      </c>
      <c r="AD215" s="438">
        <f>+Financing!AD10</f>
        <v>0</v>
      </c>
      <c r="AE215" s="438">
        <f>+Financing!AE10</f>
        <v>0</v>
      </c>
      <c r="AF215" s="438">
        <f>+Financing!AF10</f>
        <v>0</v>
      </c>
      <c r="AG215" s="438">
        <f>+Financing!AG10</f>
        <v>0</v>
      </c>
      <c r="AH215" s="438">
        <f>+Financing!AH10</f>
        <v>25000000</v>
      </c>
      <c r="AI215" s="438">
        <f>+Financing!AI10</f>
        <v>0</v>
      </c>
      <c r="AJ215" s="438">
        <f>+Financing!AJ10</f>
        <v>0</v>
      </c>
      <c r="AK215" s="438">
        <f>+Financing!AK10</f>
        <v>0</v>
      </c>
      <c r="AL215" s="438">
        <f>+Financing!AL10</f>
        <v>0</v>
      </c>
      <c r="AM215" s="438">
        <f>+Financing!AM10</f>
        <v>0</v>
      </c>
      <c r="AN215" s="438">
        <f>+Financing!AN10</f>
        <v>0</v>
      </c>
      <c r="AO215" s="438">
        <f>+Financing!AO10</f>
        <v>0</v>
      </c>
      <c r="AP215" s="438">
        <f>+Financing!AP10</f>
        <v>0</v>
      </c>
      <c r="AQ215" s="438">
        <f>+Financing!AQ10</f>
        <v>0</v>
      </c>
      <c r="AR215" s="438">
        <f>+Financing!AR10</f>
        <v>0</v>
      </c>
      <c r="AS215" s="438">
        <f>+Financing!AS10</f>
        <v>0</v>
      </c>
      <c r="AT215" s="438">
        <f>+Financing!AT10</f>
        <v>0</v>
      </c>
      <c r="AU215" s="438">
        <f>+Financing!AU10</f>
        <v>0</v>
      </c>
      <c r="AV215" s="438">
        <f>+Financing!AV10</f>
        <v>0</v>
      </c>
      <c r="AW215" s="438">
        <f>+Financing!AW10</f>
        <v>0</v>
      </c>
      <c r="AX215" s="438">
        <f>+Financing!AX10</f>
        <v>0</v>
      </c>
      <c r="AY215" s="438">
        <f>+Financing!AY10</f>
        <v>0</v>
      </c>
      <c r="AZ215" s="438">
        <f>+Financing!AZ10</f>
        <v>0</v>
      </c>
      <c r="BA215" s="438">
        <f>+Financing!BA10</f>
        <v>0</v>
      </c>
      <c r="BB215" s="438">
        <f>+Financing!BB10</f>
        <v>0</v>
      </c>
      <c r="BC215" s="438">
        <f>+Financing!BC10</f>
        <v>0</v>
      </c>
      <c r="BD215" s="438">
        <f>+Financing!BD10</f>
        <v>0</v>
      </c>
      <c r="BE215" s="438">
        <f>+Financing!BE10</f>
        <v>0</v>
      </c>
      <c r="BF215" s="438">
        <f>+Financing!BF10</f>
        <v>12000000</v>
      </c>
      <c r="BG215" s="438">
        <f>+Financing!BG10</f>
        <v>0</v>
      </c>
      <c r="BH215" s="438">
        <f>+Financing!BH10</f>
        <v>0</v>
      </c>
      <c r="BI215" s="438">
        <f>+Financing!BI10</f>
        <v>0</v>
      </c>
      <c r="BJ215" s="438">
        <f>+Financing!BJ10</f>
        <v>0</v>
      </c>
      <c r="BK215" s="438">
        <f>+Financing!BK10</f>
        <v>0</v>
      </c>
      <c r="BL215" s="438">
        <f>+Financing!BL10</f>
        <v>0</v>
      </c>
      <c r="BM215" s="438">
        <f>+Financing!BM10</f>
        <v>0</v>
      </c>
      <c r="BN215" s="438">
        <f>+Financing!BN10</f>
        <v>0</v>
      </c>
      <c r="BO215" s="438">
        <f>+Financing!BO10</f>
        <v>0</v>
      </c>
      <c r="BP215" s="438">
        <f>+Financing!BP10</f>
        <v>0</v>
      </c>
      <c r="BQ215" s="438">
        <f>+Financing!BQ10</f>
        <v>0</v>
      </c>
      <c r="BR215" s="438">
        <f>+Financing!BR10</f>
        <v>10000000</v>
      </c>
      <c r="BS215" s="438">
        <f>+Financing!BS10</f>
        <v>0</v>
      </c>
      <c r="BT215" s="438">
        <f>+Financing!BT10</f>
        <v>0</v>
      </c>
      <c r="BU215" s="438">
        <f>+Financing!BU10</f>
        <v>0</v>
      </c>
      <c r="BV215" s="438">
        <f>+Financing!BV10</f>
        <v>0</v>
      </c>
      <c r="BW215" s="438">
        <f>+Financing!BW10</f>
        <v>0</v>
      </c>
      <c r="BX215" s="438">
        <f>+Financing!BX10</f>
        <v>0</v>
      </c>
      <c r="BY215" s="438">
        <f>+Financing!BY10</f>
        <v>0</v>
      </c>
      <c r="BZ215" s="438">
        <f>+Financing!BZ10</f>
        <v>0</v>
      </c>
      <c r="CA215" s="438">
        <f>+Financing!CA10</f>
        <v>0</v>
      </c>
      <c r="CB215" s="438">
        <f>+Financing!CB10</f>
        <v>0</v>
      </c>
      <c r="CC215" s="438">
        <f>+Financing!CC10</f>
        <v>0</v>
      </c>
      <c r="CD215" s="438">
        <f>+Financing!CD10</f>
        <v>10000000</v>
      </c>
      <c r="CE215" s="438">
        <f>+Financing!CE10</f>
        <v>0</v>
      </c>
      <c r="CF215" s="438">
        <f>+Financing!CF10</f>
        <v>0</v>
      </c>
      <c r="CG215" s="438">
        <f>+Financing!CG10</f>
        <v>0</v>
      </c>
      <c r="CH215" s="438">
        <f>+Financing!CH10</f>
        <v>0</v>
      </c>
      <c r="CI215" s="438">
        <f>+Financing!CI10</f>
        <v>0</v>
      </c>
      <c r="CJ215" s="438">
        <f>+Financing!CJ10</f>
        <v>0</v>
      </c>
      <c r="CK215" s="438">
        <f>+Financing!CK10</f>
        <v>0</v>
      </c>
      <c r="CL215" s="438">
        <f>+Financing!CL10</f>
        <v>0</v>
      </c>
      <c r="CM215" s="438">
        <f>+Financing!CM10</f>
        <v>0</v>
      </c>
      <c r="CN215" s="438">
        <f>+Financing!CN10</f>
        <v>0</v>
      </c>
      <c r="CO215" s="438">
        <f>+Financing!CO10</f>
        <v>0</v>
      </c>
      <c r="CP215" s="438">
        <f>+Financing!CP10</f>
        <v>10000000</v>
      </c>
      <c r="CQ215" s="438">
        <f>+Financing!CQ10</f>
        <v>0</v>
      </c>
      <c r="CR215" s="438">
        <f>+Financing!CR10</f>
        <v>0</v>
      </c>
      <c r="CS215" s="438">
        <f>+Financing!CS10</f>
        <v>0</v>
      </c>
      <c r="CT215" s="438">
        <f>+Financing!CT10</f>
        <v>0</v>
      </c>
      <c r="CU215" s="438">
        <f>+Financing!CU10</f>
        <v>0</v>
      </c>
      <c r="CV215" s="438">
        <f>+Financing!CV10</f>
        <v>0</v>
      </c>
      <c r="CW215" s="438">
        <f>+Financing!CW10</f>
        <v>0</v>
      </c>
      <c r="CX215" s="438">
        <f>+Financing!CX10</f>
        <v>0</v>
      </c>
      <c r="CY215" s="438">
        <f>+Financing!CY10</f>
        <v>0</v>
      </c>
      <c r="CZ215" s="438">
        <f>+Financing!CZ10</f>
        <v>0</v>
      </c>
      <c r="DA215" s="438">
        <f>+Financing!DA10</f>
        <v>0</v>
      </c>
      <c r="DB215" s="438">
        <f>+Financing!DB10</f>
        <v>10000000</v>
      </c>
      <c r="DC215" s="438">
        <f>+Financing!DC10</f>
        <v>0</v>
      </c>
      <c r="DD215" s="438">
        <f>+Financing!DD10</f>
        <v>0</v>
      </c>
      <c r="DE215" s="438">
        <f>+Financing!DE10</f>
        <v>0</v>
      </c>
      <c r="DF215" s="438">
        <f>+Financing!DF10</f>
        <v>0</v>
      </c>
      <c r="DG215" s="438">
        <f>+Financing!DG10</f>
        <v>0</v>
      </c>
      <c r="DH215" s="438">
        <f>+Financing!DH10</f>
        <v>0</v>
      </c>
      <c r="DI215" s="438">
        <f>+Financing!DI10</f>
        <v>0</v>
      </c>
      <c r="DJ215" s="438">
        <f>+Financing!DJ10</f>
        <v>0</v>
      </c>
      <c r="DK215" s="438">
        <f>+Financing!DK10</f>
        <v>0</v>
      </c>
      <c r="DL215" s="438">
        <f>+Financing!DL10</f>
        <v>0</v>
      </c>
      <c r="DM215" s="438">
        <f>+Financing!DM10</f>
        <v>0</v>
      </c>
      <c r="DN215" s="438">
        <f>+Financing!DN10</f>
        <v>13000000</v>
      </c>
      <c r="DO215" s="438">
        <f>+Financing!DO10</f>
        <v>0</v>
      </c>
      <c r="DP215" s="438">
        <f>+Financing!DP10</f>
        <v>0</v>
      </c>
      <c r="DQ215" s="438">
        <f>+Financing!DQ10</f>
        <v>0</v>
      </c>
      <c r="DR215" s="438">
        <f>+Financing!DR10</f>
        <v>0</v>
      </c>
      <c r="DS215" s="438">
        <f>+Financing!DS10</f>
        <v>0</v>
      </c>
      <c r="DT215" s="438">
        <f>+Financing!DT10</f>
        <v>0</v>
      </c>
      <c r="DU215" s="438">
        <f>+Financing!DU10</f>
        <v>0</v>
      </c>
      <c r="DV215" s="438">
        <f>+Financing!DV10</f>
        <v>0</v>
      </c>
      <c r="DW215" s="438">
        <f>+Financing!DW10</f>
        <v>0</v>
      </c>
      <c r="DX215" s="438">
        <f>+Financing!DX10</f>
        <v>0</v>
      </c>
      <c r="DY215" s="438">
        <f>+Financing!DY10</f>
        <v>0</v>
      </c>
    </row>
    <row r="216" spans="1:129" s="133" customFormat="1" outlineLevel="1">
      <c r="A216" s="36"/>
      <c r="B216" s="36"/>
      <c r="C216" s="5" t="s">
        <v>6</v>
      </c>
      <c r="D216" s="82" t="s">
        <v>92</v>
      </c>
      <c r="E216" s="36"/>
      <c r="F216" s="5" t="s">
        <v>157</v>
      </c>
      <c r="G216" s="36"/>
      <c r="H216" s="36"/>
      <c r="I216" s="36"/>
      <c r="J216" s="438">
        <f>Financing!J11</f>
        <v>0</v>
      </c>
      <c r="K216" s="438">
        <f>Financing!K11</f>
        <v>0</v>
      </c>
      <c r="L216" s="438">
        <f>Financing!L11</f>
        <v>0</v>
      </c>
      <c r="M216" s="438">
        <f>Financing!M11</f>
        <v>0</v>
      </c>
      <c r="N216" s="438">
        <f>Financing!N11</f>
        <v>0</v>
      </c>
      <c r="O216" s="438">
        <f>Financing!O11</f>
        <v>0</v>
      </c>
      <c r="P216" s="438">
        <f>Financing!P11</f>
        <v>0</v>
      </c>
      <c r="Q216" s="438">
        <f>Financing!Q11</f>
        <v>0</v>
      </c>
      <c r="R216" s="438">
        <f>Financing!R11</f>
        <v>0</v>
      </c>
      <c r="S216" s="438">
        <f>Financing!S11</f>
        <v>0</v>
      </c>
      <c r="T216" s="438">
        <f>Financing!T11</f>
        <v>0</v>
      </c>
      <c r="U216" s="438">
        <f>Financing!U11</f>
        <v>0</v>
      </c>
      <c r="V216" s="438">
        <f>Financing!V11</f>
        <v>-416666.66666666663</v>
      </c>
      <c r="W216" s="438">
        <f>Financing!W11</f>
        <v>-416666.66666666663</v>
      </c>
      <c r="X216" s="438">
        <f>Financing!X11</f>
        <v>-416666.66666666663</v>
      </c>
      <c r="Y216" s="438">
        <f>Financing!Y11</f>
        <v>-416666.66666666663</v>
      </c>
      <c r="Z216" s="438">
        <f>Financing!Z11</f>
        <v>-416666.66666666663</v>
      </c>
      <c r="AA216" s="438">
        <f>Financing!AA11</f>
        <v>-416666.66666666663</v>
      </c>
      <c r="AB216" s="438">
        <f>Financing!AB11</f>
        <v>-416666.66666666663</v>
      </c>
      <c r="AC216" s="438">
        <f>Financing!AC11</f>
        <v>-416666.66666666663</v>
      </c>
      <c r="AD216" s="438">
        <f>Financing!AD11</f>
        <v>-416666.66666666663</v>
      </c>
      <c r="AE216" s="438">
        <f>Financing!AE11</f>
        <v>-416666.66666666663</v>
      </c>
      <c r="AF216" s="438">
        <f>Financing!AF11</f>
        <v>-416666.66666666663</v>
      </c>
      <c r="AG216" s="438">
        <f>Financing!AG11</f>
        <v>-416666.66666666663</v>
      </c>
      <c r="AH216" s="438">
        <f>Financing!AH11</f>
        <v>-416666.66666666663</v>
      </c>
      <c r="AI216" s="438">
        <f>Financing!AI11</f>
        <v>-416666.66666666663</v>
      </c>
      <c r="AJ216" s="438">
        <f>Financing!AJ11</f>
        <v>-416666.66666666663</v>
      </c>
      <c r="AK216" s="438">
        <f>Financing!AK11</f>
        <v>-416666.66666666663</v>
      </c>
      <c r="AL216" s="438">
        <f>Financing!AL11</f>
        <v>-416666.66666666663</v>
      </c>
      <c r="AM216" s="438">
        <f>Financing!AM11</f>
        <v>-416666.66666666663</v>
      </c>
      <c r="AN216" s="438">
        <f>Financing!AN11</f>
        <v>-879629.62962962966</v>
      </c>
      <c r="AO216" s="438">
        <f>Financing!AO11</f>
        <v>-879629.62962962966</v>
      </c>
      <c r="AP216" s="438">
        <f>Financing!AP11</f>
        <v>-879629.62962962966</v>
      </c>
      <c r="AQ216" s="438">
        <f>Financing!AQ11</f>
        <v>-879629.62962962966</v>
      </c>
      <c r="AR216" s="438">
        <f>Financing!AR11</f>
        <v>-879629.62962962966</v>
      </c>
      <c r="AS216" s="438">
        <f>Financing!AS11</f>
        <v>-879629.62962962966</v>
      </c>
      <c r="AT216" s="438">
        <f>Financing!AT11</f>
        <v>-462962.96296296298</v>
      </c>
      <c r="AU216" s="438">
        <f>Financing!AU11</f>
        <v>-462962.96296296298</v>
      </c>
      <c r="AV216" s="438">
        <f>Financing!AV11</f>
        <v>-462962.96296296298</v>
      </c>
      <c r="AW216" s="438">
        <f>Financing!AW11</f>
        <v>-462962.96296296298</v>
      </c>
      <c r="AX216" s="438">
        <f>Financing!AX11</f>
        <v>-462962.96296296298</v>
      </c>
      <c r="AY216" s="438">
        <f>Financing!AY11</f>
        <v>-462962.96296296298</v>
      </c>
      <c r="AZ216" s="438">
        <f>Financing!AZ11</f>
        <v>-462962.96296296298</v>
      </c>
      <c r="BA216" s="438">
        <f>Financing!BA11</f>
        <v>-462962.96296296298</v>
      </c>
      <c r="BB216" s="438">
        <f>Financing!BB11</f>
        <v>-462962.96296296298</v>
      </c>
      <c r="BC216" s="438">
        <f>Financing!BC11</f>
        <v>-462962.96296296298</v>
      </c>
      <c r="BD216" s="438">
        <f>Financing!BD11</f>
        <v>-462962.96296296298</v>
      </c>
      <c r="BE216" s="438">
        <f>Financing!BE11</f>
        <v>-462962.96296296298</v>
      </c>
      <c r="BF216" s="438">
        <f>Financing!BF11</f>
        <v>-462962.96296296298</v>
      </c>
      <c r="BG216" s="438">
        <f>Financing!BG11</f>
        <v>-462962.96296296298</v>
      </c>
      <c r="BH216" s="438">
        <f>Financing!BH11</f>
        <v>-462962.96296296298</v>
      </c>
      <c r="BI216" s="438">
        <f>Financing!BI11</f>
        <v>-462962.96296296298</v>
      </c>
      <c r="BJ216" s="438">
        <f>Financing!BJ11</f>
        <v>-462962.96296296298</v>
      </c>
      <c r="BK216" s="438">
        <f>Financing!BK11</f>
        <v>-462962.96296296298</v>
      </c>
      <c r="BL216" s="438">
        <f>Financing!BL11</f>
        <v>-685185.18518518517</v>
      </c>
      <c r="BM216" s="438">
        <f>Financing!BM11</f>
        <v>-685185.18518518517</v>
      </c>
      <c r="BN216" s="438">
        <f>Financing!BN11</f>
        <v>-685185.18518518517</v>
      </c>
      <c r="BO216" s="438">
        <f>Financing!BO11</f>
        <v>-685185.18518518517</v>
      </c>
      <c r="BP216" s="438">
        <f>Financing!BP11</f>
        <v>-685185.18518518517</v>
      </c>
      <c r="BQ216" s="438">
        <f>Financing!BQ11</f>
        <v>-685185.18518518517</v>
      </c>
      <c r="BR216" s="438">
        <f>Financing!BR11</f>
        <v>-685185.18518518517</v>
      </c>
      <c r="BS216" s="438">
        <f>Financing!BS11</f>
        <v>-685185.18518518517</v>
      </c>
      <c r="BT216" s="438">
        <f>Financing!BT11</f>
        <v>-685185.18518518517</v>
      </c>
      <c r="BU216" s="438">
        <f>Financing!BU11</f>
        <v>-685185.18518518517</v>
      </c>
      <c r="BV216" s="438">
        <f>Financing!BV11</f>
        <v>-685185.18518518517</v>
      </c>
      <c r="BW216" s="438">
        <f>Financing!BW11</f>
        <v>-685185.18518518517</v>
      </c>
      <c r="BX216" s="438">
        <f>Financing!BX11</f>
        <v>-870370.37037037034</v>
      </c>
      <c r="BY216" s="438">
        <f>Financing!BY11</f>
        <v>-870370.37037037034</v>
      </c>
      <c r="BZ216" s="438">
        <f>Financing!BZ11</f>
        <v>-870370.37037037034</v>
      </c>
      <c r="CA216" s="438">
        <f>Financing!CA11</f>
        <v>-870370.37037037034</v>
      </c>
      <c r="CB216" s="438">
        <f>Financing!CB11</f>
        <v>-870370.37037037034</v>
      </c>
      <c r="CC216" s="438">
        <f>Financing!CC11</f>
        <v>-870370.37037037034</v>
      </c>
      <c r="CD216" s="438">
        <f>Financing!CD11</f>
        <v>-870370.37037037034</v>
      </c>
      <c r="CE216" s="438">
        <f>Financing!CE11</f>
        <v>-870370.37037037034</v>
      </c>
      <c r="CF216" s="438">
        <f>Financing!CF11</f>
        <v>-870370.37037037034</v>
      </c>
      <c r="CG216" s="438">
        <f>Financing!CG11</f>
        <v>-870370.37037037034</v>
      </c>
      <c r="CH216" s="438">
        <f>Financing!CH11</f>
        <v>-870370.37037037034</v>
      </c>
      <c r="CI216" s="438">
        <f>Financing!CI11</f>
        <v>-870370.37037037034</v>
      </c>
      <c r="CJ216" s="438">
        <f>Financing!CJ11</f>
        <v>-1055555.5555555555</v>
      </c>
      <c r="CK216" s="438">
        <f>Financing!CK11</f>
        <v>-1055555.5555555555</v>
      </c>
      <c r="CL216" s="438">
        <f>Financing!CL11</f>
        <v>-1055555.5555555555</v>
      </c>
      <c r="CM216" s="438">
        <f>Financing!CM11</f>
        <v>-1055555.5555555555</v>
      </c>
      <c r="CN216" s="438">
        <f>Financing!CN11</f>
        <v>-1055555.5555555555</v>
      </c>
      <c r="CO216" s="438">
        <f>Financing!CO11</f>
        <v>-1055555.5555555555</v>
      </c>
      <c r="CP216" s="438">
        <f>Financing!CP11</f>
        <v>-592592.59259259258</v>
      </c>
      <c r="CQ216" s="438">
        <f>Financing!CQ11</f>
        <v>-592592.59259259258</v>
      </c>
      <c r="CR216" s="438">
        <f>Financing!CR11</f>
        <v>-592592.59259259258</v>
      </c>
      <c r="CS216" s="438">
        <f>Financing!CS11</f>
        <v>-592592.59259259258</v>
      </c>
      <c r="CT216" s="438">
        <f>Financing!CT11</f>
        <v>-592592.59259259258</v>
      </c>
      <c r="CU216" s="438">
        <f>Financing!CU11</f>
        <v>-592592.59259259258</v>
      </c>
      <c r="CV216" s="438">
        <f>Financing!CV11</f>
        <v>-777777.77777777775</v>
      </c>
      <c r="CW216" s="438">
        <f>Financing!CW11</f>
        <v>-777777.77777777775</v>
      </c>
      <c r="CX216" s="438">
        <f>Financing!CX11</f>
        <v>-777777.77777777775</v>
      </c>
      <c r="CY216" s="438">
        <f>Financing!CY11</f>
        <v>-777777.77777777775</v>
      </c>
      <c r="CZ216" s="438">
        <f>Financing!CZ11</f>
        <v>-777777.77777777775</v>
      </c>
      <c r="DA216" s="438">
        <f>Financing!DA11</f>
        <v>-777777.77777777775</v>
      </c>
      <c r="DB216" s="438">
        <f>Financing!DB11</f>
        <v>-777777.77777777775</v>
      </c>
      <c r="DC216" s="438">
        <f>Financing!DC11</f>
        <v>-777777.77777777775</v>
      </c>
      <c r="DD216" s="438">
        <f>Financing!DD11</f>
        <v>-777777.77777777775</v>
      </c>
      <c r="DE216" s="438">
        <f>Financing!DE11</f>
        <v>-777777.77777777775</v>
      </c>
      <c r="DF216" s="438">
        <f>Financing!DF11</f>
        <v>-777777.77777777775</v>
      </c>
      <c r="DG216" s="438">
        <f>Financing!DG11</f>
        <v>-777777.77777777775</v>
      </c>
      <c r="DH216" s="438">
        <f>Financing!DH11</f>
        <v>-962962.96296296292</v>
      </c>
      <c r="DI216" s="438">
        <f>Financing!DI11</f>
        <v>-962962.96296296292</v>
      </c>
      <c r="DJ216" s="438">
        <f>Financing!DJ11</f>
        <v>-962962.96296296292</v>
      </c>
      <c r="DK216" s="438">
        <f>Financing!DK11</f>
        <v>-962962.96296296292</v>
      </c>
      <c r="DL216" s="438">
        <f>Financing!DL11</f>
        <v>-962962.96296296292</v>
      </c>
      <c r="DM216" s="438">
        <f>Financing!DM11</f>
        <v>-962962.96296296292</v>
      </c>
      <c r="DN216" s="438">
        <f>Financing!DN11</f>
        <v>-740740.74074074067</v>
      </c>
      <c r="DO216" s="438">
        <f>Financing!DO11</f>
        <v>-740740.74074074067</v>
      </c>
      <c r="DP216" s="438">
        <f>Financing!DP11</f>
        <v>-740740.74074074067</v>
      </c>
      <c r="DQ216" s="438">
        <f>Financing!DQ11</f>
        <v>-740740.74074074067</v>
      </c>
      <c r="DR216" s="438">
        <f>Financing!DR11</f>
        <v>-740740.74074074067</v>
      </c>
      <c r="DS216" s="438">
        <f>Financing!DS11</f>
        <v>-740740.74074074067</v>
      </c>
      <c r="DT216" s="438">
        <f>Financing!DT11</f>
        <v>-981481.48148148134</v>
      </c>
      <c r="DU216" s="438">
        <f>Financing!DU11</f>
        <v>-981481.48148148134</v>
      </c>
      <c r="DV216" s="438">
        <f>Financing!DV11</f>
        <v>-981481.48148148134</v>
      </c>
      <c r="DW216" s="438">
        <f>Financing!DW11</f>
        <v>-981481.48148148134</v>
      </c>
      <c r="DX216" s="438">
        <f>Financing!DX11</f>
        <v>-981481.48148148134</v>
      </c>
      <c r="DY216" s="438">
        <f>Financing!DY11</f>
        <v>-981481.48148148134</v>
      </c>
    </row>
    <row r="217" spans="1:129" outlineLevel="1">
      <c r="C217" s="5" t="s">
        <v>5</v>
      </c>
      <c r="D217" s="5" t="s">
        <v>397</v>
      </c>
      <c r="J217" s="438">
        <f t="shared" ref="J217:AO217" si="477">-J185</f>
        <v>0</v>
      </c>
      <c r="K217" s="438">
        <f t="shared" si="477"/>
        <v>0</v>
      </c>
      <c r="L217" s="438">
        <f t="shared" si="477"/>
        <v>0</v>
      </c>
      <c r="M217" s="438">
        <f t="shared" si="477"/>
        <v>0</v>
      </c>
      <c r="N217" s="438">
        <f t="shared" si="477"/>
        <v>0</v>
      </c>
      <c r="O217" s="438">
        <f t="shared" si="477"/>
        <v>0</v>
      </c>
      <c r="P217" s="438">
        <f t="shared" si="477"/>
        <v>0</v>
      </c>
      <c r="Q217" s="438">
        <f t="shared" si="477"/>
        <v>0</v>
      </c>
      <c r="R217" s="438">
        <f t="shared" si="477"/>
        <v>0</v>
      </c>
      <c r="S217" s="438">
        <f t="shared" si="477"/>
        <v>0</v>
      </c>
      <c r="T217" s="438">
        <f t="shared" si="477"/>
        <v>0</v>
      </c>
      <c r="U217" s="438">
        <f t="shared" si="477"/>
        <v>0</v>
      </c>
      <c r="V217" s="438">
        <f t="shared" si="477"/>
        <v>0</v>
      </c>
      <c r="W217" s="438">
        <f t="shared" si="477"/>
        <v>0</v>
      </c>
      <c r="X217" s="438">
        <f t="shared" si="477"/>
        <v>0</v>
      </c>
      <c r="Y217" s="438">
        <f t="shared" si="477"/>
        <v>0</v>
      </c>
      <c r="Z217" s="438">
        <f t="shared" si="477"/>
        <v>0</v>
      </c>
      <c r="AA217" s="438">
        <f t="shared" si="477"/>
        <v>0</v>
      </c>
      <c r="AB217" s="438">
        <f t="shared" si="477"/>
        <v>0</v>
      </c>
      <c r="AC217" s="438">
        <f t="shared" si="477"/>
        <v>0</v>
      </c>
      <c r="AD217" s="438">
        <f t="shared" si="477"/>
        <v>0</v>
      </c>
      <c r="AE217" s="438">
        <f t="shared" si="477"/>
        <v>0</v>
      </c>
      <c r="AF217" s="438">
        <f t="shared" si="477"/>
        <v>0</v>
      </c>
      <c r="AG217" s="438">
        <f t="shared" si="477"/>
        <v>0</v>
      </c>
      <c r="AH217" s="438">
        <f t="shared" si="477"/>
        <v>0</v>
      </c>
      <c r="AI217" s="438">
        <f t="shared" si="477"/>
        <v>0</v>
      </c>
      <c r="AJ217" s="438">
        <f t="shared" si="477"/>
        <v>0</v>
      </c>
      <c r="AK217" s="438">
        <f t="shared" si="477"/>
        <v>0</v>
      </c>
      <c r="AL217" s="438">
        <f t="shared" si="477"/>
        <v>0</v>
      </c>
      <c r="AM217" s="438">
        <f t="shared" si="477"/>
        <v>0</v>
      </c>
      <c r="AN217" s="438">
        <f t="shared" si="477"/>
        <v>0</v>
      </c>
      <c r="AO217" s="438">
        <f t="shared" si="477"/>
        <v>0</v>
      </c>
      <c r="AP217" s="438">
        <f t="shared" ref="AP217:BU217" si="478">-AP185</f>
        <v>0</v>
      </c>
      <c r="AQ217" s="438">
        <f t="shared" si="478"/>
        <v>0</v>
      </c>
      <c r="AR217" s="438">
        <f t="shared" si="478"/>
        <v>0</v>
      </c>
      <c r="AS217" s="438">
        <f t="shared" si="478"/>
        <v>0</v>
      </c>
      <c r="AT217" s="438">
        <f t="shared" si="478"/>
        <v>0</v>
      </c>
      <c r="AU217" s="438">
        <f t="shared" si="478"/>
        <v>0</v>
      </c>
      <c r="AV217" s="438">
        <f t="shared" si="478"/>
        <v>0</v>
      </c>
      <c r="AW217" s="438">
        <f t="shared" si="478"/>
        <v>0</v>
      </c>
      <c r="AX217" s="438">
        <f t="shared" si="478"/>
        <v>0</v>
      </c>
      <c r="AY217" s="438">
        <f t="shared" si="478"/>
        <v>0</v>
      </c>
      <c r="AZ217" s="438">
        <f t="shared" si="478"/>
        <v>0</v>
      </c>
      <c r="BA217" s="438">
        <f t="shared" si="478"/>
        <v>0</v>
      </c>
      <c r="BB217" s="438">
        <f t="shared" si="478"/>
        <v>0</v>
      </c>
      <c r="BC217" s="438">
        <f t="shared" si="478"/>
        <v>0</v>
      </c>
      <c r="BD217" s="438">
        <f t="shared" si="478"/>
        <v>0</v>
      </c>
      <c r="BE217" s="438">
        <f t="shared" si="478"/>
        <v>0</v>
      </c>
      <c r="BF217" s="438">
        <f t="shared" si="478"/>
        <v>0</v>
      </c>
      <c r="BG217" s="438">
        <f t="shared" si="478"/>
        <v>0</v>
      </c>
      <c r="BH217" s="438">
        <f t="shared" si="478"/>
        <v>0</v>
      </c>
      <c r="BI217" s="438">
        <f t="shared" si="478"/>
        <v>0</v>
      </c>
      <c r="BJ217" s="438">
        <f t="shared" si="478"/>
        <v>0</v>
      </c>
      <c r="BK217" s="438">
        <f t="shared" si="478"/>
        <v>0</v>
      </c>
      <c r="BL217" s="438">
        <f t="shared" si="478"/>
        <v>0</v>
      </c>
      <c r="BM217" s="438">
        <f t="shared" si="478"/>
        <v>0</v>
      </c>
      <c r="BN217" s="438">
        <f t="shared" si="478"/>
        <v>0</v>
      </c>
      <c r="BO217" s="438">
        <f t="shared" si="478"/>
        <v>0</v>
      </c>
      <c r="BP217" s="438">
        <f t="shared" si="478"/>
        <v>0</v>
      </c>
      <c r="BQ217" s="438">
        <f t="shared" si="478"/>
        <v>0</v>
      </c>
      <c r="BR217" s="438">
        <f t="shared" si="478"/>
        <v>0</v>
      </c>
      <c r="BS217" s="438">
        <f t="shared" si="478"/>
        <v>0</v>
      </c>
      <c r="BT217" s="438">
        <f t="shared" si="478"/>
        <v>0</v>
      </c>
      <c r="BU217" s="438">
        <f t="shared" si="478"/>
        <v>0</v>
      </c>
      <c r="BV217" s="438">
        <f t="shared" ref="BV217:CC217" si="479">-BV185</f>
        <v>0</v>
      </c>
      <c r="BW217" s="438">
        <f t="shared" si="479"/>
        <v>0</v>
      </c>
      <c r="BX217" s="438">
        <f t="shared" si="479"/>
        <v>0</v>
      </c>
      <c r="BY217" s="438">
        <f t="shared" si="479"/>
        <v>0</v>
      </c>
      <c r="BZ217" s="438">
        <f t="shared" si="479"/>
        <v>0</v>
      </c>
      <c r="CA217" s="438">
        <f t="shared" si="479"/>
        <v>0</v>
      </c>
      <c r="CB217" s="438">
        <f t="shared" si="479"/>
        <v>0</v>
      </c>
      <c r="CC217" s="438">
        <f t="shared" si="479"/>
        <v>0</v>
      </c>
      <c r="CD217" s="438">
        <f t="shared" ref="CD217:DY217" si="480">-CD185</f>
        <v>0</v>
      </c>
      <c r="CE217" s="438">
        <f t="shared" si="480"/>
        <v>0</v>
      </c>
      <c r="CF217" s="438">
        <f t="shared" si="480"/>
        <v>0</v>
      </c>
      <c r="CG217" s="438">
        <f t="shared" si="480"/>
        <v>0</v>
      </c>
      <c r="CH217" s="438">
        <f t="shared" si="480"/>
        <v>0</v>
      </c>
      <c r="CI217" s="438">
        <f t="shared" si="480"/>
        <v>0</v>
      </c>
      <c r="CJ217" s="438">
        <f t="shared" si="480"/>
        <v>0</v>
      </c>
      <c r="CK217" s="438">
        <f t="shared" si="480"/>
        <v>0</v>
      </c>
      <c r="CL217" s="438">
        <f t="shared" si="480"/>
        <v>0</v>
      </c>
      <c r="CM217" s="438">
        <f t="shared" si="480"/>
        <v>0</v>
      </c>
      <c r="CN217" s="438">
        <f t="shared" si="480"/>
        <v>0</v>
      </c>
      <c r="CO217" s="438">
        <f t="shared" si="480"/>
        <v>0</v>
      </c>
      <c r="CP217" s="438">
        <f t="shared" si="480"/>
        <v>0</v>
      </c>
      <c r="CQ217" s="438">
        <f t="shared" si="480"/>
        <v>0</v>
      </c>
      <c r="CR217" s="438">
        <f t="shared" si="480"/>
        <v>0</v>
      </c>
      <c r="CS217" s="438">
        <f t="shared" si="480"/>
        <v>0</v>
      </c>
      <c r="CT217" s="438">
        <f t="shared" si="480"/>
        <v>0</v>
      </c>
      <c r="CU217" s="438">
        <f t="shared" si="480"/>
        <v>0</v>
      </c>
      <c r="CV217" s="438">
        <f t="shared" si="480"/>
        <v>0</v>
      </c>
      <c r="CW217" s="438">
        <f t="shared" si="480"/>
        <v>0</v>
      </c>
      <c r="CX217" s="438">
        <f t="shared" si="480"/>
        <v>0</v>
      </c>
      <c r="CY217" s="438">
        <f t="shared" si="480"/>
        <v>0</v>
      </c>
      <c r="CZ217" s="438">
        <f t="shared" si="480"/>
        <v>0</v>
      </c>
      <c r="DA217" s="438">
        <f t="shared" si="480"/>
        <v>0</v>
      </c>
      <c r="DB217" s="438">
        <f t="shared" si="480"/>
        <v>0</v>
      </c>
      <c r="DC217" s="438">
        <f t="shared" si="480"/>
        <v>0</v>
      </c>
      <c r="DD217" s="438">
        <f t="shared" si="480"/>
        <v>0</v>
      </c>
      <c r="DE217" s="438">
        <f t="shared" si="480"/>
        <v>0</v>
      </c>
      <c r="DF217" s="438">
        <f t="shared" si="480"/>
        <v>0</v>
      </c>
      <c r="DG217" s="438">
        <f t="shared" si="480"/>
        <v>0</v>
      </c>
      <c r="DH217" s="438">
        <f t="shared" si="480"/>
        <v>0</v>
      </c>
      <c r="DI217" s="438">
        <f t="shared" si="480"/>
        <v>0</v>
      </c>
      <c r="DJ217" s="438">
        <f t="shared" si="480"/>
        <v>0</v>
      </c>
      <c r="DK217" s="438">
        <f t="shared" si="480"/>
        <v>0</v>
      </c>
      <c r="DL217" s="438">
        <f t="shared" si="480"/>
        <v>0</v>
      </c>
      <c r="DM217" s="438">
        <f t="shared" si="480"/>
        <v>0</v>
      </c>
      <c r="DN217" s="438">
        <f t="shared" si="480"/>
        <v>0</v>
      </c>
      <c r="DO217" s="438">
        <f t="shared" si="480"/>
        <v>0</v>
      </c>
      <c r="DP217" s="438">
        <f t="shared" si="480"/>
        <v>0</v>
      </c>
      <c r="DQ217" s="438">
        <f t="shared" si="480"/>
        <v>0</v>
      </c>
      <c r="DR217" s="438">
        <f t="shared" si="480"/>
        <v>0</v>
      </c>
      <c r="DS217" s="438">
        <f t="shared" si="480"/>
        <v>0</v>
      </c>
      <c r="DT217" s="438">
        <f t="shared" si="480"/>
        <v>0</v>
      </c>
      <c r="DU217" s="438">
        <f t="shared" si="480"/>
        <v>0</v>
      </c>
      <c r="DV217" s="438">
        <f t="shared" si="480"/>
        <v>0</v>
      </c>
      <c r="DW217" s="438">
        <f t="shared" si="480"/>
        <v>0</v>
      </c>
      <c r="DX217" s="438">
        <f t="shared" si="480"/>
        <v>0</v>
      </c>
      <c r="DY217" s="438">
        <f t="shared" si="480"/>
        <v>0</v>
      </c>
    </row>
    <row r="218" spans="1:129" outlineLevel="1">
      <c r="C218" s="68" t="s">
        <v>121</v>
      </c>
      <c r="D218" s="68"/>
      <c r="E218" s="68"/>
      <c r="F218" s="56" t="s">
        <v>158</v>
      </c>
      <c r="G218" s="68"/>
      <c r="H218" s="68"/>
      <c r="I218" s="68"/>
      <c r="J218" s="111">
        <f t="shared" ref="J218:AO218" si="481">+SUM(J214:J217)</f>
        <v>15000000</v>
      </c>
      <c r="K218" s="111">
        <f t="shared" si="481"/>
        <v>0</v>
      </c>
      <c r="L218" s="111">
        <f t="shared" si="481"/>
        <v>0</v>
      </c>
      <c r="M218" s="111">
        <f t="shared" si="481"/>
        <v>0</v>
      </c>
      <c r="N218" s="111">
        <f t="shared" si="481"/>
        <v>0</v>
      </c>
      <c r="O218" s="111">
        <f t="shared" si="481"/>
        <v>0</v>
      </c>
      <c r="P218" s="111">
        <f t="shared" si="481"/>
        <v>0</v>
      </c>
      <c r="Q218" s="111">
        <f t="shared" si="481"/>
        <v>0</v>
      </c>
      <c r="R218" s="111">
        <f t="shared" si="481"/>
        <v>0</v>
      </c>
      <c r="S218" s="111">
        <f t="shared" si="481"/>
        <v>0</v>
      </c>
      <c r="T218" s="111">
        <f t="shared" si="481"/>
        <v>0</v>
      </c>
      <c r="U218" s="111">
        <f t="shared" si="481"/>
        <v>0</v>
      </c>
      <c r="V218" s="111">
        <f t="shared" si="481"/>
        <v>-416666.66666666663</v>
      </c>
      <c r="W218" s="111">
        <f t="shared" si="481"/>
        <v>-416666.66666666663</v>
      </c>
      <c r="X218" s="111">
        <f t="shared" si="481"/>
        <v>-416666.66666666663</v>
      </c>
      <c r="Y218" s="111">
        <f t="shared" si="481"/>
        <v>-416666.66666666663</v>
      </c>
      <c r="Z218" s="111">
        <f t="shared" si="481"/>
        <v>-416666.66666666663</v>
      </c>
      <c r="AA218" s="111">
        <f t="shared" si="481"/>
        <v>-416666.66666666663</v>
      </c>
      <c r="AB218" s="111">
        <f t="shared" si="481"/>
        <v>-416666.66666666663</v>
      </c>
      <c r="AC218" s="111">
        <f t="shared" si="481"/>
        <v>-416666.66666666663</v>
      </c>
      <c r="AD218" s="111">
        <f t="shared" si="481"/>
        <v>-416666.66666666663</v>
      </c>
      <c r="AE218" s="111">
        <f t="shared" si="481"/>
        <v>-416666.66666666663</v>
      </c>
      <c r="AF218" s="111">
        <f t="shared" si="481"/>
        <v>-416666.66666666663</v>
      </c>
      <c r="AG218" s="111">
        <f t="shared" si="481"/>
        <v>-416666.66666666663</v>
      </c>
      <c r="AH218" s="111">
        <f t="shared" si="481"/>
        <v>34583333.333333336</v>
      </c>
      <c r="AI218" s="111">
        <f t="shared" si="481"/>
        <v>-416666.66666666663</v>
      </c>
      <c r="AJ218" s="111">
        <f t="shared" si="481"/>
        <v>-416666.66666666663</v>
      </c>
      <c r="AK218" s="111">
        <f t="shared" si="481"/>
        <v>-416666.66666666663</v>
      </c>
      <c r="AL218" s="111">
        <f t="shared" si="481"/>
        <v>-416666.66666666663</v>
      </c>
      <c r="AM218" s="111">
        <f t="shared" si="481"/>
        <v>-416666.66666666663</v>
      </c>
      <c r="AN218" s="111">
        <f t="shared" si="481"/>
        <v>-879629.62962962966</v>
      </c>
      <c r="AO218" s="111">
        <f t="shared" si="481"/>
        <v>-879629.62962962966</v>
      </c>
      <c r="AP218" s="111">
        <f t="shared" ref="AP218:BU218" si="482">+SUM(AP214:AP217)</f>
        <v>-879629.62962962966</v>
      </c>
      <c r="AQ218" s="111">
        <f t="shared" si="482"/>
        <v>-879629.62962962966</v>
      </c>
      <c r="AR218" s="111">
        <f t="shared" si="482"/>
        <v>-879629.62962962966</v>
      </c>
      <c r="AS218" s="111">
        <f t="shared" si="482"/>
        <v>-879629.62962962966</v>
      </c>
      <c r="AT218" s="111">
        <f t="shared" si="482"/>
        <v>-462962.96296296298</v>
      </c>
      <c r="AU218" s="111">
        <f t="shared" si="482"/>
        <v>-462962.96296296298</v>
      </c>
      <c r="AV218" s="111">
        <f t="shared" si="482"/>
        <v>-462962.96296296298</v>
      </c>
      <c r="AW218" s="111">
        <f t="shared" si="482"/>
        <v>-462962.96296296298</v>
      </c>
      <c r="AX218" s="111">
        <f t="shared" si="482"/>
        <v>-462962.96296296298</v>
      </c>
      <c r="AY218" s="111">
        <f t="shared" si="482"/>
        <v>-462962.96296296298</v>
      </c>
      <c r="AZ218" s="111">
        <f t="shared" si="482"/>
        <v>-462962.96296296298</v>
      </c>
      <c r="BA218" s="111">
        <f t="shared" si="482"/>
        <v>-462962.96296296298</v>
      </c>
      <c r="BB218" s="111">
        <f t="shared" si="482"/>
        <v>-462962.96296296298</v>
      </c>
      <c r="BC218" s="111">
        <f t="shared" si="482"/>
        <v>-462962.96296296298</v>
      </c>
      <c r="BD218" s="111">
        <f t="shared" si="482"/>
        <v>-462962.96296296298</v>
      </c>
      <c r="BE218" s="111">
        <f t="shared" si="482"/>
        <v>-462962.96296296298</v>
      </c>
      <c r="BF218" s="111">
        <f t="shared" si="482"/>
        <v>11537037.037037037</v>
      </c>
      <c r="BG218" s="111">
        <f t="shared" si="482"/>
        <v>-462962.96296296298</v>
      </c>
      <c r="BH218" s="111">
        <f t="shared" si="482"/>
        <v>-462962.96296296298</v>
      </c>
      <c r="BI218" s="111">
        <f t="shared" si="482"/>
        <v>-462962.96296296298</v>
      </c>
      <c r="BJ218" s="111">
        <f t="shared" si="482"/>
        <v>-462962.96296296298</v>
      </c>
      <c r="BK218" s="111">
        <f t="shared" si="482"/>
        <v>-462962.96296296298</v>
      </c>
      <c r="BL218" s="111">
        <f t="shared" si="482"/>
        <v>-685185.18518518517</v>
      </c>
      <c r="BM218" s="111">
        <f t="shared" si="482"/>
        <v>-685185.18518518517</v>
      </c>
      <c r="BN218" s="111">
        <f t="shared" si="482"/>
        <v>-685185.18518518517</v>
      </c>
      <c r="BO218" s="111">
        <f t="shared" si="482"/>
        <v>-685185.18518518517</v>
      </c>
      <c r="BP218" s="111">
        <f t="shared" si="482"/>
        <v>-685185.18518518517</v>
      </c>
      <c r="BQ218" s="111">
        <f t="shared" si="482"/>
        <v>-685185.18518518517</v>
      </c>
      <c r="BR218" s="111">
        <f t="shared" si="482"/>
        <v>9314814.8148148153</v>
      </c>
      <c r="BS218" s="111">
        <f t="shared" si="482"/>
        <v>-685185.18518518517</v>
      </c>
      <c r="BT218" s="111">
        <f t="shared" si="482"/>
        <v>-685185.18518518517</v>
      </c>
      <c r="BU218" s="111">
        <f t="shared" si="482"/>
        <v>-685185.18518518517</v>
      </c>
      <c r="BV218" s="111">
        <f t="shared" ref="BV218:CC218" si="483">+SUM(BV214:BV217)</f>
        <v>-685185.18518518517</v>
      </c>
      <c r="BW218" s="111">
        <f t="shared" si="483"/>
        <v>-685185.18518518517</v>
      </c>
      <c r="BX218" s="111">
        <f t="shared" si="483"/>
        <v>-870370.37037037034</v>
      </c>
      <c r="BY218" s="111">
        <f t="shared" si="483"/>
        <v>-870370.37037037034</v>
      </c>
      <c r="BZ218" s="111">
        <f t="shared" si="483"/>
        <v>-870370.37037037034</v>
      </c>
      <c r="CA218" s="111">
        <f t="shared" si="483"/>
        <v>-870370.37037037034</v>
      </c>
      <c r="CB218" s="111">
        <f t="shared" si="483"/>
        <v>-870370.37037037034</v>
      </c>
      <c r="CC218" s="111">
        <f t="shared" si="483"/>
        <v>-870370.37037037034</v>
      </c>
      <c r="CD218" s="111">
        <f t="shared" ref="CD218:DY218" si="484">+SUM(CD214:CD217)</f>
        <v>9129629.6296296306</v>
      </c>
      <c r="CE218" s="111">
        <f t="shared" si="484"/>
        <v>-870370.37037037034</v>
      </c>
      <c r="CF218" s="111">
        <f t="shared" si="484"/>
        <v>-870370.37037037034</v>
      </c>
      <c r="CG218" s="111">
        <f t="shared" si="484"/>
        <v>-870370.37037037034</v>
      </c>
      <c r="CH218" s="111">
        <f t="shared" si="484"/>
        <v>-870370.37037037034</v>
      </c>
      <c r="CI218" s="111">
        <f t="shared" si="484"/>
        <v>-870370.37037037034</v>
      </c>
      <c r="CJ218" s="111">
        <f t="shared" si="484"/>
        <v>-1055555.5555555555</v>
      </c>
      <c r="CK218" s="111">
        <f t="shared" si="484"/>
        <v>-1055555.5555555555</v>
      </c>
      <c r="CL218" s="111">
        <f t="shared" si="484"/>
        <v>-1055555.5555555555</v>
      </c>
      <c r="CM218" s="111">
        <f t="shared" si="484"/>
        <v>-1055555.5555555555</v>
      </c>
      <c r="CN218" s="111">
        <f t="shared" si="484"/>
        <v>-1055555.5555555555</v>
      </c>
      <c r="CO218" s="111">
        <f t="shared" si="484"/>
        <v>-1055555.5555555555</v>
      </c>
      <c r="CP218" s="111">
        <f t="shared" si="484"/>
        <v>9407407.4074074067</v>
      </c>
      <c r="CQ218" s="111">
        <f t="shared" si="484"/>
        <v>-592592.59259259258</v>
      </c>
      <c r="CR218" s="111">
        <f t="shared" si="484"/>
        <v>-592592.59259259258</v>
      </c>
      <c r="CS218" s="111">
        <f t="shared" si="484"/>
        <v>-592592.59259259258</v>
      </c>
      <c r="CT218" s="111">
        <f t="shared" si="484"/>
        <v>-592592.59259259258</v>
      </c>
      <c r="CU218" s="111">
        <f t="shared" si="484"/>
        <v>-592592.59259259258</v>
      </c>
      <c r="CV218" s="111">
        <f t="shared" si="484"/>
        <v>-777777.77777777775</v>
      </c>
      <c r="CW218" s="111">
        <f t="shared" si="484"/>
        <v>-777777.77777777775</v>
      </c>
      <c r="CX218" s="111">
        <f t="shared" si="484"/>
        <v>-777777.77777777775</v>
      </c>
      <c r="CY218" s="111">
        <f t="shared" si="484"/>
        <v>-777777.77777777775</v>
      </c>
      <c r="CZ218" s="111">
        <f t="shared" si="484"/>
        <v>-777777.77777777775</v>
      </c>
      <c r="DA218" s="111">
        <f t="shared" si="484"/>
        <v>-777777.77777777775</v>
      </c>
      <c r="DB218" s="111">
        <f t="shared" si="484"/>
        <v>9222222.222222222</v>
      </c>
      <c r="DC218" s="111">
        <f t="shared" si="484"/>
        <v>-777777.77777777775</v>
      </c>
      <c r="DD218" s="111">
        <f t="shared" si="484"/>
        <v>-777777.77777777775</v>
      </c>
      <c r="DE218" s="111">
        <f t="shared" si="484"/>
        <v>-777777.77777777775</v>
      </c>
      <c r="DF218" s="111">
        <f t="shared" si="484"/>
        <v>-777777.77777777775</v>
      </c>
      <c r="DG218" s="111">
        <f t="shared" si="484"/>
        <v>-777777.77777777775</v>
      </c>
      <c r="DH218" s="111">
        <f t="shared" si="484"/>
        <v>-962962.96296296292</v>
      </c>
      <c r="DI218" s="111">
        <f t="shared" si="484"/>
        <v>-962962.96296296292</v>
      </c>
      <c r="DJ218" s="111">
        <f t="shared" si="484"/>
        <v>-962962.96296296292</v>
      </c>
      <c r="DK218" s="111">
        <f t="shared" si="484"/>
        <v>-962962.96296296292</v>
      </c>
      <c r="DL218" s="111">
        <f t="shared" si="484"/>
        <v>-962962.96296296292</v>
      </c>
      <c r="DM218" s="111">
        <f t="shared" si="484"/>
        <v>-962962.96296296292</v>
      </c>
      <c r="DN218" s="111">
        <f t="shared" si="484"/>
        <v>12259259.259259259</v>
      </c>
      <c r="DO218" s="111">
        <f t="shared" si="484"/>
        <v>-740740.74074074067</v>
      </c>
      <c r="DP218" s="111">
        <f t="shared" si="484"/>
        <v>-740740.74074074067</v>
      </c>
      <c r="DQ218" s="111">
        <f t="shared" si="484"/>
        <v>-740740.74074074067</v>
      </c>
      <c r="DR218" s="111">
        <f t="shared" si="484"/>
        <v>-740740.74074074067</v>
      </c>
      <c r="DS218" s="111">
        <f t="shared" si="484"/>
        <v>-740740.74074074067</v>
      </c>
      <c r="DT218" s="111">
        <f t="shared" si="484"/>
        <v>-981481.48148148134</v>
      </c>
      <c r="DU218" s="111">
        <f t="shared" si="484"/>
        <v>-981481.48148148134</v>
      </c>
      <c r="DV218" s="111">
        <f t="shared" si="484"/>
        <v>-981481.48148148134</v>
      </c>
      <c r="DW218" s="111">
        <f t="shared" si="484"/>
        <v>-981481.48148148134</v>
      </c>
      <c r="DX218" s="111">
        <f t="shared" si="484"/>
        <v>-981481.48148148134</v>
      </c>
      <c r="DY218" s="111">
        <f t="shared" si="484"/>
        <v>-981481.48148148134</v>
      </c>
    </row>
    <row r="219" spans="1:129" outlineLevel="1">
      <c r="J219" s="11"/>
      <c r="K219" s="112"/>
      <c r="L219" s="11"/>
      <c r="M219" s="112"/>
      <c r="N219" s="11"/>
      <c r="O219" s="112"/>
      <c r="P219" s="11"/>
      <c r="Q219" s="11"/>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2"/>
      <c r="BZ219" s="112"/>
      <c r="CA219" s="112"/>
      <c r="CB219" s="112"/>
      <c r="CC219" s="112"/>
      <c r="CD219" s="112"/>
      <c r="CE219" s="112"/>
      <c r="CF219" s="112"/>
      <c r="CG219" s="112"/>
      <c r="CH219" s="112"/>
      <c r="CI219" s="112"/>
      <c r="CJ219" s="112"/>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12"/>
      <c r="DG219" s="112"/>
      <c r="DH219" s="112"/>
      <c r="DI219" s="112"/>
      <c r="DJ219" s="112"/>
      <c r="DK219" s="112"/>
      <c r="DL219" s="112"/>
      <c r="DM219" s="112"/>
      <c r="DN219" s="112"/>
      <c r="DO219" s="112"/>
      <c r="DP219" s="112"/>
      <c r="DQ219" s="112"/>
      <c r="DR219" s="112"/>
      <c r="DS219" s="112"/>
      <c r="DT219" s="112"/>
      <c r="DU219" s="112"/>
      <c r="DV219" s="112"/>
      <c r="DW219" s="112"/>
      <c r="DX219" s="112"/>
      <c r="DY219" s="112"/>
    </row>
    <row r="220" spans="1:129" ht="14.4" outlineLevel="1" thickBot="1">
      <c r="C220" s="77" t="s">
        <v>14</v>
      </c>
      <c r="D220" s="77"/>
      <c r="E220" s="77"/>
      <c r="F220" s="331" t="s">
        <v>154</v>
      </c>
      <c r="G220" s="77"/>
      <c r="H220" s="77"/>
      <c r="I220" s="580">
        <f>'Model Assumptions'!F118</f>
        <v>300000</v>
      </c>
      <c r="J220" s="151">
        <f t="shared" ref="J220:AO220" ca="1" si="485">+J201+J207+J211+J218</f>
        <v>17607626.924219824</v>
      </c>
      <c r="K220" s="151">
        <f t="shared" ca="1" si="485"/>
        <v>16899007.183608748</v>
      </c>
      <c r="L220" s="151">
        <f t="shared" ca="1" si="485"/>
        <v>16201122.101979548</v>
      </c>
      <c r="M220" s="151">
        <f t="shared" ca="1" si="485"/>
        <v>15514827.990227282</v>
      </c>
      <c r="N220" s="151">
        <f t="shared" ca="1" si="485"/>
        <v>14840991.869287752</v>
      </c>
      <c r="O220" s="151">
        <f t="shared" ca="1" si="485"/>
        <v>14180491.748500096</v>
      </c>
      <c r="P220" s="151">
        <f t="shared" ca="1" si="485"/>
        <v>13534216.908895005</v>
      </c>
      <c r="Q220" s="151">
        <f t="shared" ca="1" si="485"/>
        <v>12903068.191513505</v>
      </c>
      <c r="R220" s="151">
        <f t="shared" ca="1" si="485"/>
        <v>12287958.290863274</v>
      </c>
      <c r="S220" s="151">
        <f t="shared" ca="1" si="485"/>
        <v>11680744.520900525</v>
      </c>
      <c r="T220" s="151">
        <f t="shared" ca="1" si="485"/>
        <v>11090721.717653003</v>
      </c>
      <c r="U220" s="151">
        <f t="shared" ca="1" si="485"/>
        <v>10518825.749797761</v>
      </c>
      <c r="V220" s="151">
        <f t="shared" ca="1" si="485"/>
        <v>9554523.4321791176</v>
      </c>
      <c r="W220" s="151">
        <f t="shared" ca="1" si="485"/>
        <v>8605647.895207176</v>
      </c>
      <c r="X220" s="151">
        <f t="shared" ca="1" si="485"/>
        <v>7672559.8056339482</v>
      </c>
      <c r="Y220" s="151">
        <f t="shared" ca="1" si="485"/>
        <v>6755625.6541795461</v>
      </c>
      <c r="Z220" s="151">
        <f t="shared" ca="1" si="485"/>
        <v>5855217.8859051997</v>
      </c>
      <c r="AA220" s="151">
        <f t="shared" ca="1" si="485"/>
        <v>4971715.033054824</v>
      </c>
      <c r="AB220" s="151">
        <f t="shared" ca="1" si="485"/>
        <v>5901336.9744150704</v>
      </c>
      <c r="AC220" s="151">
        <f t="shared" ca="1" si="485"/>
        <v>5041847.0724303238</v>
      </c>
      <c r="AD220" s="151">
        <f t="shared" ca="1" si="485"/>
        <v>4193505.6745024486</v>
      </c>
      <c r="AE220" s="151">
        <f t="shared" ca="1" si="485"/>
        <v>3343892.637103776</v>
      </c>
      <c r="AF220" s="151">
        <f t="shared" ca="1" si="485"/>
        <v>2505510.2198921186</v>
      </c>
      <c r="AG220" s="151">
        <f t="shared" ca="1" si="485"/>
        <v>1678623.1536511392</v>
      </c>
      <c r="AH220" s="151">
        <f t="shared" ca="1" si="485"/>
        <v>35201204.617801949</v>
      </c>
      <c r="AI220" s="151">
        <f t="shared" ca="1" si="485"/>
        <v>34235484.341899417</v>
      </c>
      <c r="AJ220" s="151">
        <f t="shared" ca="1" si="485"/>
        <v>33281674.473440137</v>
      </c>
      <c r="AK220" s="151">
        <f t="shared" ca="1" si="485"/>
        <v>32332580.484912269</v>
      </c>
      <c r="AL220" s="151">
        <f t="shared" ca="1" si="485"/>
        <v>31395544.726072647</v>
      </c>
      <c r="AM220" s="151">
        <f t="shared" ca="1" si="485"/>
        <v>30467460.29028222</v>
      </c>
      <c r="AN220" s="151">
        <f t="shared" ca="1" si="485"/>
        <v>29083459.571408145</v>
      </c>
      <c r="AO220" s="151">
        <f t="shared" ca="1" si="485"/>
        <v>27703622.780623782</v>
      </c>
      <c r="AP220" s="151">
        <f t="shared" ref="AP220:BU220" ca="1" si="486">+AP201+AP207+AP211+AP218</f>
        <v>26327941.543778364</v>
      </c>
      <c r="AQ220" s="151">
        <f t="shared" ca="1" si="486"/>
        <v>24956336.10713242</v>
      </c>
      <c r="AR220" s="151">
        <f t="shared" ca="1" si="486"/>
        <v>23588863.479246043</v>
      </c>
      <c r="AS220" s="151">
        <f t="shared" ca="1" si="486"/>
        <v>22225514.746453486</v>
      </c>
      <c r="AT220" s="151">
        <f t="shared" ca="1" si="486"/>
        <v>21329119.064522363</v>
      </c>
      <c r="AU220" s="151">
        <f t="shared" ca="1" si="486"/>
        <v>20435100.105017047</v>
      </c>
      <c r="AV220" s="151">
        <f t="shared" ca="1" si="486"/>
        <v>19543463.27873183</v>
      </c>
      <c r="AW220" s="151">
        <f t="shared" ca="1" si="486"/>
        <v>18654214.150452279</v>
      </c>
      <c r="AX220" s="151">
        <f t="shared" ca="1" si="486"/>
        <v>17767358.440118954</v>
      </c>
      <c r="AY220" s="151">
        <f t="shared" ca="1" si="486"/>
        <v>16882902.024057858</v>
      </c>
      <c r="AZ220" s="151">
        <f t="shared" ca="1" si="486"/>
        <v>16000850.936278122</v>
      </c>
      <c r="BA220" s="151">
        <f t="shared" ca="1" si="486"/>
        <v>15121211.369837444</v>
      </c>
      <c r="BB220" s="151">
        <f t="shared" ca="1" si="486"/>
        <v>14243989.678275838</v>
      </c>
      <c r="BC220" s="151">
        <f t="shared" ca="1" si="486"/>
        <v>13368252.587387428</v>
      </c>
      <c r="BD220" s="151">
        <f t="shared" ca="1" si="486"/>
        <v>12494915.518447716</v>
      </c>
      <c r="BE220" s="151">
        <f t="shared" ca="1" si="486"/>
        <v>11623984.694787119</v>
      </c>
      <c r="BF220" s="151">
        <f t="shared" ca="1" si="486"/>
        <v>22551272.016240992</v>
      </c>
      <c r="BG220" s="151">
        <f t="shared" ca="1" si="486"/>
        <v>21624476.300602805</v>
      </c>
      <c r="BH220" s="151">
        <f t="shared" ca="1" si="486"/>
        <v>20699592.579034455</v>
      </c>
      <c r="BI220" s="151">
        <f t="shared" ca="1" si="486"/>
        <v>19776615.824958861</v>
      </c>
      <c r="BJ220" s="151">
        <f t="shared" ca="1" si="486"/>
        <v>18855540.95129681</v>
      </c>
      <c r="BK220" s="151">
        <f t="shared" ca="1" si="486"/>
        <v>17936362.8076845</v>
      </c>
      <c r="BL220" s="151">
        <f t="shared" ca="1" si="486"/>
        <v>16797965.066559557</v>
      </c>
      <c r="BM220" s="151">
        <f t="shared" ca="1" si="486"/>
        <v>15662564.664781168</v>
      </c>
      <c r="BN220" s="151">
        <f t="shared" ca="1" si="486"/>
        <v>14530156.245227605</v>
      </c>
      <c r="BO220" s="151">
        <f t="shared" ca="1" si="486"/>
        <v>13454973.150973288</v>
      </c>
      <c r="BP220" s="151">
        <f t="shared" ca="1" si="486"/>
        <v>12438633.022063969</v>
      </c>
      <c r="BQ220" s="151">
        <f t="shared" ca="1" si="486"/>
        <v>11482247.507261027</v>
      </c>
      <c r="BR220" s="151">
        <f t="shared" ca="1" si="486"/>
        <v>20375091.679375932</v>
      </c>
      <c r="BS220" s="151">
        <f t="shared" ca="1" si="486"/>
        <v>19441679.505604103</v>
      </c>
      <c r="BT220" s="151">
        <f t="shared" ca="1" si="486"/>
        <v>18558911.831532046</v>
      </c>
      <c r="BU220" s="151">
        <f t="shared" ca="1" si="486"/>
        <v>17723668.633204602</v>
      </c>
      <c r="BV220" s="151">
        <f t="shared" ref="BV220:CC220" ca="1" si="487">+BV201+BV207+BV211+BV218</f>
        <v>16932808.18762438</v>
      </c>
      <c r="BW220" s="151">
        <f t="shared" ca="1" si="487"/>
        <v>16183166.2307985</v>
      </c>
      <c r="BX220" s="151">
        <f t="shared" ca="1" si="487"/>
        <v>15287295.843782693</v>
      </c>
      <c r="BY220" s="151">
        <f t="shared" ca="1" si="487"/>
        <v>14427170.288648926</v>
      </c>
      <c r="BZ220" s="151">
        <f t="shared" ca="1" si="487"/>
        <v>13599552.497778609</v>
      </c>
      <c r="CA220" s="151">
        <f t="shared" ca="1" si="487"/>
        <v>12803389.827099532</v>
      </c>
      <c r="CB220" s="151">
        <f t="shared" ca="1" si="487"/>
        <v>12035508.88524298</v>
      </c>
      <c r="CC220" s="151">
        <f t="shared" ca="1" si="487"/>
        <v>11292638.28908148</v>
      </c>
      <c r="CD220" s="151">
        <f t="shared" ref="CD220:DY220" ca="1" si="488">+CD201+CD207+CD211+CD218</f>
        <v>20402024.481087074</v>
      </c>
      <c r="CE220" s="151">
        <f t="shared" ca="1" si="488"/>
        <v>19652390.769063395</v>
      </c>
      <c r="CF220" s="151">
        <f t="shared" ca="1" si="488"/>
        <v>18922474.011138458</v>
      </c>
      <c r="CG220" s="151">
        <f t="shared" ca="1" si="488"/>
        <v>18211001.807450194</v>
      </c>
      <c r="CH220" s="151">
        <f t="shared" ca="1" si="488"/>
        <v>17516692.154141858</v>
      </c>
      <c r="CI220" s="151">
        <f t="shared" ca="1" si="488"/>
        <v>16838253.092059042</v>
      </c>
      <c r="CJ220" s="151">
        <f t="shared" ca="1" si="488"/>
        <v>15990123.090766653</v>
      </c>
      <c r="CK220" s="151">
        <f t="shared" ca="1" si="488"/>
        <v>15156174.389983419</v>
      </c>
      <c r="CL220" s="151">
        <f t="shared" ca="1" si="488"/>
        <v>14335083.002010547</v>
      </c>
      <c r="CM220" s="151">
        <f t="shared" ca="1" si="488"/>
        <v>13526966.850123884</v>
      </c>
      <c r="CN220" s="151">
        <f t="shared" ca="1" si="488"/>
        <v>12730507.805675909</v>
      </c>
      <c r="CO220" s="151">
        <f t="shared" ca="1" si="488"/>
        <v>11944376.135893073</v>
      </c>
      <c r="CP220" s="151">
        <f t="shared" ca="1" si="488"/>
        <v>21458188.463417925</v>
      </c>
      <c r="CQ220" s="151">
        <f t="shared" ca="1" si="488"/>
        <v>21098466.123817455</v>
      </c>
      <c r="CR220" s="151">
        <f t="shared" ca="1" si="488"/>
        <v>20744689.104670689</v>
      </c>
      <c r="CS220" s="151">
        <f t="shared" ca="1" si="488"/>
        <v>20397216.641729299</v>
      </c>
      <c r="CT220" s="151">
        <f t="shared" ca="1" si="488"/>
        <v>20055577.110836327</v>
      </c>
      <c r="CU220" s="151">
        <f t="shared" ca="1" si="488"/>
        <v>19719255.490976773</v>
      </c>
      <c r="CV220" s="151">
        <f t="shared" ca="1" si="488"/>
        <v>19203524.006850842</v>
      </c>
      <c r="CW220" s="151">
        <f t="shared" ca="1" si="488"/>
        <v>18693456.285631124</v>
      </c>
      <c r="CX220" s="151">
        <f t="shared" ca="1" si="488"/>
        <v>18188956.221778337</v>
      </c>
      <c r="CY220" s="151">
        <f t="shared" ca="1" si="488"/>
        <v>17689939.32007812</v>
      </c>
      <c r="CZ220" s="151">
        <f t="shared" ca="1" si="488"/>
        <v>17196314.240808178</v>
      </c>
      <c r="DA220" s="151">
        <f t="shared" ca="1" si="488"/>
        <v>16707983.451476024</v>
      </c>
      <c r="DB220" s="151">
        <f t="shared" ca="1" si="488"/>
        <v>26054851.986047842</v>
      </c>
      <c r="DC220" s="151">
        <f t="shared" ca="1" si="488"/>
        <v>25526835.473172247</v>
      </c>
      <c r="DD220" s="151">
        <f t="shared" ca="1" si="488"/>
        <v>25003850.77267139</v>
      </c>
      <c r="DE220" s="151">
        <f t="shared" ca="1" si="488"/>
        <v>24485814.190098364</v>
      </c>
      <c r="DF220" s="151">
        <f t="shared" ca="1" si="488"/>
        <v>23972641.454034485</v>
      </c>
      <c r="DG220" s="151">
        <f t="shared" ca="1" si="488"/>
        <v>23464247.693057545</v>
      </c>
      <c r="DH220" s="151">
        <f t="shared" ca="1" si="488"/>
        <v>22776288.15311382</v>
      </c>
      <c r="DI220" s="151">
        <f t="shared" ca="1" si="488"/>
        <v>22093861.877507932</v>
      </c>
      <c r="DJ220" s="151">
        <f t="shared" ca="1" si="488"/>
        <v>21416882.053205989</v>
      </c>
      <c r="DK220" s="151">
        <f t="shared" ca="1" si="488"/>
        <v>20745361.042072583</v>
      </c>
      <c r="DL220" s="151">
        <f t="shared" ca="1" si="488"/>
        <v>20079212.612551849</v>
      </c>
      <c r="DM220" s="151">
        <f t="shared" ca="1" si="488"/>
        <v>19418349.827443976</v>
      </c>
      <c r="DN220" s="151">
        <f t="shared" ca="1" si="488"/>
        <v>31762816.985016771</v>
      </c>
      <c r="DO220" s="151">
        <f t="shared" ca="1" si="488"/>
        <v>31267356.306021124</v>
      </c>
      <c r="DP220" s="151">
        <f t="shared" ca="1" si="488"/>
        <v>30775931.985216774</v>
      </c>
      <c r="DQ220" s="151">
        <f t="shared" ca="1" si="488"/>
        <v>30288507.959092878</v>
      </c>
      <c r="DR220" s="151">
        <f t="shared" ca="1" si="488"/>
        <v>29805047.895689413</v>
      </c>
      <c r="DS220" s="151">
        <f t="shared" ca="1" si="488"/>
        <v>29325515.184272408</v>
      </c>
      <c r="DT220" s="151">
        <f t="shared" ca="1" si="488"/>
        <v>28610335.887822319</v>
      </c>
      <c r="DU220" s="151">
        <f t="shared" ca="1" si="488"/>
        <v>27900213.547220748</v>
      </c>
      <c r="DV220" s="151">
        <f t="shared" ca="1" si="488"/>
        <v>27195110.651946619</v>
      </c>
      <c r="DW220" s="151">
        <f t="shared" ca="1" si="488"/>
        <v>26495067.066345703</v>
      </c>
      <c r="DX220" s="151">
        <f t="shared" ca="1" si="488"/>
        <v>25800046.179498479</v>
      </c>
      <c r="DY220" s="151">
        <f t="shared" ca="1" si="488"/>
        <v>25110011.067564201</v>
      </c>
    </row>
    <row r="221" spans="1:129" ht="14.4" outlineLevel="1" thickTop="1">
      <c r="J221" s="11"/>
      <c r="L221" s="11"/>
      <c r="N221" s="11"/>
      <c r="P221" s="11"/>
      <c r="Q221" s="11"/>
      <c r="X221" s="103"/>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row>
    <row r="222" spans="1:129" outlineLevel="1">
      <c r="C222" s="62" t="s">
        <v>181</v>
      </c>
      <c r="J222" s="25">
        <f t="shared" ref="J222:O222" ca="1" si="489">J216+J204+J205+J206+J210+J215+J217</f>
        <v>12307626.924219823</v>
      </c>
      <c r="K222" s="25">
        <f t="shared" ca="1" si="489"/>
        <v>-708619.74061107694</v>
      </c>
      <c r="L222" s="25">
        <f t="shared" ca="1" si="489"/>
        <v>-697885.08162920002</v>
      </c>
      <c r="M222" s="25">
        <f t="shared" ca="1" si="489"/>
        <v>-686294.11175226676</v>
      </c>
      <c r="N222" s="25">
        <f t="shared" ca="1" si="489"/>
        <v>-673836.12093952997</v>
      </c>
      <c r="O222" s="25">
        <f t="shared" ca="1" si="489"/>
        <v>-660500.1207876564</v>
      </c>
      <c r="P222" s="25">
        <f t="shared" ref="P222:BV222" ca="1" si="490">P216+P204+P205+P206+P210+P215+P217</f>
        <v>-646274.83960509161</v>
      </c>
      <c r="Q222" s="25">
        <f t="shared" ca="1" si="490"/>
        <v>-631148.71738149924</v>
      </c>
      <c r="R222" s="25">
        <f t="shared" ca="1" si="490"/>
        <v>-615109.90065023187</v>
      </c>
      <c r="S222" s="25">
        <f t="shared" ca="1" si="490"/>
        <v>-607213.76996274805</v>
      </c>
      <c r="T222" s="25">
        <f t="shared" ca="1" si="490"/>
        <v>-590022.80324752338</v>
      </c>
      <c r="U222" s="25">
        <f t="shared" ca="1" si="490"/>
        <v>-571895.96785524068</v>
      </c>
      <c r="V222" s="25">
        <f t="shared" ca="1" si="490"/>
        <v>-964302.31761864526</v>
      </c>
      <c r="W222" s="25">
        <f t="shared" ca="1" si="490"/>
        <v>-948875.5369719431</v>
      </c>
      <c r="X222" s="25">
        <f t="shared" ca="1" si="490"/>
        <v>-933088.0895732271</v>
      </c>
      <c r="Y222" s="25">
        <f t="shared" ca="1" si="490"/>
        <v>-916934.15145440213</v>
      </c>
      <c r="Z222" s="25">
        <f t="shared" ca="1" si="490"/>
        <v>-900407.76827434613</v>
      </c>
      <c r="AA222" s="25">
        <f t="shared" ca="1" si="490"/>
        <v>-883502.852850375</v>
      </c>
      <c r="AB222" s="25">
        <f t="shared" ca="1" si="490"/>
        <v>929621.94136024639</v>
      </c>
      <c r="AC222" s="25">
        <f t="shared" ca="1" si="490"/>
        <v>-859489.90198474599</v>
      </c>
      <c r="AD222" s="25">
        <f t="shared" ca="1" si="490"/>
        <v>-848341.39792787516</v>
      </c>
      <c r="AE222" s="25">
        <f t="shared" ca="1" si="490"/>
        <v>-849613.03739867278</v>
      </c>
      <c r="AF222" s="25">
        <f t="shared" ca="1" si="490"/>
        <v>-838382.41721165727</v>
      </c>
      <c r="AG222" s="25">
        <f t="shared" ca="1" si="490"/>
        <v>-826887.06624097959</v>
      </c>
      <c r="AH222" s="25">
        <f t="shared" ca="1" si="490"/>
        <v>23522581.464150805</v>
      </c>
      <c r="AI222" s="25">
        <f t="shared" ca="1" si="490"/>
        <v>-965720.27590253076</v>
      </c>
      <c r="AJ222" s="25">
        <f t="shared" ca="1" si="490"/>
        <v>-953809.86845927872</v>
      </c>
      <c r="AK222" s="25">
        <f t="shared" ca="1" si="490"/>
        <v>-949093.98852786794</v>
      </c>
      <c r="AL222" s="25">
        <f t="shared" ca="1" si="490"/>
        <v>-937035.75883961935</v>
      </c>
      <c r="AM222" s="25">
        <f t="shared" ca="1" si="490"/>
        <v>-928084.43579042528</v>
      </c>
      <c r="AN222" s="25">
        <f t="shared" ca="1" si="490"/>
        <v>-1384000.7188740745</v>
      </c>
      <c r="AO222" s="25">
        <f t="shared" ca="1" si="490"/>
        <v>-1379836.7907843613</v>
      </c>
      <c r="AP222" s="25">
        <f t="shared" ca="1" si="490"/>
        <v>-1375681.2368454197</v>
      </c>
      <c r="AQ222" s="25">
        <f t="shared" ca="1" si="490"/>
        <v>-1371605.4366459427</v>
      </c>
      <c r="AR222" s="25">
        <f t="shared" ca="1" si="490"/>
        <v>-1367472.6278863768</v>
      </c>
      <c r="AS222" s="25">
        <f t="shared" ca="1" si="490"/>
        <v>-1363348.7327925544</v>
      </c>
      <c r="AT222" s="25">
        <f t="shared" ca="1" si="490"/>
        <v>-896395.68193112523</v>
      </c>
      <c r="AU222" s="25">
        <f t="shared" ca="1" si="490"/>
        <v>-894018.9595053154</v>
      </c>
      <c r="AV222" s="25">
        <f t="shared" ca="1" si="490"/>
        <v>-891636.82628521882</v>
      </c>
      <c r="AW222" s="25">
        <f t="shared" ca="1" si="490"/>
        <v>-889249.12827955279</v>
      </c>
      <c r="AX222" s="25">
        <f t="shared" ca="1" si="490"/>
        <v>-886855.71033332497</v>
      </c>
      <c r="AY222" s="25">
        <f t="shared" ca="1" si="490"/>
        <v>-884456.41606109496</v>
      </c>
      <c r="AZ222" s="25">
        <f t="shared" ca="1" si="490"/>
        <v>-882051.08777973661</v>
      </c>
      <c r="BA222" s="25">
        <f t="shared" ca="1" si="490"/>
        <v>-879639.56644067727</v>
      </c>
      <c r="BB222" s="25">
        <f t="shared" ca="1" si="490"/>
        <v>-877221.69156160671</v>
      </c>
      <c r="BC222" s="25">
        <f t="shared" ca="1" si="490"/>
        <v>-875737.0908884122</v>
      </c>
      <c r="BD222" s="25">
        <f t="shared" ca="1" si="490"/>
        <v>-873337.06893971236</v>
      </c>
      <c r="BE222" s="25">
        <f t="shared" ca="1" si="490"/>
        <v>-870930.82366059837</v>
      </c>
      <c r="BF222" s="25">
        <f t="shared" ca="1" si="490"/>
        <v>10927287.321453873</v>
      </c>
      <c r="BG222" s="25">
        <f t="shared" ca="1" si="490"/>
        <v>-926795.71563818562</v>
      </c>
      <c r="BH222" s="25">
        <f t="shared" ca="1" si="490"/>
        <v>-924883.72156834928</v>
      </c>
      <c r="BI222" s="25">
        <f t="shared" ca="1" si="490"/>
        <v>-922976.75407559611</v>
      </c>
      <c r="BJ222" s="25">
        <f t="shared" ca="1" si="490"/>
        <v>-921074.87366205174</v>
      </c>
      <c r="BK222" s="25">
        <f t="shared" ca="1" si="490"/>
        <v>-919178.14361231215</v>
      </c>
      <c r="BL222" s="25">
        <f t="shared" ca="1" si="490"/>
        <v>-1138397.741124941</v>
      </c>
      <c r="BM222" s="25">
        <f t="shared" ca="1" si="490"/>
        <v>-1135400.4017783892</v>
      </c>
      <c r="BN222" s="25">
        <f t="shared" ca="1" si="490"/>
        <v>-1132408.419553563</v>
      </c>
      <c r="BO222" s="25">
        <f t="shared" ca="1" si="490"/>
        <v>-1075183.0942543172</v>
      </c>
      <c r="BP222" s="25">
        <f t="shared" ca="1" si="490"/>
        <v>-1016340.1289093192</v>
      </c>
      <c r="BQ222" s="25">
        <f t="shared" ca="1" si="490"/>
        <v>-956385.51480294275</v>
      </c>
      <c r="BR222" s="25">
        <f t="shared" ca="1" si="490"/>
        <v>8892844.1721149012</v>
      </c>
      <c r="BS222" s="25">
        <f t="shared" ca="1" si="490"/>
        <v>-933412.17377182655</v>
      </c>
      <c r="BT222" s="25">
        <f t="shared" ca="1" si="490"/>
        <v>-882767.67407205701</v>
      </c>
      <c r="BU222" s="25">
        <f t="shared" ca="1" si="490"/>
        <v>-835243.19832744356</v>
      </c>
      <c r="BV222" s="25">
        <f t="shared" ca="1" si="490"/>
        <v>-790860.44558022125</v>
      </c>
      <c r="BW222" s="25">
        <f t="shared" ref="BW222:CC222" ca="1" si="491">BW216+BW204+BW205+BW206+BW210+BW215+BW217</f>
        <v>-749641.9568258822</v>
      </c>
      <c r="BX222" s="25">
        <f t="shared" ca="1" si="491"/>
        <v>-895870.38701580744</v>
      </c>
      <c r="BY222" s="25">
        <f t="shared" ca="1" si="491"/>
        <v>-860125.55513376696</v>
      </c>
      <c r="BZ222" s="25">
        <f t="shared" ca="1" si="491"/>
        <v>-827617.79087031726</v>
      </c>
      <c r="CA222" s="25">
        <f t="shared" ca="1" si="491"/>
        <v>-796162.67067907704</v>
      </c>
      <c r="CB222" s="25">
        <f t="shared" ca="1" si="491"/>
        <v>-767880.94185655285</v>
      </c>
      <c r="CC222" s="25">
        <f t="shared" ca="1" si="491"/>
        <v>-742870.59616150055</v>
      </c>
      <c r="CD222" s="25">
        <f t="shared" ref="CD222:DY222" ca="1" si="492">CD216+CD204+CD205+CD206+CD210+CD215+CD217</f>
        <v>9109386.1920055933</v>
      </c>
      <c r="CE222" s="25">
        <f t="shared" ca="1" si="492"/>
        <v>-749633.7120236801</v>
      </c>
      <c r="CF222" s="25">
        <f t="shared" ca="1" si="492"/>
        <v>-729916.75792493951</v>
      </c>
      <c r="CG222" s="25">
        <f t="shared" ca="1" si="492"/>
        <v>-711472.20368826296</v>
      </c>
      <c r="CH222" s="25">
        <f t="shared" ca="1" si="492"/>
        <v>-694309.65330833523</v>
      </c>
      <c r="CI222" s="25">
        <f t="shared" ca="1" si="492"/>
        <v>-678439.06208281824</v>
      </c>
      <c r="CJ222" s="25">
        <f t="shared" ca="1" si="492"/>
        <v>-848130.00129238702</v>
      </c>
      <c r="CK222" s="25">
        <f t="shared" ca="1" si="492"/>
        <v>-833948.70078323362</v>
      </c>
      <c r="CL222" s="25">
        <f t="shared" ca="1" si="492"/>
        <v>-821091.3879728727</v>
      </c>
      <c r="CM222" s="25">
        <f t="shared" ca="1" si="492"/>
        <v>-808116.151886662</v>
      </c>
      <c r="CN222" s="25">
        <f t="shared" ca="1" si="492"/>
        <v>-796459.0444479743</v>
      </c>
      <c r="CO222" s="25">
        <f t="shared" ca="1" si="492"/>
        <v>-786131.66978283506</v>
      </c>
      <c r="CP222" s="25">
        <f t="shared" ca="1" si="492"/>
        <v>9513812.327524852</v>
      </c>
      <c r="CQ222" s="25">
        <f t="shared" ca="1" si="492"/>
        <v>-359722.33960046852</v>
      </c>
      <c r="CR222" s="25">
        <f t="shared" ca="1" si="492"/>
        <v>-353777.01914676558</v>
      </c>
      <c r="CS222" s="25">
        <f t="shared" ca="1" si="492"/>
        <v>-347472.4629413886</v>
      </c>
      <c r="CT222" s="25">
        <f t="shared" ca="1" si="492"/>
        <v>-341639.53089297237</v>
      </c>
      <c r="CU222" s="25">
        <f t="shared" ca="1" si="492"/>
        <v>-336321.61985955248</v>
      </c>
      <c r="CV222" s="25">
        <f t="shared" ca="1" si="492"/>
        <v>-515731.48412593361</v>
      </c>
      <c r="CW222" s="25">
        <f t="shared" ca="1" si="492"/>
        <v>-510067.72121971892</v>
      </c>
      <c r="CX222" s="25">
        <f t="shared" ca="1" si="492"/>
        <v>-504500.06385278795</v>
      </c>
      <c r="CY222" s="25">
        <f t="shared" ca="1" si="492"/>
        <v>-499016.90170021728</v>
      </c>
      <c r="CZ222" s="25">
        <f t="shared" ca="1" si="492"/>
        <v>-493625.07926994422</v>
      </c>
      <c r="DA222" s="25">
        <f t="shared" ca="1" si="492"/>
        <v>-488330.78933215141</v>
      </c>
      <c r="DB222" s="25">
        <f t="shared" ca="1" si="492"/>
        <v>9346868.5345718209</v>
      </c>
      <c r="DC222" s="25">
        <f t="shared" ca="1" si="492"/>
        <v>-528016.51287559513</v>
      </c>
      <c r="DD222" s="25">
        <f t="shared" ca="1" si="492"/>
        <v>-522984.70050085941</v>
      </c>
      <c r="DE222" s="25">
        <f t="shared" ca="1" si="492"/>
        <v>-518036.58257302828</v>
      </c>
      <c r="DF222" s="25">
        <f t="shared" ca="1" si="492"/>
        <v>-513172.73606388224</v>
      </c>
      <c r="DG222" s="25">
        <f t="shared" ca="1" si="492"/>
        <v>-508393.76097694365</v>
      </c>
      <c r="DH222" s="25">
        <f t="shared" ca="1" si="492"/>
        <v>-687959.53994372487</v>
      </c>
      <c r="DI222" s="25">
        <f t="shared" ca="1" si="492"/>
        <v>-682426.27560588531</v>
      </c>
      <c r="DJ222" s="25">
        <f t="shared" ca="1" si="492"/>
        <v>-676979.82430194365</v>
      </c>
      <c r="DK222" s="25">
        <f t="shared" ca="1" si="492"/>
        <v>-671521.01113340678</v>
      </c>
      <c r="DL222" s="25">
        <f t="shared" ca="1" si="492"/>
        <v>-666148.42952073505</v>
      </c>
      <c r="DM222" s="25">
        <f t="shared" ca="1" si="492"/>
        <v>-660862.78510787338</v>
      </c>
      <c r="DN222" s="25">
        <f t="shared" ca="1" si="492"/>
        <v>12344467.157572797</v>
      </c>
      <c r="DO222" s="25">
        <f t="shared" ca="1" si="492"/>
        <v>-495460.678995647</v>
      </c>
      <c r="DP222" s="25">
        <f t="shared" ca="1" si="492"/>
        <v>-491424.32080434915</v>
      </c>
      <c r="DQ222" s="25">
        <f t="shared" ca="1" si="492"/>
        <v>-487424.02612389624</v>
      </c>
      <c r="DR222" s="25">
        <f t="shared" ca="1" si="492"/>
        <v>-483460.06340346392</v>
      </c>
      <c r="DS222" s="25">
        <f t="shared" ca="1" si="492"/>
        <v>-479532.71141700307</v>
      </c>
      <c r="DT222" s="25">
        <f t="shared" ca="1" si="492"/>
        <v>-715179.29645009013</v>
      </c>
      <c r="DU222" s="25">
        <f t="shared" ca="1" si="492"/>
        <v>-710122.3406015709</v>
      </c>
      <c r="DV222" s="25">
        <f t="shared" ca="1" si="492"/>
        <v>-705102.8952741297</v>
      </c>
      <c r="DW222" s="25">
        <f t="shared" ca="1" si="492"/>
        <v>-700043.58560091676</v>
      </c>
      <c r="DX222" s="25">
        <f t="shared" ca="1" si="492"/>
        <v>-695020.88684722269</v>
      </c>
      <c r="DY222" s="25">
        <f t="shared" ca="1" si="492"/>
        <v>-690035.1119342763</v>
      </c>
    </row>
    <row r="223" spans="1:129">
      <c r="C223" s="37"/>
      <c r="J223" s="35"/>
      <c r="V223" s="38"/>
      <c r="W223" s="38"/>
      <c r="X223" s="102"/>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row>
    <row r="224" spans="1:129" s="120" customFormat="1">
      <c r="A224" s="5"/>
      <c r="B224" s="391" t="s">
        <v>234</v>
      </c>
      <c r="C224" s="85"/>
      <c r="J224" s="192"/>
      <c r="K224" s="139"/>
      <c r="L224" s="139"/>
      <c r="M224" s="139"/>
      <c r="N224" s="139"/>
      <c r="O224" s="139"/>
      <c r="P224" s="139"/>
      <c r="Q224" s="139"/>
      <c r="R224" s="139"/>
      <c r="S224" s="139"/>
      <c r="T224" s="139"/>
      <c r="U224" s="139"/>
      <c r="V224" s="193"/>
      <c r="W224" s="193"/>
      <c r="X224" s="194"/>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c r="BJ224" s="193"/>
      <c r="BK224" s="193"/>
      <c r="BL224" s="193"/>
      <c r="BM224" s="193"/>
      <c r="BN224" s="193"/>
      <c r="BO224" s="193"/>
      <c r="BP224" s="193"/>
      <c r="BQ224" s="193"/>
      <c r="BR224" s="193"/>
      <c r="BS224" s="193"/>
      <c r="BT224" s="193"/>
      <c r="BU224" s="193"/>
      <c r="BV224" s="193"/>
      <c r="BW224" s="193"/>
      <c r="BX224" s="193"/>
      <c r="BY224" s="193"/>
      <c r="BZ224" s="193"/>
      <c r="CA224" s="193"/>
      <c r="CB224" s="193"/>
      <c r="CC224" s="193"/>
    </row>
    <row r="225" spans="3:129" outlineLevel="1">
      <c r="C225" s="37"/>
      <c r="J225" s="35"/>
      <c r="V225" s="38"/>
      <c r="W225" s="38"/>
      <c r="X225" s="102"/>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row>
    <row r="226" spans="3:129" outlineLevel="1">
      <c r="C226" s="85" t="s">
        <v>11</v>
      </c>
      <c r="D226" s="85"/>
      <c r="E226" s="85"/>
      <c r="F226" s="85"/>
      <c r="G226" s="85"/>
      <c r="H226" s="85"/>
      <c r="I226" s="85"/>
      <c r="J226" s="86">
        <f>I241</f>
        <v>300000</v>
      </c>
      <c r="K226" s="86">
        <f ca="1">J241</f>
        <v>17607626.924219817</v>
      </c>
      <c r="L226" s="86">
        <f t="shared" ref="L226:BW226" ca="1" si="493">K241</f>
        <v>16899007.183608737</v>
      </c>
      <c r="M226" s="86">
        <f t="shared" ca="1" si="493"/>
        <v>16201122.101979539</v>
      </c>
      <c r="N226" s="86">
        <f t="shared" ca="1" si="493"/>
        <v>15514827.990227271</v>
      </c>
      <c r="O226" s="86">
        <f t="shared" ca="1" si="493"/>
        <v>14840991.869287739</v>
      </c>
      <c r="P226" s="86">
        <f t="shared" ca="1" si="493"/>
        <v>14180491.748500083</v>
      </c>
      <c r="Q226" s="86">
        <f t="shared" ca="1" si="493"/>
        <v>13534216.908894992</v>
      </c>
      <c r="R226" s="86">
        <f t="shared" ca="1" si="493"/>
        <v>12903068.191513494</v>
      </c>
      <c r="S226" s="86">
        <f t="shared" ca="1" si="493"/>
        <v>12287958.290863262</v>
      </c>
      <c r="T226" s="86">
        <f t="shared" ca="1" si="493"/>
        <v>11680744.520900516</v>
      </c>
      <c r="U226" s="86">
        <f t="shared" ca="1" si="493"/>
        <v>11090721.717652993</v>
      </c>
      <c r="V226" s="86">
        <f t="shared" ca="1" si="493"/>
        <v>10518825.749797752</v>
      </c>
      <c r="W226" s="86">
        <f t="shared" ca="1" si="493"/>
        <v>9554523.4321791083</v>
      </c>
      <c r="X226" s="86">
        <f t="shared" ca="1" si="493"/>
        <v>8605647.8952071648</v>
      </c>
      <c r="Y226" s="86">
        <f t="shared" ca="1" si="493"/>
        <v>7672559.8056339389</v>
      </c>
      <c r="Z226" s="86">
        <f t="shared" ca="1" si="493"/>
        <v>6755625.6541795386</v>
      </c>
      <c r="AA226" s="86">
        <f t="shared" ca="1" si="493"/>
        <v>5855217.8859051932</v>
      </c>
      <c r="AB226" s="86">
        <f t="shared" ca="1" si="493"/>
        <v>4971715.0330548175</v>
      </c>
      <c r="AC226" s="86">
        <f t="shared" ca="1" si="493"/>
        <v>5901336.9744150648</v>
      </c>
      <c r="AD226" s="86">
        <f t="shared" ca="1" si="493"/>
        <v>5041847.0724303182</v>
      </c>
      <c r="AE226" s="86">
        <f t="shared" ca="1" si="493"/>
        <v>4193505.6745024417</v>
      </c>
      <c r="AF226" s="86">
        <f t="shared" ca="1" si="493"/>
        <v>3343892.6371037676</v>
      </c>
      <c r="AG226" s="86">
        <f t="shared" ca="1" si="493"/>
        <v>2505510.2198921102</v>
      </c>
      <c r="AH226" s="86">
        <f t="shared" ca="1" si="493"/>
        <v>1678623.1536511304</v>
      </c>
      <c r="AI226" s="86">
        <f t="shared" ca="1" si="493"/>
        <v>35201204.617801942</v>
      </c>
      <c r="AJ226" s="86">
        <f t="shared" ca="1" si="493"/>
        <v>34235484.34189941</v>
      </c>
      <c r="AK226" s="86">
        <f t="shared" ca="1" si="493"/>
        <v>33281674.473440137</v>
      </c>
      <c r="AL226" s="86">
        <f t="shared" ca="1" si="493"/>
        <v>32332580.484912273</v>
      </c>
      <c r="AM226" s="86">
        <f t="shared" ca="1" si="493"/>
        <v>31395544.726072658</v>
      </c>
      <c r="AN226" s="86">
        <f t="shared" ca="1" si="493"/>
        <v>30467460.290282235</v>
      </c>
      <c r="AO226" s="86">
        <f t="shared" ca="1" si="493"/>
        <v>29083459.571408153</v>
      </c>
      <c r="AP226" s="86">
        <f t="shared" ca="1" si="493"/>
        <v>27703622.780623794</v>
      </c>
      <c r="AQ226" s="86">
        <f t="shared" ca="1" si="493"/>
        <v>26327941.543778371</v>
      </c>
      <c r="AR226" s="86">
        <f t="shared" ca="1" si="493"/>
        <v>24956336.107132427</v>
      </c>
      <c r="AS226" s="86">
        <f t="shared" ca="1" si="493"/>
        <v>23588863.47924605</v>
      </c>
      <c r="AT226" s="86">
        <f t="shared" ca="1" si="493"/>
        <v>22225514.746453498</v>
      </c>
      <c r="AU226" s="86">
        <f t="shared" ca="1" si="493"/>
        <v>21329119.064522371</v>
      </c>
      <c r="AV226" s="86">
        <f t="shared" ca="1" si="493"/>
        <v>20435100.105017051</v>
      </c>
      <c r="AW226" s="86">
        <f t="shared" ca="1" si="493"/>
        <v>19543463.27873183</v>
      </c>
      <c r="AX226" s="86">
        <f t="shared" ca="1" si="493"/>
        <v>18654214.150452279</v>
      </c>
      <c r="AY226" s="86">
        <f t="shared" ca="1" si="493"/>
        <v>17767358.440118954</v>
      </c>
      <c r="AZ226" s="86">
        <f t="shared" ca="1" si="493"/>
        <v>16882902.024057858</v>
      </c>
      <c r="BA226" s="86">
        <f t="shared" ca="1" si="493"/>
        <v>16000850.93627812</v>
      </c>
      <c r="BB226" s="86">
        <f t="shared" ca="1" si="493"/>
        <v>15121211.369837444</v>
      </c>
      <c r="BC226" s="86">
        <f t="shared" ca="1" si="493"/>
        <v>14243989.678275837</v>
      </c>
      <c r="BD226" s="86">
        <f t="shared" ca="1" si="493"/>
        <v>13368252.587387424</v>
      </c>
      <c r="BE226" s="86">
        <f t="shared" ca="1" si="493"/>
        <v>12494915.518447712</v>
      </c>
      <c r="BF226" s="86">
        <f t="shared" ca="1" si="493"/>
        <v>11623984.694787113</v>
      </c>
      <c r="BG226" s="86">
        <f t="shared" ca="1" si="493"/>
        <v>22551272.016240992</v>
      </c>
      <c r="BH226" s="86">
        <f t="shared" ca="1" si="493"/>
        <v>21624476.300602809</v>
      </c>
      <c r="BI226" s="86">
        <f t="shared" ca="1" si="493"/>
        <v>20699592.579034459</v>
      </c>
      <c r="BJ226" s="86">
        <f t="shared" ca="1" si="493"/>
        <v>19776615.824958865</v>
      </c>
      <c r="BK226" s="86">
        <f t="shared" ca="1" si="493"/>
        <v>18855540.951296818</v>
      </c>
      <c r="BL226" s="86">
        <f t="shared" ca="1" si="493"/>
        <v>17936362.807684507</v>
      </c>
      <c r="BM226" s="86">
        <f t="shared" ca="1" si="493"/>
        <v>16797965.066559564</v>
      </c>
      <c r="BN226" s="86">
        <f t="shared" ca="1" si="493"/>
        <v>15662564.664781176</v>
      </c>
      <c r="BO226" s="86">
        <f t="shared" ca="1" si="493"/>
        <v>14530156.245227613</v>
      </c>
      <c r="BP226" s="86">
        <f t="shared" ca="1" si="493"/>
        <v>13454973.150973296</v>
      </c>
      <c r="BQ226" s="86">
        <f t="shared" ca="1" si="493"/>
        <v>12438633.022063976</v>
      </c>
      <c r="BR226" s="86">
        <f t="shared" ca="1" si="493"/>
        <v>11482247.507261034</v>
      </c>
      <c r="BS226" s="86">
        <f t="shared" ca="1" si="493"/>
        <v>20375091.679375935</v>
      </c>
      <c r="BT226" s="86">
        <f t="shared" ca="1" si="493"/>
        <v>19441679.505604107</v>
      </c>
      <c r="BU226" s="86">
        <f t="shared" ca="1" si="493"/>
        <v>18558911.831532046</v>
      </c>
      <c r="BV226" s="86">
        <f t="shared" ca="1" si="493"/>
        <v>17723668.633204605</v>
      </c>
      <c r="BW226" s="86">
        <f t="shared" ca="1" si="493"/>
        <v>16932808.18762438</v>
      </c>
      <c r="BX226" s="86">
        <f t="shared" ref="BX226:CC226" ca="1" si="494">BW241</f>
        <v>16183166.230798498</v>
      </c>
      <c r="BY226" s="86">
        <f t="shared" ca="1" si="494"/>
        <v>15287295.843782693</v>
      </c>
      <c r="BZ226" s="86">
        <f t="shared" ca="1" si="494"/>
        <v>14427170.288648926</v>
      </c>
      <c r="CA226" s="86">
        <f t="shared" ca="1" si="494"/>
        <v>13599552.497778608</v>
      </c>
      <c r="CB226" s="86">
        <f t="shared" ca="1" si="494"/>
        <v>12803389.827099532</v>
      </c>
      <c r="CC226" s="86">
        <f t="shared" ca="1" si="494"/>
        <v>12035508.88524298</v>
      </c>
      <c r="CD226" s="86">
        <f t="shared" ref="CD226:DY226" ca="1" si="495">CC241</f>
        <v>11292638.28908148</v>
      </c>
      <c r="CE226" s="86">
        <f t="shared" ca="1" si="495"/>
        <v>20402024.481087077</v>
      </c>
      <c r="CF226" s="86">
        <f t="shared" ca="1" si="495"/>
        <v>19652390.769063395</v>
      </c>
      <c r="CG226" s="86">
        <f t="shared" ca="1" si="495"/>
        <v>18922474.011138454</v>
      </c>
      <c r="CH226" s="86">
        <f t="shared" ca="1" si="495"/>
        <v>18211001.80745019</v>
      </c>
      <c r="CI226" s="86">
        <f t="shared" ca="1" si="495"/>
        <v>17516692.154141854</v>
      </c>
      <c r="CJ226" s="86">
        <f t="shared" ca="1" si="495"/>
        <v>16838253.092059039</v>
      </c>
      <c r="CK226" s="86">
        <f t="shared" ca="1" si="495"/>
        <v>15990123.090766646</v>
      </c>
      <c r="CL226" s="86">
        <f t="shared" ca="1" si="495"/>
        <v>15156174.389983414</v>
      </c>
      <c r="CM226" s="86">
        <f t="shared" ca="1" si="495"/>
        <v>14335083.002010543</v>
      </c>
      <c r="CN226" s="86">
        <f t="shared" ca="1" si="495"/>
        <v>13526966.85012388</v>
      </c>
      <c r="CO226" s="86">
        <f t="shared" ca="1" si="495"/>
        <v>12730507.805675907</v>
      </c>
      <c r="CP226" s="86">
        <f t="shared" ca="1" si="495"/>
        <v>11944376.135893069</v>
      </c>
      <c r="CQ226" s="86">
        <f t="shared" ca="1" si="495"/>
        <v>21458188.463417921</v>
      </c>
      <c r="CR226" s="86">
        <f t="shared" ca="1" si="495"/>
        <v>21098466.123817451</v>
      </c>
      <c r="CS226" s="86">
        <f t="shared" ca="1" si="495"/>
        <v>20744689.104670681</v>
      </c>
      <c r="CT226" s="86">
        <f t="shared" ca="1" si="495"/>
        <v>20397216.641729295</v>
      </c>
      <c r="CU226" s="86">
        <f t="shared" ca="1" si="495"/>
        <v>20055577.110836323</v>
      </c>
      <c r="CV226" s="86">
        <f t="shared" ca="1" si="495"/>
        <v>19719255.490976769</v>
      </c>
      <c r="CW226" s="86">
        <f t="shared" ca="1" si="495"/>
        <v>19203524.006850842</v>
      </c>
      <c r="CX226" s="86">
        <f t="shared" ca="1" si="495"/>
        <v>18693456.285631124</v>
      </c>
      <c r="CY226" s="86">
        <f t="shared" ca="1" si="495"/>
        <v>18188956.221778341</v>
      </c>
      <c r="CZ226" s="86">
        <f t="shared" ca="1" si="495"/>
        <v>17689939.320078131</v>
      </c>
      <c r="DA226" s="86">
        <f t="shared" ca="1" si="495"/>
        <v>17196314.240808185</v>
      </c>
      <c r="DB226" s="86">
        <f t="shared" ca="1" si="495"/>
        <v>16707983.451476036</v>
      </c>
      <c r="DC226" s="86">
        <f t="shared" ca="1" si="495"/>
        <v>26054851.986047857</v>
      </c>
      <c r="DD226" s="86">
        <f t="shared" ca="1" si="495"/>
        <v>25526835.473172262</v>
      </c>
      <c r="DE226" s="86">
        <f t="shared" ca="1" si="495"/>
        <v>25003850.772671398</v>
      </c>
      <c r="DF226" s="86">
        <f t="shared" ca="1" si="495"/>
        <v>24485814.190098368</v>
      </c>
      <c r="DG226" s="86">
        <f t="shared" ca="1" si="495"/>
        <v>23972641.454034489</v>
      </c>
      <c r="DH226" s="86">
        <f t="shared" ca="1" si="495"/>
        <v>23464247.693057548</v>
      </c>
      <c r="DI226" s="86">
        <f t="shared" ca="1" si="495"/>
        <v>22776288.153113823</v>
      </c>
      <c r="DJ226" s="86">
        <f t="shared" ca="1" si="495"/>
        <v>22093861.877507936</v>
      </c>
      <c r="DK226" s="86">
        <f t="shared" ca="1" si="495"/>
        <v>21416882.053205993</v>
      </c>
      <c r="DL226" s="86">
        <f t="shared" ca="1" si="495"/>
        <v>20745361.04207259</v>
      </c>
      <c r="DM226" s="86">
        <f t="shared" ca="1" si="495"/>
        <v>20079212.612551853</v>
      </c>
      <c r="DN226" s="86">
        <f t="shared" ca="1" si="495"/>
        <v>19418349.827443976</v>
      </c>
      <c r="DO226" s="86">
        <f t="shared" ca="1" si="495"/>
        <v>31762816.985016771</v>
      </c>
      <c r="DP226" s="86">
        <f t="shared" ca="1" si="495"/>
        <v>31267356.30602112</v>
      </c>
      <c r="DQ226" s="86">
        <f t="shared" ca="1" si="495"/>
        <v>30775931.985216778</v>
      </c>
      <c r="DR226" s="86">
        <f t="shared" ca="1" si="495"/>
        <v>30288507.959092878</v>
      </c>
      <c r="DS226" s="86">
        <f t="shared" ca="1" si="495"/>
        <v>29805047.895689417</v>
      </c>
      <c r="DT226" s="86">
        <f t="shared" ca="1" si="495"/>
        <v>29325515.184272416</v>
      </c>
      <c r="DU226" s="86">
        <f t="shared" ca="1" si="495"/>
        <v>28610335.88782233</v>
      </c>
      <c r="DV226" s="86">
        <f t="shared" ca="1" si="495"/>
        <v>27900213.547220763</v>
      </c>
      <c r="DW226" s="86">
        <f t="shared" ca="1" si="495"/>
        <v>27195110.651946638</v>
      </c>
      <c r="DX226" s="86">
        <f t="shared" ca="1" si="495"/>
        <v>26495067.066345721</v>
      </c>
      <c r="DY226" s="86">
        <f t="shared" ca="1" si="495"/>
        <v>25800046.179498501</v>
      </c>
    </row>
    <row r="227" spans="3:129" outlineLevel="1">
      <c r="C227" s="37"/>
      <c r="J227" s="35"/>
      <c r="V227" s="38"/>
      <c r="W227" s="38"/>
      <c r="X227" s="102"/>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row>
    <row r="228" spans="3:129" outlineLevel="1">
      <c r="C228" s="5" t="s">
        <v>241</v>
      </c>
      <c r="J228" s="35">
        <f t="shared" ref="J228:AO228" ca="1" si="496">+_TotalRevenueCash</f>
        <v>1513596.6383428522</v>
      </c>
      <c r="K228" s="35">
        <f t="shared" ca="1" si="496"/>
        <v>1561135.4434970021</v>
      </c>
      <c r="L228" s="35">
        <f t="shared" ca="1" si="496"/>
        <v>1610640.9105996103</v>
      </c>
      <c r="M228" s="35">
        <f t="shared" ca="1" si="496"/>
        <v>1662142.2140311929</v>
      </c>
      <c r="N228" s="35">
        <f t="shared" ca="1" si="496"/>
        <v>1715669.2132484596</v>
      </c>
      <c r="O228" s="35">
        <f t="shared" ca="1" si="496"/>
        <v>1771252.4654699531</v>
      </c>
      <c r="P228" s="35">
        <f t="shared" ca="1" si="496"/>
        <v>1828923.2386255604</v>
      </c>
      <c r="Q228" s="35">
        <f t="shared" ca="1" si="496"/>
        <v>1888713.5245750658</v>
      </c>
      <c r="R228" s="35">
        <f t="shared" ca="1" si="496"/>
        <v>1950656.0526010396</v>
      </c>
      <c r="S228" s="35">
        <f t="shared" ca="1" si="496"/>
        <v>2014784.3031814368</v>
      </c>
      <c r="T228" s="35">
        <f t="shared" ca="1" si="496"/>
        <v>2081132.5220474065</v>
      </c>
      <c r="U228" s="35">
        <f t="shared" ca="1" si="496"/>
        <v>2149735.7345319209</v>
      </c>
      <c r="V228" s="35">
        <f t="shared" ca="1" si="496"/>
        <v>2223400.9404683891</v>
      </c>
      <c r="W228" s="35">
        <f t="shared" ca="1" si="496"/>
        <v>2282706.375848386</v>
      </c>
      <c r="X228" s="35">
        <f t="shared" ca="1" si="496"/>
        <v>2343415.742574852</v>
      </c>
      <c r="Y228" s="35">
        <f t="shared" ca="1" si="496"/>
        <v>2405554.9410483278</v>
      </c>
      <c r="Z228" s="35">
        <f t="shared" ca="1" si="496"/>
        <v>2469150.4114596285</v>
      </c>
      <c r="AA228" s="35">
        <f t="shared" ca="1" si="496"/>
        <v>2534229.1443678276</v>
      </c>
      <c r="AB228" s="35">
        <f t="shared" ca="1" si="496"/>
        <v>2600818.6914919768</v>
      </c>
      <c r="AC228" s="35">
        <f t="shared" ca="1" si="496"/>
        <v>2668947.1767208162</v>
      </c>
      <c r="AD228" s="35">
        <f t="shared" ca="1" si="496"/>
        <v>2738643.3073448185</v>
      </c>
      <c r="AE228" s="35">
        <f t="shared" ca="1" si="496"/>
        <v>2809936.3855149797</v>
      </c>
      <c r="AF228" s="35">
        <f t="shared" ca="1" si="496"/>
        <v>2882856.3199328873</v>
      </c>
      <c r="AG228" s="35">
        <f t="shared" ca="1" si="496"/>
        <v>2957433.6377766528</v>
      </c>
      <c r="AH228" s="35">
        <f t="shared" ca="1" si="496"/>
        <v>3036883.2784038293</v>
      </c>
      <c r="AI228" s="35">
        <f t="shared" ca="1" si="496"/>
        <v>3102493.7332838681</v>
      </c>
      <c r="AJ228" s="35">
        <f t="shared" ca="1" si="496"/>
        <v>3169518.2772190045</v>
      </c>
      <c r="AK228" s="35">
        <f t="shared" ca="1" si="496"/>
        <v>3237984.173190766</v>
      </c>
      <c r="AL228" s="35">
        <f t="shared" ca="1" si="496"/>
        <v>3307919.2396283052</v>
      </c>
      <c r="AM228" s="35">
        <f t="shared" ca="1" si="496"/>
        <v>3379351.8614154747</v>
      </c>
      <c r="AN228" s="35">
        <f t="shared" ca="1" si="496"/>
        <v>3454451.4317335952</v>
      </c>
      <c r="AO228" s="35">
        <f t="shared" ca="1" si="496"/>
        <v>3522549.5368318618</v>
      </c>
      <c r="AP228" s="35">
        <f t="shared" ref="AP228:BU228" ca="1" si="497">+_TotalRevenueCash</f>
        <v>3592048.4860999878</v>
      </c>
      <c r="AQ228" s="35">
        <f t="shared" ca="1" si="497"/>
        <v>3662975.9076006925</v>
      </c>
      <c r="AR228" s="35">
        <f t="shared" ca="1" si="497"/>
        <v>3735359.9858461544</v>
      </c>
      <c r="AS228" s="35">
        <f t="shared" ca="1" si="497"/>
        <v>3809229.4728881223</v>
      </c>
      <c r="AT228" s="35">
        <f t="shared" ca="1" si="497"/>
        <v>3884635.4721877035</v>
      </c>
      <c r="AU228" s="35">
        <f t="shared" ca="1" si="497"/>
        <v>3961455.0247006598</v>
      </c>
      <c r="AV228" s="35">
        <f t="shared" ca="1" si="497"/>
        <v>4039842.2115805168</v>
      </c>
      <c r="AW228" s="35">
        <f t="shared" ca="1" si="497"/>
        <v>4119828.0730814477</v>
      </c>
      <c r="AX228" s="35">
        <f t="shared" ca="1" si="497"/>
        <v>4201444.2733870381</v>
      </c>
      <c r="AY228" s="35">
        <f t="shared" ca="1" si="497"/>
        <v>4284723.1130576348</v>
      </c>
      <c r="AZ228" s="35">
        <f t="shared" ca="1" si="497"/>
        <v>4369697.5417269487</v>
      </c>
      <c r="BA228" s="35">
        <f t="shared" ca="1" si="497"/>
        <v>4456401.1710529039</v>
      </c>
      <c r="BB228" s="35">
        <f t="shared" ca="1" si="497"/>
        <v>4544868.2879277961</v>
      </c>
      <c r="BC228" s="35">
        <f t="shared" ca="1" si="497"/>
        <v>4635133.8679529838</v>
      </c>
      <c r="BD228" s="35">
        <f t="shared" ca="1" si="497"/>
        <v>4727233.5891833436</v>
      </c>
      <c r="BE228" s="35">
        <f t="shared" ca="1" si="497"/>
        <v>4821203.8461469309</v>
      </c>
      <c r="BF228" s="35">
        <f t="shared" ca="1" si="497"/>
        <v>4917314.5379221272</v>
      </c>
      <c r="BG228" s="35">
        <f t="shared" ca="1" si="497"/>
        <v>5014252.8740593866</v>
      </c>
      <c r="BH228" s="35">
        <f t="shared" ca="1" si="497"/>
        <v>5113154.7841674406</v>
      </c>
      <c r="BI228" s="35">
        <f t="shared" ca="1" si="497"/>
        <v>5214059.2916532233</v>
      </c>
      <c r="BJ228" s="35">
        <f t="shared" ca="1" si="497"/>
        <v>5317006.2028725343</v>
      </c>
      <c r="BK228" s="35">
        <f t="shared" ca="1" si="497"/>
        <v>5422036.1227642074</v>
      </c>
      <c r="BL228" s="35">
        <f t="shared" ca="1" si="497"/>
        <v>5529190.47079721</v>
      </c>
      <c r="BM228" s="35">
        <f t="shared" ca="1" si="497"/>
        <v>5638511.4972369317</v>
      </c>
      <c r="BN228" s="35">
        <f t="shared" ca="1" si="497"/>
        <v>5750042.2997370483</v>
      </c>
      <c r="BO228" s="35">
        <f t="shared" ca="1" si="497"/>
        <v>5863826.8402634496</v>
      </c>
      <c r="BP228" s="35">
        <f t="shared" ca="1" si="497"/>
        <v>5979909.9623569027</v>
      </c>
      <c r="BQ228" s="35">
        <f t="shared" ca="1" si="497"/>
        <v>6098337.4087411771</v>
      </c>
      <c r="BR228" s="35">
        <f t="shared" ca="1" si="497"/>
        <v>6202581.0810576454</v>
      </c>
      <c r="BS228" s="35">
        <f t="shared" ca="1" si="497"/>
        <v>6300941.2996307127</v>
      </c>
      <c r="BT228" s="35">
        <f t="shared" ca="1" si="497"/>
        <v>6394006.6467919974</v>
      </c>
      <c r="BU228" s="35">
        <f t="shared" ca="1" si="497"/>
        <v>6481743.8458710965</v>
      </c>
      <c r="BV228" s="35">
        <f t="shared" ref="BV228:DY228" ca="1" si="498">+_TotalRevenueCash</f>
        <v>6564118.228456622</v>
      </c>
      <c r="BW228" s="35">
        <f t="shared" ca="1" si="498"/>
        <v>6641093.7138234517</v>
      </c>
      <c r="BX228" s="35">
        <f t="shared" ca="1" si="498"/>
        <v>6712632.7878759159</v>
      </c>
      <c r="BY228" s="35">
        <f t="shared" ca="1" si="498"/>
        <v>6778696.4815979479</v>
      </c>
      <c r="BZ228" s="35">
        <f t="shared" ca="1" si="498"/>
        <v>6839244.3490010463</v>
      </c>
      <c r="CA228" s="35">
        <f t="shared" ca="1" si="498"/>
        <v>6894234.4445607737</v>
      </c>
      <c r="CB228" s="35">
        <f t="shared" ca="1" si="498"/>
        <v>6943623.300132175</v>
      </c>
      <c r="CC228" s="35">
        <f t="shared" ca="1" si="498"/>
        <v>6987365.9013344757</v>
      </c>
      <c r="CD228" s="35">
        <f t="shared" ca="1" si="498"/>
        <v>7024735.8340045838</v>
      </c>
      <c r="CE228" s="35">
        <f t="shared" ca="1" si="498"/>
        <v>7059823.4852258833</v>
      </c>
      <c r="CF228" s="35">
        <f t="shared" ca="1" si="498"/>
        <v>7092699.8105581496</v>
      </c>
      <c r="CG228" s="35">
        <f t="shared" ca="1" si="498"/>
        <v>7123349.7142727356</v>
      </c>
      <c r="CH228" s="35">
        <f t="shared" ca="1" si="498"/>
        <v>7151757.5074185301</v>
      </c>
      <c r="CI228" s="35">
        <f t="shared" ca="1" si="498"/>
        <v>7177906.8988705901</v>
      </c>
      <c r="CJ228" s="35">
        <f t="shared" ca="1" si="498"/>
        <v>7201780.9861706067</v>
      </c>
      <c r="CK228" s="35">
        <f t="shared" ca="1" si="498"/>
        <v>7223362.2461553505</v>
      </c>
      <c r="CL228" s="35">
        <f t="shared" ca="1" si="498"/>
        <v>7242632.5253691282</v>
      </c>
      <c r="CM228" s="35">
        <f t="shared" ca="1" si="498"/>
        <v>7259573.0302562276</v>
      </c>
      <c r="CN228" s="35">
        <f t="shared" ca="1" si="498"/>
        <v>7274164.3171292245</v>
      </c>
      <c r="CO228" s="35">
        <f t="shared" ca="1" si="498"/>
        <v>7286386.2819089536</v>
      </c>
      <c r="CP228" s="35">
        <f t="shared" ca="1" si="498"/>
        <v>7295846.9428554159</v>
      </c>
      <c r="CQ228" s="35">
        <f t="shared" ca="1" si="498"/>
        <v>7304387.3706981624</v>
      </c>
      <c r="CR228" s="35">
        <f t="shared" ca="1" si="498"/>
        <v>7312000.2629461018</v>
      </c>
      <c r="CS228" s="35">
        <f t="shared" ca="1" si="498"/>
        <v>7318678.0523288539</v>
      </c>
      <c r="CT228" s="35">
        <f t="shared" ca="1" si="498"/>
        <v>7324412.9103962192</v>
      </c>
      <c r="CU228" s="35">
        <f t="shared" ca="1" si="498"/>
        <v>7329196.7433929192</v>
      </c>
      <c r="CV228" s="35">
        <f t="shared" ca="1" si="498"/>
        <v>7332765.9317812249</v>
      </c>
      <c r="CW228" s="35">
        <f t="shared" ca="1" si="498"/>
        <v>7336125.6647957694</v>
      </c>
      <c r="CX228" s="35">
        <f t="shared" ca="1" si="498"/>
        <v>7339320.8364217971</v>
      </c>
      <c r="CY228" s="35">
        <f t="shared" ca="1" si="498"/>
        <v>7342350.4729920235</v>
      </c>
      <c r="CZ228" s="35">
        <f t="shared" ca="1" si="498"/>
        <v>7345213.5581902172</v>
      </c>
      <c r="DA228" s="35">
        <f t="shared" ca="1" si="498"/>
        <v>7347909.0324299708</v>
      </c>
      <c r="DB228" s="35">
        <f t="shared" ca="1" si="498"/>
        <v>7350431.7334267423</v>
      </c>
      <c r="DC228" s="35">
        <f t="shared" ca="1" si="498"/>
        <v>7352805.6004832266</v>
      </c>
      <c r="DD228" s="35">
        <f t="shared" ca="1" si="498"/>
        <v>7355036.4243984753</v>
      </c>
      <c r="DE228" s="35">
        <f t="shared" ca="1" si="498"/>
        <v>7357123.2495144885</v>
      </c>
      <c r="DF228" s="35">
        <f t="shared" ca="1" si="498"/>
        <v>7359065.0820080554</v>
      </c>
      <c r="DG228" s="35">
        <f t="shared" ca="1" si="498"/>
        <v>7360860.8893179726</v>
      </c>
      <c r="DH228" s="35">
        <f t="shared" ca="1" si="498"/>
        <v>7362509.5995589066</v>
      </c>
      <c r="DI228" s="35">
        <f t="shared" ca="1" si="498"/>
        <v>7364010.1009216281</v>
      </c>
      <c r="DJ228" s="35">
        <f t="shared" ca="1" si="498"/>
        <v>7365361.2410594001</v>
      </c>
      <c r="DK228" s="35">
        <f t="shared" ca="1" si="498"/>
        <v>7366561.8264602507</v>
      </c>
      <c r="DL228" s="35">
        <f t="shared" ca="1" si="498"/>
        <v>7367610.6218048343</v>
      </c>
      <c r="DM228" s="35">
        <f t="shared" ca="1" si="498"/>
        <v>7368506.3493096717</v>
      </c>
      <c r="DN228" s="35">
        <f t="shared" ca="1" si="498"/>
        <v>7369222.8978069844</v>
      </c>
      <c r="DO228" s="35">
        <f t="shared" ca="1" si="498"/>
        <v>7369878.6394315287</v>
      </c>
      <c r="DP228" s="35">
        <f t="shared" ca="1" si="498"/>
        <v>7370473.1094848337</v>
      </c>
      <c r="DQ228" s="35">
        <f t="shared" ca="1" si="498"/>
        <v>7371005.8263995135</v>
      </c>
      <c r="DR228" s="35">
        <f t="shared" ca="1" si="498"/>
        <v>7371476.2915381873</v>
      </c>
      <c r="DS228" s="35">
        <f t="shared" ca="1" si="498"/>
        <v>7371883.9889264796</v>
      </c>
      <c r="DT228" s="35">
        <f t="shared" ca="1" si="498"/>
        <v>7372228.3849799186</v>
      </c>
      <c r="DU228" s="35">
        <f t="shared" ca="1" si="498"/>
        <v>7372508.9282246288</v>
      </c>
      <c r="DV228" s="35">
        <f t="shared" ca="1" si="498"/>
        <v>7372725.0490117371</v>
      </c>
      <c r="DW228" s="35">
        <f t="shared" ca="1" si="498"/>
        <v>7372876.1592253111</v>
      </c>
      <c r="DX228" s="35">
        <f t="shared" ca="1" si="498"/>
        <v>7372961.651983778</v>
      </c>
      <c r="DY228" s="35">
        <f t="shared" ca="1" si="498"/>
        <v>7372980.9013346285</v>
      </c>
    </row>
    <row r="229" spans="3:129" outlineLevel="1">
      <c r="C229" s="5" t="s">
        <v>235</v>
      </c>
      <c r="J229" s="439">
        <f>Financing!J7</f>
        <v>5000000</v>
      </c>
      <c r="K229" s="439">
        <f>Financing!K7</f>
        <v>0</v>
      </c>
      <c r="L229" s="439">
        <f>Financing!L7</f>
        <v>0</v>
      </c>
      <c r="M229" s="439">
        <f>Financing!M7</f>
        <v>0</v>
      </c>
      <c r="N229" s="439">
        <f>Financing!N7</f>
        <v>0</v>
      </c>
      <c r="O229" s="439">
        <f>Financing!O7</f>
        <v>0</v>
      </c>
      <c r="P229" s="439">
        <f>Financing!P7</f>
        <v>0</v>
      </c>
      <c r="Q229" s="439">
        <f>Financing!Q7</f>
        <v>0</v>
      </c>
      <c r="R229" s="439">
        <f>Financing!R7</f>
        <v>0</v>
      </c>
      <c r="S229" s="439">
        <f>Financing!S7</f>
        <v>0</v>
      </c>
      <c r="T229" s="439">
        <f>Financing!T7</f>
        <v>0</v>
      </c>
      <c r="U229" s="439">
        <f>Financing!U7</f>
        <v>0</v>
      </c>
      <c r="V229" s="439">
        <f>Financing!V7</f>
        <v>0</v>
      </c>
      <c r="W229" s="439">
        <f>Financing!W7</f>
        <v>0</v>
      </c>
      <c r="X229" s="439">
        <f>Financing!X7</f>
        <v>0</v>
      </c>
      <c r="Y229" s="439">
        <f>Financing!Y7</f>
        <v>0</v>
      </c>
      <c r="Z229" s="439">
        <f>Financing!Z7</f>
        <v>0</v>
      </c>
      <c r="AA229" s="439">
        <f>Financing!AA7</f>
        <v>0</v>
      </c>
      <c r="AB229" s="439">
        <f>Financing!AB7</f>
        <v>3000000</v>
      </c>
      <c r="AC229" s="439">
        <f>Financing!AC7</f>
        <v>0</v>
      </c>
      <c r="AD229" s="439">
        <f>Financing!AD7</f>
        <v>0</v>
      </c>
      <c r="AE229" s="439">
        <f>Financing!AE7</f>
        <v>0</v>
      </c>
      <c r="AF229" s="439">
        <f>Financing!AF7</f>
        <v>0</v>
      </c>
      <c r="AG229" s="439">
        <f>Financing!AG7</f>
        <v>0</v>
      </c>
      <c r="AH229" s="439">
        <f>Financing!AH7</f>
        <v>0</v>
      </c>
      <c r="AI229" s="439">
        <f>Financing!AI7</f>
        <v>0</v>
      </c>
      <c r="AJ229" s="439">
        <f>Financing!AJ7</f>
        <v>0</v>
      </c>
      <c r="AK229" s="439">
        <f>Financing!AK7</f>
        <v>0</v>
      </c>
      <c r="AL229" s="439">
        <f>Financing!AL7</f>
        <v>0</v>
      </c>
      <c r="AM229" s="439">
        <f>Financing!AM7</f>
        <v>0</v>
      </c>
      <c r="AN229" s="439">
        <f>Financing!AN7</f>
        <v>0</v>
      </c>
      <c r="AO229" s="439">
        <f>Financing!AO7</f>
        <v>0</v>
      </c>
      <c r="AP229" s="439">
        <f>Financing!AP7</f>
        <v>0</v>
      </c>
      <c r="AQ229" s="439">
        <f>Financing!AQ7</f>
        <v>0</v>
      </c>
      <c r="AR229" s="439">
        <f>Financing!AR7</f>
        <v>0</v>
      </c>
      <c r="AS229" s="439">
        <f>Financing!AS7</f>
        <v>0</v>
      </c>
      <c r="AT229" s="439">
        <f>Financing!AT7</f>
        <v>0</v>
      </c>
      <c r="AU229" s="439">
        <f>Financing!AU7</f>
        <v>0</v>
      </c>
      <c r="AV229" s="439">
        <f>Financing!AV7</f>
        <v>0</v>
      </c>
      <c r="AW229" s="439">
        <f>Financing!AW7</f>
        <v>0</v>
      </c>
      <c r="AX229" s="439">
        <f>Financing!AX7</f>
        <v>0</v>
      </c>
      <c r="AY229" s="439">
        <f>Financing!AY7</f>
        <v>0</v>
      </c>
      <c r="AZ229" s="439">
        <f>Financing!AZ7</f>
        <v>0</v>
      </c>
      <c r="BA229" s="439">
        <f>Financing!BA7</f>
        <v>0</v>
      </c>
      <c r="BB229" s="439">
        <f>Financing!BB7</f>
        <v>0</v>
      </c>
      <c r="BC229" s="439">
        <f>Financing!BC7</f>
        <v>0</v>
      </c>
      <c r="BD229" s="439">
        <f>Financing!BD7</f>
        <v>0</v>
      </c>
      <c r="BE229" s="439">
        <f>Financing!BE7</f>
        <v>0</v>
      </c>
      <c r="BF229" s="439">
        <f>Financing!BF7</f>
        <v>0</v>
      </c>
      <c r="BG229" s="439">
        <f>Financing!BG7</f>
        <v>0</v>
      </c>
      <c r="BH229" s="439">
        <f>Financing!BH7</f>
        <v>0</v>
      </c>
      <c r="BI229" s="439">
        <f>Financing!BI7</f>
        <v>0</v>
      </c>
      <c r="BJ229" s="439">
        <f>Financing!BJ7</f>
        <v>0</v>
      </c>
      <c r="BK229" s="439">
        <f>Financing!BK7</f>
        <v>0</v>
      </c>
      <c r="BL229" s="439">
        <f>Financing!BL7</f>
        <v>0</v>
      </c>
      <c r="BM229" s="439">
        <f>Financing!BM7</f>
        <v>0</v>
      </c>
      <c r="BN229" s="439">
        <f>Financing!BN7</f>
        <v>0</v>
      </c>
      <c r="BO229" s="439">
        <f>Financing!BO7</f>
        <v>0</v>
      </c>
      <c r="BP229" s="439">
        <f>Financing!BP7</f>
        <v>0</v>
      </c>
      <c r="BQ229" s="439">
        <f>Financing!BQ7</f>
        <v>0</v>
      </c>
      <c r="BR229" s="439">
        <f>Financing!BR7</f>
        <v>0</v>
      </c>
      <c r="BS229" s="439">
        <f>Financing!BS7</f>
        <v>0</v>
      </c>
      <c r="BT229" s="439">
        <f>Financing!BT7</f>
        <v>0</v>
      </c>
      <c r="BU229" s="439">
        <f>Financing!BU7</f>
        <v>0</v>
      </c>
      <c r="BV229" s="439">
        <f>Financing!BV7</f>
        <v>0</v>
      </c>
      <c r="BW229" s="439">
        <f>Financing!BW7</f>
        <v>0</v>
      </c>
      <c r="BX229" s="439">
        <f>Financing!BX7</f>
        <v>0</v>
      </c>
      <c r="BY229" s="439">
        <f>Financing!BY7</f>
        <v>0</v>
      </c>
      <c r="BZ229" s="439">
        <f>Financing!BZ7</f>
        <v>0</v>
      </c>
      <c r="CA229" s="439">
        <f>Financing!CA7</f>
        <v>0</v>
      </c>
      <c r="CB229" s="439">
        <f>Financing!CB7</f>
        <v>0</v>
      </c>
      <c r="CC229" s="439">
        <f>Financing!CC7</f>
        <v>0</v>
      </c>
      <c r="CD229" s="439">
        <f>Financing!CD7</f>
        <v>0</v>
      </c>
      <c r="CE229" s="439">
        <f>Financing!CE7</f>
        <v>0</v>
      </c>
      <c r="CF229" s="439">
        <f>Financing!CF7</f>
        <v>0</v>
      </c>
      <c r="CG229" s="439">
        <f>Financing!CG7</f>
        <v>0</v>
      </c>
      <c r="CH229" s="439">
        <f>Financing!CH7</f>
        <v>0</v>
      </c>
      <c r="CI229" s="439">
        <f>Financing!CI7</f>
        <v>0</v>
      </c>
      <c r="CJ229" s="439">
        <f>Financing!CJ7</f>
        <v>0</v>
      </c>
      <c r="CK229" s="439">
        <f>Financing!CK7</f>
        <v>0</v>
      </c>
      <c r="CL229" s="439">
        <f>Financing!CL7</f>
        <v>0</v>
      </c>
      <c r="CM229" s="439">
        <f>Financing!CM7</f>
        <v>0</v>
      </c>
      <c r="CN229" s="439">
        <f>Financing!CN7</f>
        <v>0</v>
      </c>
      <c r="CO229" s="439">
        <f>Financing!CO7</f>
        <v>0</v>
      </c>
      <c r="CP229" s="439">
        <f>Financing!CP7</f>
        <v>0</v>
      </c>
      <c r="CQ229" s="439">
        <f>Financing!CQ7</f>
        <v>0</v>
      </c>
      <c r="CR229" s="439">
        <f>Financing!CR7</f>
        <v>0</v>
      </c>
      <c r="CS229" s="439">
        <f>Financing!CS7</f>
        <v>0</v>
      </c>
      <c r="CT229" s="439">
        <f>Financing!CT7</f>
        <v>0</v>
      </c>
      <c r="CU229" s="439">
        <f>Financing!CU7</f>
        <v>0</v>
      </c>
      <c r="CV229" s="439">
        <f>Financing!CV7</f>
        <v>0</v>
      </c>
      <c r="CW229" s="439">
        <f>Financing!CW7</f>
        <v>0</v>
      </c>
      <c r="CX229" s="439">
        <f>Financing!CX7</f>
        <v>0</v>
      </c>
      <c r="CY229" s="439">
        <f>Financing!CY7</f>
        <v>0</v>
      </c>
      <c r="CZ229" s="439">
        <f>Financing!CZ7</f>
        <v>0</v>
      </c>
      <c r="DA229" s="439">
        <f>Financing!DA7</f>
        <v>0</v>
      </c>
      <c r="DB229" s="439">
        <f>Financing!DB7</f>
        <v>0</v>
      </c>
      <c r="DC229" s="439">
        <f>Financing!DC7</f>
        <v>0</v>
      </c>
      <c r="DD229" s="439">
        <f>Financing!DD7</f>
        <v>0</v>
      </c>
      <c r="DE229" s="439">
        <f>Financing!DE7</f>
        <v>0</v>
      </c>
      <c r="DF229" s="439">
        <f>Financing!DF7</f>
        <v>0</v>
      </c>
      <c r="DG229" s="439">
        <f>Financing!DG7</f>
        <v>0</v>
      </c>
      <c r="DH229" s="439">
        <f>Financing!DH7</f>
        <v>0</v>
      </c>
      <c r="DI229" s="439">
        <f>Financing!DI7</f>
        <v>0</v>
      </c>
      <c r="DJ229" s="439">
        <f>Financing!DJ7</f>
        <v>0</v>
      </c>
      <c r="DK229" s="439">
        <f>Financing!DK7</f>
        <v>0</v>
      </c>
      <c r="DL229" s="439">
        <f>Financing!DL7</f>
        <v>0</v>
      </c>
      <c r="DM229" s="439">
        <f>Financing!DM7</f>
        <v>0</v>
      </c>
      <c r="DN229" s="439">
        <f>Financing!DN7</f>
        <v>0</v>
      </c>
      <c r="DO229" s="439">
        <f>Financing!DO7</f>
        <v>0</v>
      </c>
      <c r="DP229" s="439">
        <f>Financing!DP7</f>
        <v>0</v>
      </c>
      <c r="DQ229" s="439">
        <f>Financing!DQ7</f>
        <v>0</v>
      </c>
      <c r="DR229" s="439">
        <f>Financing!DR7</f>
        <v>0</v>
      </c>
      <c r="DS229" s="439">
        <f>Financing!DS7</f>
        <v>0</v>
      </c>
      <c r="DT229" s="439">
        <f>Financing!DT7</f>
        <v>0</v>
      </c>
      <c r="DU229" s="439">
        <f>Financing!DU7</f>
        <v>0</v>
      </c>
      <c r="DV229" s="439">
        <f>Financing!DV7</f>
        <v>0</v>
      </c>
      <c r="DW229" s="439">
        <f>Financing!DW7</f>
        <v>0</v>
      </c>
      <c r="DX229" s="439">
        <f>Financing!DX7</f>
        <v>0</v>
      </c>
      <c r="DY229" s="439">
        <f>Financing!DY7</f>
        <v>0</v>
      </c>
    </row>
    <row r="230" spans="3:129" outlineLevel="1">
      <c r="C230" s="5" t="s">
        <v>236</v>
      </c>
      <c r="J230" s="439">
        <f>Financing!J8</f>
        <v>5000000</v>
      </c>
      <c r="K230" s="439">
        <f>Financing!K8</f>
        <v>0</v>
      </c>
      <c r="L230" s="439">
        <f>Financing!L8</f>
        <v>0</v>
      </c>
      <c r="M230" s="439">
        <f>Financing!M8</f>
        <v>0</v>
      </c>
      <c r="N230" s="439">
        <f>Financing!N8</f>
        <v>0</v>
      </c>
      <c r="O230" s="439">
        <f>Financing!O8</f>
        <v>0</v>
      </c>
      <c r="P230" s="439">
        <f>Financing!P8</f>
        <v>0</v>
      </c>
      <c r="Q230" s="439">
        <f>Financing!Q8</f>
        <v>0</v>
      </c>
      <c r="R230" s="439">
        <f>Financing!R8</f>
        <v>0</v>
      </c>
      <c r="S230" s="439">
        <f>Financing!S8</f>
        <v>0</v>
      </c>
      <c r="T230" s="439">
        <f>Financing!T8</f>
        <v>0</v>
      </c>
      <c r="U230" s="439">
        <f>Financing!U8</f>
        <v>0</v>
      </c>
      <c r="V230" s="439">
        <f>Financing!V8</f>
        <v>0</v>
      </c>
      <c r="W230" s="439">
        <f>Financing!W8</f>
        <v>0</v>
      </c>
      <c r="X230" s="439">
        <f>Financing!X8</f>
        <v>0</v>
      </c>
      <c r="Y230" s="439">
        <f>Financing!Y8</f>
        <v>0</v>
      </c>
      <c r="Z230" s="439">
        <f>Financing!Z8</f>
        <v>0</v>
      </c>
      <c r="AA230" s="439">
        <f>Financing!AA8</f>
        <v>0</v>
      </c>
      <c r="AB230" s="439">
        <f>Financing!AB8</f>
        <v>0</v>
      </c>
      <c r="AC230" s="439">
        <f>Financing!AC8</f>
        <v>0</v>
      </c>
      <c r="AD230" s="439">
        <f>Financing!AD8</f>
        <v>0</v>
      </c>
      <c r="AE230" s="439">
        <f>Financing!AE8</f>
        <v>0</v>
      </c>
      <c r="AF230" s="439">
        <f>Financing!AF8</f>
        <v>0</v>
      </c>
      <c r="AG230" s="439">
        <f>Financing!AG8</f>
        <v>0</v>
      </c>
      <c r="AH230" s="439">
        <f>Financing!AH8</f>
        <v>10000000</v>
      </c>
      <c r="AI230" s="439">
        <f>Financing!AI8</f>
        <v>0</v>
      </c>
      <c r="AJ230" s="439">
        <f>Financing!AJ8</f>
        <v>0</v>
      </c>
      <c r="AK230" s="439">
        <f>Financing!AK8</f>
        <v>0</v>
      </c>
      <c r="AL230" s="439">
        <f>Financing!AL8</f>
        <v>0</v>
      </c>
      <c r="AM230" s="439">
        <f>Financing!AM8</f>
        <v>0</v>
      </c>
      <c r="AN230" s="439">
        <f>Financing!AN8</f>
        <v>0</v>
      </c>
      <c r="AO230" s="439">
        <f>Financing!AO8</f>
        <v>0</v>
      </c>
      <c r="AP230" s="439">
        <f>Financing!AP8</f>
        <v>0</v>
      </c>
      <c r="AQ230" s="439">
        <f>Financing!AQ8</f>
        <v>0</v>
      </c>
      <c r="AR230" s="439">
        <f>Financing!AR8</f>
        <v>0</v>
      </c>
      <c r="AS230" s="439">
        <f>Financing!AS8</f>
        <v>0</v>
      </c>
      <c r="AT230" s="439">
        <f>Financing!AT8</f>
        <v>0</v>
      </c>
      <c r="AU230" s="439">
        <f>Financing!AU8</f>
        <v>0</v>
      </c>
      <c r="AV230" s="439">
        <f>Financing!AV8</f>
        <v>0</v>
      </c>
      <c r="AW230" s="439">
        <f>Financing!AW8</f>
        <v>0</v>
      </c>
      <c r="AX230" s="439">
        <f>Financing!AX8</f>
        <v>0</v>
      </c>
      <c r="AY230" s="439">
        <f>Financing!AY8</f>
        <v>0</v>
      </c>
      <c r="AZ230" s="439">
        <f>Financing!AZ8</f>
        <v>0</v>
      </c>
      <c r="BA230" s="439">
        <f>Financing!BA8</f>
        <v>0</v>
      </c>
      <c r="BB230" s="439">
        <f>Financing!BB8</f>
        <v>0</v>
      </c>
      <c r="BC230" s="439">
        <f>Financing!BC8</f>
        <v>0</v>
      </c>
      <c r="BD230" s="439">
        <f>Financing!BD8</f>
        <v>0</v>
      </c>
      <c r="BE230" s="439">
        <f>Financing!BE8</f>
        <v>0</v>
      </c>
      <c r="BF230" s="439">
        <f>Financing!BF8</f>
        <v>0</v>
      </c>
      <c r="BG230" s="439">
        <f>Financing!BG8</f>
        <v>0</v>
      </c>
      <c r="BH230" s="439">
        <f>Financing!BH8</f>
        <v>0</v>
      </c>
      <c r="BI230" s="439">
        <f>Financing!BI8</f>
        <v>0</v>
      </c>
      <c r="BJ230" s="439">
        <f>Financing!BJ8</f>
        <v>0</v>
      </c>
      <c r="BK230" s="439">
        <f>Financing!BK8</f>
        <v>0</v>
      </c>
      <c r="BL230" s="439">
        <f>Financing!BL8</f>
        <v>0</v>
      </c>
      <c r="BM230" s="439">
        <f>Financing!BM8</f>
        <v>0</v>
      </c>
      <c r="BN230" s="439">
        <f>Financing!BN8</f>
        <v>0</v>
      </c>
      <c r="BO230" s="439">
        <f>Financing!BO8</f>
        <v>0</v>
      </c>
      <c r="BP230" s="439">
        <f>Financing!BP8</f>
        <v>0</v>
      </c>
      <c r="BQ230" s="439">
        <f>Financing!BQ8</f>
        <v>0</v>
      </c>
      <c r="BR230" s="439">
        <f>Financing!BR8</f>
        <v>0</v>
      </c>
      <c r="BS230" s="439">
        <f>Financing!BS8</f>
        <v>0</v>
      </c>
      <c r="BT230" s="439">
        <f>Financing!BT8</f>
        <v>0</v>
      </c>
      <c r="BU230" s="439">
        <f>Financing!BU8</f>
        <v>0</v>
      </c>
      <c r="BV230" s="439">
        <f>Financing!BV8</f>
        <v>0</v>
      </c>
      <c r="BW230" s="439">
        <f>Financing!BW8</f>
        <v>0</v>
      </c>
      <c r="BX230" s="439">
        <f>Financing!BX8</f>
        <v>0</v>
      </c>
      <c r="BY230" s="439">
        <f>Financing!BY8</f>
        <v>0</v>
      </c>
      <c r="BZ230" s="439">
        <f>Financing!BZ8</f>
        <v>0</v>
      </c>
      <c r="CA230" s="439">
        <f>Financing!CA8</f>
        <v>0</v>
      </c>
      <c r="CB230" s="439">
        <f>Financing!CB8</f>
        <v>0</v>
      </c>
      <c r="CC230" s="439">
        <f>Financing!CC8</f>
        <v>0</v>
      </c>
      <c r="CD230" s="439">
        <f>Financing!CD8</f>
        <v>0</v>
      </c>
      <c r="CE230" s="439">
        <f>Financing!CE8</f>
        <v>0</v>
      </c>
      <c r="CF230" s="439">
        <f>Financing!CF8</f>
        <v>0</v>
      </c>
      <c r="CG230" s="439">
        <f>Financing!CG8</f>
        <v>0</v>
      </c>
      <c r="CH230" s="439">
        <f>Financing!CH8</f>
        <v>0</v>
      </c>
      <c r="CI230" s="439">
        <f>Financing!CI8</f>
        <v>0</v>
      </c>
      <c r="CJ230" s="439">
        <f>Financing!CJ8</f>
        <v>0</v>
      </c>
      <c r="CK230" s="439">
        <f>Financing!CK8</f>
        <v>0</v>
      </c>
      <c r="CL230" s="439">
        <f>Financing!CL8</f>
        <v>0</v>
      </c>
      <c r="CM230" s="439">
        <f>Financing!CM8</f>
        <v>0</v>
      </c>
      <c r="CN230" s="439">
        <f>Financing!CN8</f>
        <v>0</v>
      </c>
      <c r="CO230" s="439">
        <f>Financing!CO8</f>
        <v>0</v>
      </c>
      <c r="CP230" s="439">
        <f>Financing!CP8</f>
        <v>0</v>
      </c>
      <c r="CQ230" s="439">
        <f>Financing!CQ8</f>
        <v>0</v>
      </c>
      <c r="CR230" s="439">
        <f>Financing!CR8</f>
        <v>0</v>
      </c>
      <c r="CS230" s="439">
        <f>Financing!CS8</f>
        <v>0</v>
      </c>
      <c r="CT230" s="439">
        <f>Financing!CT8</f>
        <v>0</v>
      </c>
      <c r="CU230" s="439">
        <f>Financing!CU8</f>
        <v>0</v>
      </c>
      <c r="CV230" s="439">
        <f>Financing!CV8</f>
        <v>0</v>
      </c>
      <c r="CW230" s="439">
        <f>Financing!CW8</f>
        <v>0</v>
      </c>
      <c r="CX230" s="439">
        <f>Financing!CX8</f>
        <v>0</v>
      </c>
      <c r="CY230" s="439">
        <f>Financing!CY8</f>
        <v>0</v>
      </c>
      <c r="CZ230" s="439">
        <f>Financing!CZ8</f>
        <v>0</v>
      </c>
      <c r="DA230" s="439">
        <f>Financing!DA8</f>
        <v>0</v>
      </c>
      <c r="DB230" s="439">
        <f>Financing!DB8</f>
        <v>0</v>
      </c>
      <c r="DC230" s="439">
        <f>Financing!DC8</f>
        <v>0</v>
      </c>
      <c r="DD230" s="439">
        <f>Financing!DD8</f>
        <v>0</v>
      </c>
      <c r="DE230" s="439">
        <f>Financing!DE8</f>
        <v>0</v>
      </c>
      <c r="DF230" s="439">
        <f>Financing!DF8</f>
        <v>0</v>
      </c>
      <c r="DG230" s="439">
        <f>Financing!DG8</f>
        <v>0</v>
      </c>
      <c r="DH230" s="439">
        <f>Financing!DH8</f>
        <v>0</v>
      </c>
      <c r="DI230" s="439">
        <f>Financing!DI8</f>
        <v>0</v>
      </c>
      <c r="DJ230" s="439">
        <f>Financing!DJ8</f>
        <v>0</v>
      </c>
      <c r="DK230" s="439">
        <f>Financing!DK8</f>
        <v>0</v>
      </c>
      <c r="DL230" s="439">
        <f>Financing!DL8</f>
        <v>0</v>
      </c>
      <c r="DM230" s="439">
        <f>Financing!DM8</f>
        <v>0</v>
      </c>
      <c r="DN230" s="439">
        <f>Financing!DN8</f>
        <v>0</v>
      </c>
      <c r="DO230" s="439">
        <f>Financing!DO8</f>
        <v>0</v>
      </c>
      <c r="DP230" s="439">
        <f>Financing!DP8</f>
        <v>0</v>
      </c>
      <c r="DQ230" s="439">
        <f>Financing!DQ8</f>
        <v>0</v>
      </c>
      <c r="DR230" s="439">
        <f>Financing!DR8</f>
        <v>0</v>
      </c>
      <c r="DS230" s="439">
        <f>Financing!DS8</f>
        <v>0</v>
      </c>
      <c r="DT230" s="439">
        <f>Financing!DT8</f>
        <v>0</v>
      </c>
      <c r="DU230" s="439">
        <f>Financing!DU8</f>
        <v>0</v>
      </c>
      <c r="DV230" s="439">
        <f>Financing!DV8</f>
        <v>0</v>
      </c>
      <c r="DW230" s="439">
        <f>Financing!DW8</f>
        <v>0</v>
      </c>
      <c r="DX230" s="439">
        <f>Financing!DX8</f>
        <v>0</v>
      </c>
      <c r="DY230" s="439">
        <f>Financing!DY8</f>
        <v>0</v>
      </c>
    </row>
    <row r="231" spans="3:129" outlineLevel="1">
      <c r="C231" s="9" t="s">
        <v>237</v>
      </c>
      <c r="J231" s="439">
        <f>Financing!J10</f>
        <v>10000000</v>
      </c>
      <c r="K231" s="439">
        <f>Financing!K10</f>
        <v>0</v>
      </c>
      <c r="L231" s="439">
        <f>Financing!L10</f>
        <v>0</v>
      </c>
      <c r="M231" s="439">
        <f>Financing!M10</f>
        <v>0</v>
      </c>
      <c r="N231" s="439">
        <f>Financing!N10</f>
        <v>0</v>
      </c>
      <c r="O231" s="439">
        <f>Financing!O10</f>
        <v>0</v>
      </c>
      <c r="P231" s="439">
        <f>Financing!P10</f>
        <v>0</v>
      </c>
      <c r="Q231" s="439">
        <f>Financing!Q10</f>
        <v>0</v>
      </c>
      <c r="R231" s="439">
        <f>Financing!R10</f>
        <v>0</v>
      </c>
      <c r="S231" s="439">
        <f>Financing!S10</f>
        <v>0</v>
      </c>
      <c r="T231" s="439">
        <f>Financing!T10</f>
        <v>0</v>
      </c>
      <c r="U231" s="439">
        <f>Financing!U10</f>
        <v>0</v>
      </c>
      <c r="V231" s="439">
        <f>Financing!V10</f>
        <v>0</v>
      </c>
      <c r="W231" s="439">
        <f>Financing!W10</f>
        <v>0</v>
      </c>
      <c r="X231" s="439">
        <f>Financing!X10</f>
        <v>0</v>
      </c>
      <c r="Y231" s="439">
        <f>Financing!Y10</f>
        <v>0</v>
      </c>
      <c r="Z231" s="439">
        <f>Financing!Z10</f>
        <v>0</v>
      </c>
      <c r="AA231" s="439">
        <f>Financing!AA10</f>
        <v>0</v>
      </c>
      <c r="AB231" s="439">
        <f>Financing!AB10</f>
        <v>0</v>
      </c>
      <c r="AC231" s="439">
        <f>Financing!AC10</f>
        <v>0</v>
      </c>
      <c r="AD231" s="439">
        <f>Financing!AD10</f>
        <v>0</v>
      </c>
      <c r="AE231" s="439">
        <f>Financing!AE10</f>
        <v>0</v>
      </c>
      <c r="AF231" s="439">
        <f>Financing!AF10</f>
        <v>0</v>
      </c>
      <c r="AG231" s="439">
        <f>Financing!AG10</f>
        <v>0</v>
      </c>
      <c r="AH231" s="439">
        <f>Financing!AH10</f>
        <v>25000000</v>
      </c>
      <c r="AI231" s="439">
        <f>Financing!AI10</f>
        <v>0</v>
      </c>
      <c r="AJ231" s="439">
        <f>Financing!AJ10</f>
        <v>0</v>
      </c>
      <c r="AK231" s="439">
        <f>Financing!AK10</f>
        <v>0</v>
      </c>
      <c r="AL231" s="439">
        <f>Financing!AL10</f>
        <v>0</v>
      </c>
      <c r="AM231" s="439">
        <f>Financing!AM10</f>
        <v>0</v>
      </c>
      <c r="AN231" s="439">
        <f>Financing!AN10</f>
        <v>0</v>
      </c>
      <c r="AO231" s="439">
        <f>Financing!AO10</f>
        <v>0</v>
      </c>
      <c r="AP231" s="439">
        <f>Financing!AP10</f>
        <v>0</v>
      </c>
      <c r="AQ231" s="439">
        <f>Financing!AQ10</f>
        <v>0</v>
      </c>
      <c r="AR231" s="439">
        <f>Financing!AR10</f>
        <v>0</v>
      </c>
      <c r="AS231" s="439">
        <f>Financing!AS10</f>
        <v>0</v>
      </c>
      <c r="AT231" s="439">
        <f>Financing!AT10</f>
        <v>0</v>
      </c>
      <c r="AU231" s="439">
        <f>Financing!AU10</f>
        <v>0</v>
      </c>
      <c r="AV231" s="439">
        <f>Financing!AV10</f>
        <v>0</v>
      </c>
      <c r="AW231" s="439">
        <f>Financing!AW10</f>
        <v>0</v>
      </c>
      <c r="AX231" s="439">
        <f>Financing!AX10</f>
        <v>0</v>
      </c>
      <c r="AY231" s="439">
        <f>Financing!AY10</f>
        <v>0</v>
      </c>
      <c r="AZ231" s="439">
        <f>Financing!AZ10</f>
        <v>0</v>
      </c>
      <c r="BA231" s="439">
        <f>Financing!BA10</f>
        <v>0</v>
      </c>
      <c r="BB231" s="439">
        <f>Financing!BB10</f>
        <v>0</v>
      </c>
      <c r="BC231" s="439">
        <f>Financing!BC10</f>
        <v>0</v>
      </c>
      <c r="BD231" s="439">
        <f>Financing!BD10</f>
        <v>0</v>
      </c>
      <c r="BE231" s="439">
        <f>Financing!BE10</f>
        <v>0</v>
      </c>
      <c r="BF231" s="439">
        <f>Financing!BF10</f>
        <v>12000000</v>
      </c>
      <c r="BG231" s="439">
        <f>Financing!BG10</f>
        <v>0</v>
      </c>
      <c r="BH231" s="439">
        <f>Financing!BH10</f>
        <v>0</v>
      </c>
      <c r="BI231" s="439">
        <f>Financing!BI10</f>
        <v>0</v>
      </c>
      <c r="BJ231" s="439">
        <f>Financing!BJ10</f>
        <v>0</v>
      </c>
      <c r="BK231" s="439">
        <f>Financing!BK10</f>
        <v>0</v>
      </c>
      <c r="BL231" s="439">
        <f>Financing!BL10</f>
        <v>0</v>
      </c>
      <c r="BM231" s="439">
        <f>Financing!BM10</f>
        <v>0</v>
      </c>
      <c r="BN231" s="439">
        <f>Financing!BN10</f>
        <v>0</v>
      </c>
      <c r="BO231" s="439">
        <f>Financing!BO10</f>
        <v>0</v>
      </c>
      <c r="BP231" s="439">
        <f>Financing!BP10</f>
        <v>0</v>
      </c>
      <c r="BQ231" s="439">
        <f>Financing!BQ10</f>
        <v>0</v>
      </c>
      <c r="BR231" s="439">
        <f>Financing!BR10</f>
        <v>10000000</v>
      </c>
      <c r="BS231" s="439">
        <f>Financing!BS10</f>
        <v>0</v>
      </c>
      <c r="BT231" s="439">
        <f>Financing!BT10</f>
        <v>0</v>
      </c>
      <c r="BU231" s="439">
        <f>Financing!BU10</f>
        <v>0</v>
      </c>
      <c r="BV231" s="439">
        <f>Financing!BV10</f>
        <v>0</v>
      </c>
      <c r="BW231" s="439">
        <f>Financing!BW10</f>
        <v>0</v>
      </c>
      <c r="BX231" s="439">
        <f>Financing!BX10</f>
        <v>0</v>
      </c>
      <c r="BY231" s="439">
        <f>Financing!BY10</f>
        <v>0</v>
      </c>
      <c r="BZ231" s="439">
        <f>Financing!BZ10</f>
        <v>0</v>
      </c>
      <c r="CA231" s="439">
        <f>Financing!CA10</f>
        <v>0</v>
      </c>
      <c r="CB231" s="439">
        <f>Financing!CB10</f>
        <v>0</v>
      </c>
      <c r="CC231" s="439">
        <f>Financing!CC10</f>
        <v>0</v>
      </c>
      <c r="CD231" s="439">
        <f>Financing!CD10</f>
        <v>10000000</v>
      </c>
      <c r="CE231" s="439">
        <f>Financing!CE10</f>
        <v>0</v>
      </c>
      <c r="CF231" s="439">
        <f>Financing!CF10</f>
        <v>0</v>
      </c>
      <c r="CG231" s="439">
        <f>Financing!CG10</f>
        <v>0</v>
      </c>
      <c r="CH231" s="439">
        <f>Financing!CH10</f>
        <v>0</v>
      </c>
      <c r="CI231" s="439">
        <f>Financing!CI10</f>
        <v>0</v>
      </c>
      <c r="CJ231" s="439">
        <f>Financing!CJ10</f>
        <v>0</v>
      </c>
      <c r="CK231" s="439">
        <f>Financing!CK10</f>
        <v>0</v>
      </c>
      <c r="CL231" s="439">
        <f>Financing!CL10</f>
        <v>0</v>
      </c>
      <c r="CM231" s="439">
        <f>Financing!CM10</f>
        <v>0</v>
      </c>
      <c r="CN231" s="439">
        <f>Financing!CN10</f>
        <v>0</v>
      </c>
      <c r="CO231" s="439">
        <f>Financing!CO10</f>
        <v>0</v>
      </c>
      <c r="CP231" s="439">
        <f>Financing!CP10</f>
        <v>10000000</v>
      </c>
      <c r="CQ231" s="439">
        <f>Financing!CQ10</f>
        <v>0</v>
      </c>
      <c r="CR231" s="439">
        <f>Financing!CR10</f>
        <v>0</v>
      </c>
      <c r="CS231" s="439">
        <f>Financing!CS10</f>
        <v>0</v>
      </c>
      <c r="CT231" s="439">
        <f>Financing!CT10</f>
        <v>0</v>
      </c>
      <c r="CU231" s="439">
        <f>Financing!CU10</f>
        <v>0</v>
      </c>
      <c r="CV231" s="439">
        <f>Financing!CV10</f>
        <v>0</v>
      </c>
      <c r="CW231" s="439">
        <f>Financing!CW10</f>
        <v>0</v>
      </c>
      <c r="CX231" s="439">
        <f>Financing!CX10</f>
        <v>0</v>
      </c>
      <c r="CY231" s="439">
        <f>Financing!CY10</f>
        <v>0</v>
      </c>
      <c r="CZ231" s="439">
        <f>Financing!CZ10</f>
        <v>0</v>
      </c>
      <c r="DA231" s="439">
        <f>Financing!DA10</f>
        <v>0</v>
      </c>
      <c r="DB231" s="439">
        <f>Financing!DB10</f>
        <v>10000000</v>
      </c>
      <c r="DC231" s="439">
        <f>Financing!DC10</f>
        <v>0</v>
      </c>
      <c r="DD231" s="439">
        <f>Financing!DD10</f>
        <v>0</v>
      </c>
      <c r="DE231" s="439">
        <f>Financing!DE10</f>
        <v>0</v>
      </c>
      <c r="DF231" s="439">
        <f>Financing!DF10</f>
        <v>0</v>
      </c>
      <c r="DG231" s="439">
        <f>Financing!DG10</f>
        <v>0</v>
      </c>
      <c r="DH231" s="439">
        <f>Financing!DH10</f>
        <v>0</v>
      </c>
      <c r="DI231" s="439">
        <f>Financing!DI10</f>
        <v>0</v>
      </c>
      <c r="DJ231" s="439">
        <f>Financing!DJ10</f>
        <v>0</v>
      </c>
      <c r="DK231" s="439">
        <f>Financing!DK10</f>
        <v>0</v>
      </c>
      <c r="DL231" s="439">
        <f>Financing!DL10</f>
        <v>0</v>
      </c>
      <c r="DM231" s="439">
        <f>Financing!DM10</f>
        <v>0</v>
      </c>
      <c r="DN231" s="439">
        <f>Financing!DN10</f>
        <v>13000000</v>
      </c>
      <c r="DO231" s="439">
        <f>Financing!DO10</f>
        <v>0</v>
      </c>
      <c r="DP231" s="439">
        <f>Financing!DP10</f>
        <v>0</v>
      </c>
      <c r="DQ231" s="439">
        <f>Financing!DQ10</f>
        <v>0</v>
      </c>
      <c r="DR231" s="439">
        <f>Financing!DR10</f>
        <v>0</v>
      </c>
      <c r="DS231" s="439">
        <f>Financing!DS10</f>
        <v>0</v>
      </c>
      <c r="DT231" s="439">
        <f>Financing!DT10</f>
        <v>0</v>
      </c>
      <c r="DU231" s="439">
        <f>Financing!DU10</f>
        <v>0</v>
      </c>
      <c r="DV231" s="439">
        <f>Financing!DV10</f>
        <v>0</v>
      </c>
      <c r="DW231" s="439">
        <f>Financing!DW10</f>
        <v>0</v>
      </c>
      <c r="DX231" s="439">
        <f>Financing!DX10</f>
        <v>0</v>
      </c>
      <c r="DY231" s="439">
        <f>Financing!DY10</f>
        <v>0</v>
      </c>
    </row>
    <row r="232" spans="3:129" outlineLevel="1">
      <c r="J232" s="439"/>
      <c r="K232" s="439"/>
      <c r="L232" s="439"/>
      <c r="M232" s="439"/>
      <c r="N232" s="439"/>
      <c r="O232" s="439"/>
      <c r="P232" s="439"/>
      <c r="Q232" s="439"/>
      <c r="R232" s="439"/>
      <c r="S232" s="439"/>
      <c r="T232" s="439"/>
      <c r="U232" s="439"/>
      <c r="V232" s="439"/>
      <c r="W232" s="439"/>
      <c r="X232" s="439"/>
      <c r="Y232" s="439"/>
      <c r="Z232" s="439"/>
      <c r="AA232" s="439"/>
      <c r="AB232" s="439"/>
      <c r="AC232" s="439"/>
      <c r="AD232" s="439"/>
      <c r="AE232" s="439"/>
      <c r="AF232" s="439"/>
      <c r="AG232" s="439"/>
      <c r="AH232" s="439"/>
      <c r="AI232" s="439"/>
      <c r="AJ232" s="439"/>
      <c r="AK232" s="439"/>
      <c r="AL232" s="439"/>
      <c r="AM232" s="439"/>
      <c r="AN232" s="439"/>
      <c r="AO232" s="439"/>
      <c r="AP232" s="439"/>
      <c r="AQ232" s="439"/>
      <c r="AR232" s="439"/>
      <c r="AS232" s="439"/>
      <c r="AT232" s="439"/>
      <c r="AU232" s="439"/>
      <c r="AV232" s="439"/>
      <c r="AW232" s="439"/>
      <c r="AX232" s="439"/>
      <c r="AY232" s="439"/>
      <c r="AZ232" s="439"/>
      <c r="BA232" s="439"/>
      <c r="BB232" s="439"/>
      <c r="BC232" s="439"/>
      <c r="BD232" s="439"/>
      <c r="BE232" s="439"/>
      <c r="BF232" s="439"/>
      <c r="BG232" s="439"/>
      <c r="BH232" s="439"/>
      <c r="BI232" s="439"/>
      <c r="BJ232" s="439"/>
      <c r="BK232" s="439"/>
      <c r="BL232" s="439"/>
      <c r="BM232" s="439"/>
      <c r="BN232" s="439"/>
      <c r="BO232" s="439"/>
      <c r="BP232" s="439"/>
      <c r="BQ232" s="439"/>
      <c r="BR232" s="439"/>
      <c r="BS232" s="439"/>
      <c r="BT232" s="439"/>
      <c r="BU232" s="439"/>
      <c r="BV232" s="439"/>
      <c r="BW232" s="439"/>
      <c r="BX232" s="439"/>
      <c r="BY232" s="439"/>
      <c r="BZ232" s="439"/>
      <c r="CA232" s="439"/>
      <c r="CB232" s="439"/>
      <c r="CC232" s="439"/>
      <c r="CD232" s="439"/>
      <c r="CE232" s="439"/>
      <c r="CF232" s="439"/>
      <c r="CG232" s="439"/>
      <c r="CH232" s="439"/>
      <c r="CI232" s="439"/>
      <c r="CJ232" s="439"/>
      <c r="CK232" s="439"/>
      <c r="CL232" s="439"/>
      <c r="CM232" s="439"/>
      <c r="CN232" s="439"/>
      <c r="CO232" s="439"/>
      <c r="CP232" s="439"/>
      <c r="CQ232" s="439"/>
      <c r="CR232" s="439"/>
      <c r="CS232" s="439"/>
      <c r="CT232" s="439"/>
      <c r="CU232" s="439"/>
      <c r="CV232" s="439"/>
      <c r="CW232" s="439"/>
      <c r="CX232" s="439"/>
      <c r="CY232" s="439"/>
      <c r="CZ232" s="439"/>
      <c r="DA232" s="439"/>
      <c r="DB232" s="439"/>
      <c r="DC232" s="439"/>
      <c r="DD232" s="439"/>
      <c r="DE232" s="439"/>
      <c r="DF232" s="439"/>
      <c r="DG232" s="439"/>
      <c r="DH232" s="439"/>
      <c r="DI232" s="439"/>
      <c r="DJ232" s="439"/>
      <c r="DK232" s="439"/>
      <c r="DL232" s="439"/>
      <c r="DM232" s="439"/>
      <c r="DN232" s="439"/>
      <c r="DO232" s="439"/>
      <c r="DP232" s="439"/>
      <c r="DQ232" s="439"/>
      <c r="DR232" s="439"/>
      <c r="DS232" s="439"/>
      <c r="DT232" s="439"/>
      <c r="DU232" s="439"/>
      <c r="DV232" s="439"/>
      <c r="DW232" s="439"/>
      <c r="DX232" s="439"/>
      <c r="DY232" s="439"/>
    </row>
    <row r="233" spans="3:129" outlineLevel="1">
      <c r="C233" s="5" t="s">
        <v>483</v>
      </c>
      <c r="J233" s="35">
        <f ca="1">_VAT</f>
        <v>-137599.69439480477</v>
      </c>
      <c r="K233" s="35">
        <f t="shared" ref="K233:AO233" ca="1" si="499">_VAT</f>
        <v>-141921.40395427309</v>
      </c>
      <c r="L233" s="35">
        <f t="shared" ca="1" si="499"/>
        <v>-146421.90096360096</v>
      </c>
      <c r="M233" s="35">
        <f t="shared" ca="1" si="499"/>
        <v>-151103.83763919957</v>
      </c>
      <c r="N233" s="35">
        <f t="shared" ca="1" si="499"/>
        <v>-155969.92847713293</v>
      </c>
      <c r="O233" s="35">
        <f t="shared" ca="1" si="499"/>
        <v>-161022.95140635944</v>
      </c>
      <c r="P233" s="35">
        <f t="shared" ca="1" si="499"/>
        <v>-166265.74896596023</v>
      </c>
      <c r="Q233" s="35">
        <f t="shared" ca="1" si="499"/>
        <v>-171701.2295068244</v>
      </c>
      <c r="R233" s="35">
        <f t="shared" ca="1" si="499"/>
        <v>-177332.36841827654</v>
      </c>
      <c r="S233" s="35">
        <f t="shared" ca="1" si="499"/>
        <v>-183162.20938013075</v>
      </c>
      <c r="T233" s="35">
        <f t="shared" ca="1" si="499"/>
        <v>-189193.86564067355</v>
      </c>
      <c r="U233" s="35">
        <f t="shared" ca="1" si="499"/>
        <v>-195430.52132108388</v>
      </c>
      <c r="V233" s="35">
        <f t="shared" ca="1" si="499"/>
        <v>-202127.35822439916</v>
      </c>
      <c r="W233" s="35">
        <f t="shared" ca="1" si="499"/>
        <v>-207518.76144076255</v>
      </c>
      <c r="X233" s="35">
        <f t="shared" ca="1" si="499"/>
        <v>-213037.79477953212</v>
      </c>
      <c r="Y233" s="35">
        <f t="shared" ca="1" si="499"/>
        <v>-218686.81282257522</v>
      </c>
      <c r="Z233" s="35">
        <f t="shared" ca="1" si="499"/>
        <v>-224468.21922360267</v>
      </c>
      <c r="AA233" s="35">
        <f t="shared" ca="1" si="499"/>
        <v>-230384.46766980272</v>
      </c>
      <c r="AB233" s="35">
        <f t="shared" ca="1" si="499"/>
        <v>-236438.06286290707</v>
      </c>
      <c r="AC233" s="35">
        <f t="shared" ca="1" si="499"/>
        <v>-242631.56152007449</v>
      </c>
      <c r="AD233" s="35">
        <f t="shared" ca="1" si="499"/>
        <v>-248967.57339498354</v>
      </c>
      <c r="AE233" s="35">
        <f t="shared" ca="1" si="499"/>
        <v>-255448.76231954386</v>
      </c>
      <c r="AF233" s="35">
        <f t="shared" ca="1" si="499"/>
        <v>-262077.84726662654</v>
      </c>
      <c r="AG233" s="35">
        <f t="shared" ca="1" si="499"/>
        <v>-268857.60343424138</v>
      </c>
      <c r="AH233" s="35">
        <f t="shared" ca="1" si="499"/>
        <v>-276080.29803671176</v>
      </c>
      <c r="AI233" s="35">
        <f t="shared" ca="1" si="499"/>
        <v>-282044.88484398834</v>
      </c>
      <c r="AJ233" s="35">
        <f t="shared" ca="1" si="499"/>
        <v>-288138.0252017281</v>
      </c>
      <c r="AK233" s="35">
        <f t="shared" ca="1" si="499"/>
        <v>-294362.197562797</v>
      </c>
      <c r="AL233" s="35">
        <f t="shared" ca="1" si="499"/>
        <v>-300719.9308753009</v>
      </c>
      <c r="AM233" s="35">
        <f t="shared" ca="1" si="499"/>
        <v>-307213.8055832251</v>
      </c>
      <c r="AN233" s="35">
        <f t="shared" ca="1" si="499"/>
        <v>-314041.03924850887</v>
      </c>
      <c r="AO233" s="35">
        <f t="shared" ca="1" si="499"/>
        <v>-320231.77607562393</v>
      </c>
      <c r="AP233" s="35">
        <f t="shared" ref="AP233:BU233" ca="1" si="500">_VAT</f>
        <v>-326549.8623727262</v>
      </c>
      <c r="AQ233" s="35">
        <f t="shared" ca="1" si="500"/>
        <v>-332997.80978188151</v>
      </c>
      <c r="AR233" s="35">
        <f t="shared" ca="1" si="500"/>
        <v>-339578.18053146871</v>
      </c>
      <c r="AS233" s="35">
        <f t="shared" ca="1" si="500"/>
        <v>-346293.58844437497</v>
      </c>
      <c r="AT233" s="35">
        <f t="shared" ca="1" si="500"/>
        <v>-353148.67928979173</v>
      </c>
      <c r="AU233" s="35">
        <f t="shared" ca="1" si="500"/>
        <v>-360132.27497278759</v>
      </c>
      <c r="AV233" s="35">
        <f t="shared" ca="1" si="500"/>
        <v>-367258.38287095632</v>
      </c>
      <c r="AW233" s="35">
        <f t="shared" ca="1" si="500"/>
        <v>-374529.82482558629</v>
      </c>
      <c r="AX233" s="35">
        <f t="shared" ca="1" si="500"/>
        <v>-381949.47939882195</v>
      </c>
      <c r="AY233" s="35">
        <f t="shared" ca="1" si="500"/>
        <v>-389520.28300523991</v>
      </c>
      <c r="AZ233" s="35">
        <f t="shared" ca="1" si="500"/>
        <v>-397245.2310660868</v>
      </c>
      <c r="BA233" s="35">
        <f t="shared" ca="1" si="500"/>
        <v>-405127.37918662792</v>
      </c>
      <c r="BB233" s="35">
        <f t="shared" ca="1" si="500"/>
        <v>-413169.84435707284</v>
      </c>
      <c r="BC233" s="35">
        <f t="shared" ca="1" si="500"/>
        <v>-421375.80617754441</v>
      </c>
      <c r="BD233" s="35">
        <f t="shared" ca="1" si="500"/>
        <v>-429748.50810757745</v>
      </c>
      <c r="BE233" s="35">
        <f t="shared" ca="1" si="500"/>
        <v>-438291.25874063</v>
      </c>
      <c r="BF233" s="35">
        <f t="shared" ca="1" si="500"/>
        <v>-447028.59435655735</v>
      </c>
      <c r="BG233" s="35">
        <f t="shared" ca="1" si="500"/>
        <v>-455841.17036903556</v>
      </c>
      <c r="BH233" s="35">
        <f t="shared" ca="1" si="500"/>
        <v>-464832.25310613122</v>
      </c>
      <c r="BI233" s="35">
        <f t="shared" ca="1" si="500"/>
        <v>-474005.39015029371</v>
      </c>
      <c r="BJ233" s="35">
        <f t="shared" ca="1" si="500"/>
        <v>-483364.20026114024</v>
      </c>
      <c r="BK233" s="35">
        <f t="shared" ca="1" si="500"/>
        <v>-492912.3747967463</v>
      </c>
      <c r="BL233" s="35">
        <f t="shared" ca="1" si="500"/>
        <v>-502653.67916338332</v>
      </c>
      <c r="BM233" s="35">
        <f t="shared" ca="1" si="500"/>
        <v>-512591.95429426711</v>
      </c>
      <c r="BN233" s="35">
        <f t="shared" ca="1" si="500"/>
        <v>-522731.11815791391</v>
      </c>
      <c r="BO233" s="35">
        <f t="shared" ca="1" si="500"/>
        <v>-533075.16729667783</v>
      </c>
      <c r="BP233" s="35">
        <f t="shared" ca="1" si="500"/>
        <v>-543628.17839608248</v>
      </c>
      <c r="BQ233" s="35">
        <f t="shared" ca="1" si="500"/>
        <v>-554394.3098855624</v>
      </c>
      <c r="BR233" s="35">
        <f t="shared" ca="1" si="500"/>
        <v>-563871.00736887753</v>
      </c>
      <c r="BS233" s="35">
        <f t="shared" ca="1" si="500"/>
        <v>-572812.84542097431</v>
      </c>
      <c r="BT233" s="35">
        <f t="shared" ca="1" si="500"/>
        <v>-581273.33152654581</v>
      </c>
      <c r="BU233" s="35">
        <f t="shared" ca="1" si="500"/>
        <v>-589249.44053373672</v>
      </c>
      <c r="BV233" s="35">
        <f t="shared" ref="BV233:DY233" ca="1" si="501">_VAT</f>
        <v>-596738.02076878399</v>
      </c>
      <c r="BW233" s="35">
        <f t="shared" ca="1" si="501"/>
        <v>-603735.79216576926</v>
      </c>
      <c r="BX233" s="35">
        <f t="shared" ca="1" si="501"/>
        <v>-610239.34435235616</v>
      </c>
      <c r="BY233" s="35">
        <f t="shared" ca="1" si="501"/>
        <v>-616245.13469072338</v>
      </c>
      <c r="BZ233" s="35">
        <f t="shared" ca="1" si="501"/>
        <v>-621749.48627282307</v>
      </c>
      <c r="CA233" s="35">
        <f t="shared" ca="1" si="501"/>
        <v>-626748.58586916141</v>
      </c>
      <c r="CB233" s="35">
        <f t="shared" ca="1" si="501"/>
        <v>-631238.48183019832</v>
      </c>
      <c r="CC233" s="35">
        <f t="shared" ca="1" si="501"/>
        <v>-635215.08193949796</v>
      </c>
      <c r="CD233" s="35">
        <f t="shared" ca="1" si="501"/>
        <v>-638612.34854587168</v>
      </c>
      <c r="CE233" s="35">
        <f t="shared" ca="1" si="501"/>
        <v>-641802.13502053544</v>
      </c>
      <c r="CF233" s="35">
        <f t="shared" ca="1" si="501"/>
        <v>-644790.89186892286</v>
      </c>
      <c r="CG233" s="35">
        <f t="shared" ca="1" si="501"/>
        <v>-647577.24675206747</v>
      </c>
      <c r="CH233" s="35">
        <f t="shared" ca="1" si="501"/>
        <v>-650159.77340168506</v>
      </c>
      <c r="CI233" s="35">
        <f t="shared" ca="1" si="501"/>
        <v>-652536.99080641754</v>
      </c>
      <c r="CJ233" s="35">
        <f t="shared" ca="1" si="501"/>
        <v>-654707.36237914674</v>
      </c>
      <c r="CK233" s="35">
        <f t="shared" ca="1" si="501"/>
        <v>-656669.29510503262</v>
      </c>
      <c r="CL233" s="35">
        <f t="shared" ca="1" si="501"/>
        <v>-658421.13866992109</v>
      </c>
      <c r="CM233" s="35">
        <f t="shared" ca="1" si="501"/>
        <v>-659961.18456874881</v>
      </c>
      <c r="CN233" s="35">
        <f t="shared" ca="1" si="501"/>
        <v>-661287.66519356612</v>
      </c>
      <c r="CO233" s="35">
        <f t="shared" ca="1" si="501"/>
        <v>-662398.75290081464</v>
      </c>
      <c r="CP233" s="35">
        <f t="shared" ca="1" si="501"/>
        <v>-663258.81298685633</v>
      </c>
      <c r="CQ233" s="35">
        <f t="shared" ca="1" si="501"/>
        <v>-664035.21551801544</v>
      </c>
      <c r="CR233" s="35">
        <f t="shared" ca="1" si="501"/>
        <v>-664727.29663146473</v>
      </c>
      <c r="CS233" s="35">
        <f t="shared" ca="1" si="501"/>
        <v>-665334.36839353293</v>
      </c>
      <c r="CT233" s="35">
        <f t="shared" ca="1" si="501"/>
        <v>-665855.71912692953</v>
      </c>
      <c r="CU233" s="35">
        <f t="shared" ca="1" si="501"/>
        <v>-666290.61303572077</v>
      </c>
      <c r="CV233" s="35">
        <f t="shared" ca="1" si="501"/>
        <v>-666615.08470738493</v>
      </c>
      <c r="CW233" s="35">
        <f t="shared" ca="1" si="501"/>
        <v>-666920.51498143375</v>
      </c>
      <c r="CX233" s="35">
        <f t="shared" ca="1" si="501"/>
        <v>-667210.98512925487</v>
      </c>
      <c r="CY233" s="35">
        <f t="shared" ca="1" si="501"/>
        <v>-667486.40663563926</v>
      </c>
      <c r="CZ233" s="35">
        <f t="shared" ca="1" si="501"/>
        <v>-667746.68710820191</v>
      </c>
      <c r="DA233" s="35">
        <f t="shared" ca="1" si="501"/>
        <v>-667991.73022090737</v>
      </c>
      <c r="DB233" s="35">
        <f t="shared" ca="1" si="501"/>
        <v>-668221.06667515915</v>
      </c>
      <c r="DC233" s="35">
        <f t="shared" ca="1" si="501"/>
        <v>-668436.87277120259</v>
      </c>
      <c r="DD233" s="35">
        <f t="shared" ca="1" si="501"/>
        <v>-668639.67494531628</v>
      </c>
      <c r="DE233" s="35">
        <f t="shared" ca="1" si="501"/>
        <v>-668829.38631949946</v>
      </c>
      <c r="DF233" s="35">
        <f t="shared" ca="1" si="501"/>
        <v>-669005.91654618736</v>
      </c>
      <c r="DG233" s="35">
        <f t="shared" ca="1" si="501"/>
        <v>-669169.17175618</v>
      </c>
      <c r="DH233" s="35">
        <f t="shared" ca="1" si="501"/>
        <v>-669319.05450535566</v>
      </c>
      <c r="DI233" s="35">
        <f t="shared" ca="1" si="501"/>
        <v>-669455.46372014843</v>
      </c>
      <c r="DJ233" s="35">
        <f t="shared" ca="1" si="501"/>
        <v>-669578.2946417639</v>
      </c>
      <c r="DK233" s="35">
        <f t="shared" ca="1" si="501"/>
        <v>-669687.4387691142</v>
      </c>
      <c r="DL233" s="35">
        <f t="shared" ca="1" si="501"/>
        <v>-669782.78380043991</v>
      </c>
      <c r="DM233" s="35">
        <f t="shared" ca="1" si="501"/>
        <v>-669864.21357360668</v>
      </c>
      <c r="DN233" s="35">
        <f t="shared" ca="1" si="501"/>
        <v>-669929.35434609</v>
      </c>
      <c r="DO233" s="35">
        <f t="shared" ca="1" si="501"/>
        <v>-669988.96722104866</v>
      </c>
      <c r="DP233" s="35">
        <f t="shared" ca="1" si="501"/>
        <v>-670043.00995316729</v>
      </c>
      <c r="DQ233" s="35">
        <f t="shared" ca="1" si="501"/>
        <v>-670091.43876359239</v>
      </c>
      <c r="DR233" s="35">
        <f t="shared" ca="1" si="501"/>
        <v>-670134.20832165424</v>
      </c>
      <c r="DS233" s="35">
        <f t="shared" ca="1" si="501"/>
        <v>-670171.27172058914</v>
      </c>
      <c r="DT233" s="35">
        <f t="shared" ca="1" si="501"/>
        <v>-670202.58045272063</v>
      </c>
      <c r="DU233" s="35">
        <f t="shared" ca="1" si="501"/>
        <v>-670228.08438405767</v>
      </c>
      <c r="DV233" s="35">
        <f t="shared" ca="1" si="501"/>
        <v>-670247.7317283405</v>
      </c>
      <c r="DW233" s="35">
        <f t="shared" ca="1" si="501"/>
        <v>-670261.46902048308</v>
      </c>
      <c r="DX233" s="35">
        <f t="shared" ca="1" si="501"/>
        <v>-670269.24108943529</v>
      </c>
      <c r="DY233" s="35">
        <f t="shared" ca="1" si="501"/>
        <v>-670270.99103042111</v>
      </c>
    </row>
    <row r="234" spans="3:129" outlineLevel="1">
      <c r="C234" s="5" t="s">
        <v>92</v>
      </c>
      <c r="J234" s="439">
        <f>Financing!J11</f>
        <v>0</v>
      </c>
      <c r="K234" s="439">
        <f>Financing!K11</f>
        <v>0</v>
      </c>
      <c r="L234" s="439">
        <f>Financing!L11</f>
        <v>0</v>
      </c>
      <c r="M234" s="439">
        <f>Financing!M11</f>
        <v>0</v>
      </c>
      <c r="N234" s="439">
        <f>Financing!N11</f>
        <v>0</v>
      </c>
      <c r="O234" s="439">
        <f>Financing!O11</f>
        <v>0</v>
      </c>
      <c r="P234" s="439">
        <f>Financing!P11</f>
        <v>0</v>
      </c>
      <c r="Q234" s="439">
        <f>Financing!Q11</f>
        <v>0</v>
      </c>
      <c r="R234" s="439">
        <f>Financing!R11</f>
        <v>0</v>
      </c>
      <c r="S234" s="439">
        <f>Financing!S11</f>
        <v>0</v>
      </c>
      <c r="T234" s="439">
        <f>Financing!T11</f>
        <v>0</v>
      </c>
      <c r="U234" s="439">
        <f>Financing!U11</f>
        <v>0</v>
      </c>
      <c r="V234" s="439">
        <f>Financing!V11</f>
        <v>-416666.66666666663</v>
      </c>
      <c r="W234" s="439">
        <f>Financing!W11</f>
        <v>-416666.66666666663</v>
      </c>
      <c r="X234" s="439">
        <f>Financing!X11</f>
        <v>-416666.66666666663</v>
      </c>
      <c r="Y234" s="439">
        <f>Financing!Y11</f>
        <v>-416666.66666666663</v>
      </c>
      <c r="Z234" s="439">
        <f>Financing!Z11</f>
        <v>-416666.66666666663</v>
      </c>
      <c r="AA234" s="439">
        <f>Financing!AA11</f>
        <v>-416666.66666666663</v>
      </c>
      <c r="AB234" s="439">
        <f>Financing!AB11</f>
        <v>-416666.66666666663</v>
      </c>
      <c r="AC234" s="439">
        <f>Financing!AC11</f>
        <v>-416666.66666666663</v>
      </c>
      <c r="AD234" s="439">
        <f>Financing!AD11</f>
        <v>-416666.66666666663</v>
      </c>
      <c r="AE234" s="439">
        <f>Financing!AE11</f>
        <v>-416666.66666666663</v>
      </c>
      <c r="AF234" s="439">
        <f>Financing!AF11</f>
        <v>-416666.66666666663</v>
      </c>
      <c r="AG234" s="439">
        <f>Financing!AG11</f>
        <v>-416666.66666666663</v>
      </c>
      <c r="AH234" s="439">
        <f>Financing!AH11</f>
        <v>-416666.66666666663</v>
      </c>
      <c r="AI234" s="439">
        <f>Financing!AI11</f>
        <v>-416666.66666666663</v>
      </c>
      <c r="AJ234" s="439">
        <f>Financing!AJ11</f>
        <v>-416666.66666666663</v>
      </c>
      <c r="AK234" s="439">
        <f>Financing!AK11</f>
        <v>-416666.66666666663</v>
      </c>
      <c r="AL234" s="439">
        <f>Financing!AL11</f>
        <v>-416666.66666666663</v>
      </c>
      <c r="AM234" s="439">
        <f>Financing!AM11</f>
        <v>-416666.66666666663</v>
      </c>
      <c r="AN234" s="439">
        <f>Financing!AN11</f>
        <v>-879629.62962962966</v>
      </c>
      <c r="AO234" s="439">
        <f>Financing!AO11</f>
        <v>-879629.62962962966</v>
      </c>
      <c r="AP234" s="439">
        <f>Financing!AP11</f>
        <v>-879629.62962962966</v>
      </c>
      <c r="AQ234" s="439">
        <f>Financing!AQ11</f>
        <v>-879629.62962962966</v>
      </c>
      <c r="AR234" s="439">
        <f>Financing!AR11</f>
        <v>-879629.62962962966</v>
      </c>
      <c r="AS234" s="439">
        <f>Financing!AS11</f>
        <v>-879629.62962962966</v>
      </c>
      <c r="AT234" s="439">
        <f>Financing!AT11</f>
        <v>-462962.96296296298</v>
      </c>
      <c r="AU234" s="439">
        <f>Financing!AU11</f>
        <v>-462962.96296296298</v>
      </c>
      <c r="AV234" s="439">
        <f>Financing!AV11</f>
        <v>-462962.96296296298</v>
      </c>
      <c r="AW234" s="439">
        <f>Financing!AW11</f>
        <v>-462962.96296296298</v>
      </c>
      <c r="AX234" s="439">
        <f>Financing!AX11</f>
        <v>-462962.96296296298</v>
      </c>
      <c r="AY234" s="439">
        <f>Financing!AY11</f>
        <v>-462962.96296296298</v>
      </c>
      <c r="AZ234" s="439">
        <f>Financing!AZ11</f>
        <v>-462962.96296296298</v>
      </c>
      <c r="BA234" s="439">
        <f>Financing!BA11</f>
        <v>-462962.96296296298</v>
      </c>
      <c r="BB234" s="439">
        <f>Financing!BB11</f>
        <v>-462962.96296296298</v>
      </c>
      <c r="BC234" s="439">
        <f>Financing!BC11</f>
        <v>-462962.96296296298</v>
      </c>
      <c r="BD234" s="439">
        <f>Financing!BD11</f>
        <v>-462962.96296296298</v>
      </c>
      <c r="BE234" s="439">
        <f>Financing!BE11</f>
        <v>-462962.96296296298</v>
      </c>
      <c r="BF234" s="439">
        <f>Financing!BF11</f>
        <v>-462962.96296296298</v>
      </c>
      <c r="BG234" s="439">
        <f>Financing!BG11</f>
        <v>-462962.96296296298</v>
      </c>
      <c r="BH234" s="439">
        <f>Financing!BH11</f>
        <v>-462962.96296296298</v>
      </c>
      <c r="BI234" s="439">
        <f>Financing!BI11</f>
        <v>-462962.96296296298</v>
      </c>
      <c r="BJ234" s="439">
        <f>Financing!BJ11</f>
        <v>-462962.96296296298</v>
      </c>
      <c r="BK234" s="439">
        <f>Financing!BK11</f>
        <v>-462962.96296296298</v>
      </c>
      <c r="BL234" s="439">
        <f>Financing!BL11</f>
        <v>-685185.18518518517</v>
      </c>
      <c r="BM234" s="439">
        <f>Financing!BM11</f>
        <v>-685185.18518518517</v>
      </c>
      <c r="BN234" s="439">
        <f>Financing!BN11</f>
        <v>-685185.18518518517</v>
      </c>
      <c r="BO234" s="439">
        <f>Financing!BO11</f>
        <v>-685185.18518518517</v>
      </c>
      <c r="BP234" s="439">
        <f>Financing!BP11</f>
        <v>-685185.18518518517</v>
      </c>
      <c r="BQ234" s="439">
        <f>Financing!BQ11</f>
        <v>-685185.18518518517</v>
      </c>
      <c r="BR234" s="439">
        <f>Financing!BR11</f>
        <v>-685185.18518518517</v>
      </c>
      <c r="BS234" s="439">
        <f>Financing!BS11</f>
        <v>-685185.18518518517</v>
      </c>
      <c r="BT234" s="439">
        <f>Financing!BT11</f>
        <v>-685185.18518518517</v>
      </c>
      <c r="BU234" s="439">
        <f>Financing!BU11</f>
        <v>-685185.18518518517</v>
      </c>
      <c r="BV234" s="439">
        <f>Financing!BV11</f>
        <v>-685185.18518518517</v>
      </c>
      <c r="BW234" s="439">
        <f>Financing!BW11</f>
        <v>-685185.18518518517</v>
      </c>
      <c r="BX234" s="439">
        <f>Financing!BX11</f>
        <v>-870370.37037037034</v>
      </c>
      <c r="BY234" s="439">
        <f>Financing!BY11</f>
        <v>-870370.37037037034</v>
      </c>
      <c r="BZ234" s="439">
        <f>Financing!BZ11</f>
        <v>-870370.37037037034</v>
      </c>
      <c r="CA234" s="439">
        <f>Financing!CA11</f>
        <v>-870370.37037037034</v>
      </c>
      <c r="CB234" s="439">
        <f>Financing!CB11</f>
        <v>-870370.37037037034</v>
      </c>
      <c r="CC234" s="439">
        <f>Financing!CC11</f>
        <v>-870370.37037037034</v>
      </c>
      <c r="CD234" s="439">
        <f>Financing!CD11</f>
        <v>-870370.37037037034</v>
      </c>
      <c r="CE234" s="439">
        <f>Financing!CE11</f>
        <v>-870370.37037037034</v>
      </c>
      <c r="CF234" s="439">
        <f>Financing!CF11</f>
        <v>-870370.37037037034</v>
      </c>
      <c r="CG234" s="439">
        <f>Financing!CG11</f>
        <v>-870370.37037037034</v>
      </c>
      <c r="CH234" s="439">
        <f>Financing!CH11</f>
        <v>-870370.37037037034</v>
      </c>
      <c r="CI234" s="439">
        <f>Financing!CI11</f>
        <v>-870370.37037037034</v>
      </c>
      <c r="CJ234" s="439">
        <f>Financing!CJ11</f>
        <v>-1055555.5555555555</v>
      </c>
      <c r="CK234" s="439">
        <f>Financing!CK11</f>
        <v>-1055555.5555555555</v>
      </c>
      <c r="CL234" s="439">
        <f>Financing!CL11</f>
        <v>-1055555.5555555555</v>
      </c>
      <c r="CM234" s="439">
        <f>Financing!CM11</f>
        <v>-1055555.5555555555</v>
      </c>
      <c r="CN234" s="439">
        <f>Financing!CN11</f>
        <v>-1055555.5555555555</v>
      </c>
      <c r="CO234" s="439">
        <f>Financing!CO11</f>
        <v>-1055555.5555555555</v>
      </c>
      <c r="CP234" s="439">
        <f>Financing!CP11</f>
        <v>-592592.59259259258</v>
      </c>
      <c r="CQ234" s="439">
        <f>Financing!CQ11</f>
        <v>-592592.59259259258</v>
      </c>
      <c r="CR234" s="439">
        <f>Financing!CR11</f>
        <v>-592592.59259259258</v>
      </c>
      <c r="CS234" s="439">
        <f>Financing!CS11</f>
        <v>-592592.59259259258</v>
      </c>
      <c r="CT234" s="439">
        <f>Financing!CT11</f>
        <v>-592592.59259259258</v>
      </c>
      <c r="CU234" s="439">
        <f>Financing!CU11</f>
        <v>-592592.59259259258</v>
      </c>
      <c r="CV234" s="439">
        <f>Financing!CV11</f>
        <v>-777777.77777777775</v>
      </c>
      <c r="CW234" s="439">
        <f>Financing!CW11</f>
        <v>-777777.77777777775</v>
      </c>
      <c r="CX234" s="439">
        <f>Financing!CX11</f>
        <v>-777777.77777777775</v>
      </c>
      <c r="CY234" s="439">
        <f>Financing!CY11</f>
        <v>-777777.77777777775</v>
      </c>
      <c r="CZ234" s="439">
        <f>Financing!CZ11</f>
        <v>-777777.77777777775</v>
      </c>
      <c r="DA234" s="439">
        <f>Financing!DA11</f>
        <v>-777777.77777777775</v>
      </c>
      <c r="DB234" s="439">
        <f>Financing!DB11</f>
        <v>-777777.77777777775</v>
      </c>
      <c r="DC234" s="439">
        <f>Financing!DC11</f>
        <v>-777777.77777777775</v>
      </c>
      <c r="DD234" s="439">
        <f>Financing!DD11</f>
        <v>-777777.77777777775</v>
      </c>
      <c r="DE234" s="439">
        <f>Financing!DE11</f>
        <v>-777777.77777777775</v>
      </c>
      <c r="DF234" s="439">
        <f>Financing!DF11</f>
        <v>-777777.77777777775</v>
      </c>
      <c r="DG234" s="439">
        <f>Financing!DG11</f>
        <v>-777777.77777777775</v>
      </c>
      <c r="DH234" s="439">
        <f>Financing!DH11</f>
        <v>-962962.96296296292</v>
      </c>
      <c r="DI234" s="439">
        <f>Financing!DI11</f>
        <v>-962962.96296296292</v>
      </c>
      <c r="DJ234" s="439">
        <f>Financing!DJ11</f>
        <v>-962962.96296296292</v>
      </c>
      <c r="DK234" s="439">
        <f>Financing!DK11</f>
        <v>-962962.96296296292</v>
      </c>
      <c r="DL234" s="439">
        <f>Financing!DL11</f>
        <v>-962962.96296296292</v>
      </c>
      <c r="DM234" s="439">
        <f>Financing!DM11</f>
        <v>-962962.96296296292</v>
      </c>
      <c r="DN234" s="439">
        <f>Financing!DN11</f>
        <v>-740740.74074074067</v>
      </c>
      <c r="DO234" s="439">
        <f>Financing!DO11</f>
        <v>-740740.74074074067</v>
      </c>
      <c r="DP234" s="439">
        <f>Financing!DP11</f>
        <v>-740740.74074074067</v>
      </c>
      <c r="DQ234" s="439">
        <f>Financing!DQ11</f>
        <v>-740740.74074074067</v>
      </c>
      <c r="DR234" s="439">
        <f>Financing!DR11</f>
        <v>-740740.74074074067</v>
      </c>
      <c r="DS234" s="439">
        <f>Financing!DS11</f>
        <v>-740740.74074074067</v>
      </c>
      <c r="DT234" s="439">
        <f>Financing!DT11</f>
        <v>-981481.48148148134</v>
      </c>
      <c r="DU234" s="439">
        <f>Financing!DU11</f>
        <v>-981481.48148148134</v>
      </c>
      <c r="DV234" s="439">
        <f>Financing!DV11</f>
        <v>-981481.48148148134</v>
      </c>
      <c r="DW234" s="439">
        <f>Financing!DW11</f>
        <v>-981481.48148148134</v>
      </c>
      <c r="DX234" s="439">
        <f>Financing!DX11</f>
        <v>-981481.48148148134</v>
      </c>
      <c r="DY234" s="439">
        <f>Financing!DY11</f>
        <v>-981481.48148148134</v>
      </c>
    </row>
    <row r="235" spans="3:129" outlineLevel="1">
      <c r="C235" s="5" t="s">
        <v>238</v>
      </c>
      <c r="J235" s="35">
        <f ca="1">_TotalOpex</f>
        <v>-941880.03405909613</v>
      </c>
      <c r="K235" s="35">
        <f t="shared" ref="K235:AO235" ca="1" si="502">_TotalOpex</f>
        <v>-957133.62225037813</v>
      </c>
      <c r="L235" s="35">
        <f t="shared" ca="1" si="502"/>
        <v>-972967.71608974726</v>
      </c>
      <c r="M235" s="35">
        <f t="shared" ca="1" si="502"/>
        <v>-989391.1713513229</v>
      </c>
      <c r="N235" s="35">
        <f t="shared" ca="1" si="502"/>
        <v>-1006413.0484680948</v>
      </c>
      <c r="O235" s="35">
        <f t="shared" ca="1" si="502"/>
        <v>-1024042.6163496671</v>
      </c>
      <c r="P235" s="35">
        <f t="shared" ca="1" si="502"/>
        <v>-1042289.3562791112</v>
      </c>
      <c r="Q235" s="35">
        <f t="shared" ca="1" si="502"/>
        <v>-1061162.9658904825</v>
      </c>
      <c r="R235" s="35">
        <f t="shared" ca="1" si="502"/>
        <v>-1080673.3632285858</v>
      </c>
      <c r="S235" s="35">
        <f t="shared" ca="1" si="502"/>
        <v>-1100830.6908926105</v>
      </c>
      <c r="T235" s="35">
        <f t="shared" ca="1" si="502"/>
        <v>-1121645.3202652838</v>
      </c>
      <c r="U235" s="35">
        <f t="shared" ca="1" si="502"/>
        <v>-1143127.8558292254</v>
      </c>
      <c r="V235" s="35">
        <f t="shared" ca="1" si="502"/>
        <v>-1166963.8561720569</v>
      </c>
      <c r="W235" s="35">
        <f t="shared" ca="1" si="502"/>
        <v>-1186114.8093106321</v>
      </c>
      <c r="X235" s="35">
        <f t="shared" ca="1" si="502"/>
        <v>-1205707.8653981334</v>
      </c>
      <c r="Y235" s="35">
        <f t="shared" ca="1" si="502"/>
        <v>-1225751.2756546778</v>
      </c>
      <c r="Z235" s="35">
        <f t="shared" ca="1" si="502"/>
        <v>-1246253.4622331737</v>
      </c>
      <c r="AA235" s="35">
        <f t="shared" ca="1" si="502"/>
        <v>-1267223.0215788912</v>
      </c>
      <c r="AB235" s="35">
        <f t="shared" ca="1" si="502"/>
        <v>-1288668.7278568188</v>
      </c>
      <c r="AC235" s="35">
        <f t="shared" ca="1" si="502"/>
        <v>-1310599.5364481476</v>
      </c>
      <c r="AD235" s="35">
        <f t="shared" ca="1" si="502"/>
        <v>-1333024.5875172671</v>
      </c>
      <c r="AE235" s="35">
        <f t="shared" ca="1" si="502"/>
        <v>-1355953.2096506734</v>
      </c>
      <c r="AF235" s="35">
        <f t="shared" ca="1" si="502"/>
        <v>-1379394.9235692236</v>
      </c>
      <c r="AG235" s="35">
        <f t="shared" ca="1" si="502"/>
        <v>-1403359.4459151952</v>
      </c>
      <c r="AH235" s="35">
        <f t="shared" ca="1" si="502"/>
        <v>-1431739.5239648609</v>
      </c>
      <c r="AI235" s="35">
        <f t="shared" ca="1" si="502"/>
        <v>-1453520.3235190283</v>
      </c>
      <c r="AJ235" s="35">
        <f t="shared" ca="1" si="502"/>
        <v>-1475764.369354249</v>
      </c>
      <c r="AK235" s="35">
        <f t="shared" ca="1" si="502"/>
        <v>-1498480.6500932442</v>
      </c>
      <c r="AL235" s="35">
        <f t="shared" ca="1" si="502"/>
        <v>-1521678.336894219</v>
      </c>
      <c r="AM235" s="35">
        <f t="shared" ca="1" si="502"/>
        <v>-1545366.7870739412</v>
      </c>
      <c r="AN235" s="35">
        <f t="shared" ca="1" si="502"/>
        <v>-1570719.3583040624</v>
      </c>
      <c r="AO235" s="35">
        <f t="shared" ca="1" si="502"/>
        <v>-1593700.7192086442</v>
      </c>
      <c r="AP235" s="35">
        <f t="shared" ref="AP235:BU235" ca="1" si="503">_TotalOpex</f>
        <v>-1617152.2547547435</v>
      </c>
      <c r="AQ235" s="35">
        <f t="shared" ca="1" si="503"/>
        <v>-1641083.2629609569</v>
      </c>
      <c r="AR235" s="35">
        <f t="shared" ca="1" si="503"/>
        <v>-1665503.2288609953</v>
      </c>
      <c r="AS235" s="35">
        <f t="shared" ca="1" si="503"/>
        <v>-1690421.8282334367</v>
      </c>
      <c r="AT235" s="35">
        <f t="shared" ca="1" si="503"/>
        <v>-1630342.4266363962</v>
      </c>
      <c r="AU235" s="35">
        <f t="shared" ca="1" si="503"/>
        <v>-1654607.410618226</v>
      </c>
      <c r="AV235" s="35">
        <f t="shared" ca="1" si="503"/>
        <v>-1679365.4987893687</v>
      </c>
      <c r="AW235" s="35">
        <f t="shared" ca="1" si="503"/>
        <v>-1704626.4751885145</v>
      </c>
      <c r="AX235" s="35">
        <f t="shared" ca="1" si="503"/>
        <v>-1730400.3203155771</v>
      </c>
      <c r="AY235" s="35">
        <f t="shared" ca="1" si="503"/>
        <v>-1756697.2150531155</v>
      </c>
      <c r="AZ235" s="35">
        <f t="shared" ca="1" si="503"/>
        <v>-1783527.5446662602</v>
      </c>
      <c r="BA235" s="35">
        <f t="shared" ca="1" si="503"/>
        <v>-1810901.902882715</v>
      </c>
      <c r="BB235" s="35">
        <f t="shared" ca="1" si="503"/>
        <v>-1838831.096054435</v>
      </c>
      <c r="BC235" s="35">
        <f t="shared" ca="1" si="503"/>
        <v>-1867326.1474026162</v>
      </c>
      <c r="BD235" s="35">
        <f t="shared" ca="1" si="503"/>
        <v>-1896398.3013476585</v>
      </c>
      <c r="BE235" s="35">
        <f t="shared" ca="1" si="503"/>
        <v>-1926059.0279257987</v>
      </c>
      <c r="BF235" s="35">
        <f t="shared" ca="1" si="503"/>
        <v>-1956609.5915372341</v>
      </c>
      <c r="BG235" s="35">
        <f t="shared" ca="1" si="503"/>
        <v>-1987268.9445916356</v>
      </c>
      <c r="BH235" s="35">
        <f t="shared" ca="1" si="503"/>
        <v>-2018547.6806170233</v>
      </c>
      <c r="BI235" s="35">
        <f t="shared" ca="1" si="503"/>
        <v>-2050458.1253137179</v>
      </c>
      <c r="BJ235" s="35">
        <f t="shared" ca="1" si="503"/>
        <v>-2083012.8515156372</v>
      </c>
      <c r="BK235" s="35">
        <f t="shared" ca="1" si="503"/>
        <v>-2116224.6841267738</v>
      </c>
      <c r="BL235" s="35">
        <f t="shared" ca="1" si="503"/>
        <v>-2150106.7051564599</v>
      </c>
      <c r="BM235" s="35">
        <f t="shared" ca="1" si="503"/>
        <v>-2184672.2588554029</v>
      </c>
      <c r="BN235" s="35">
        <f t="shared" ca="1" si="503"/>
        <v>-2219934.9569545011</v>
      </c>
      <c r="BO235" s="35">
        <f t="shared" ca="1" si="503"/>
        <v>-2255908.6840084959</v>
      </c>
      <c r="BP235" s="35">
        <f t="shared" ca="1" si="503"/>
        <v>-2292607.6028465573</v>
      </c>
      <c r="BQ235" s="35">
        <f t="shared" ca="1" si="503"/>
        <v>-2330046.160131935</v>
      </c>
      <c r="BR235" s="35">
        <f t="shared" ca="1" si="503"/>
        <v>-2418592.5725471275</v>
      </c>
      <c r="BS235" s="35">
        <f t="shared" ca="1" si="503"/>
        <v>-2444594.8237051303</v>
      </c>
      <c r="BT235" s="35">
        <f t="shared" ca="1" si="503"/>
        <v>-2469230.862258601</v>
      </c>
      <c r="BU235" s="35">
        <f t="shared" ca="1" si="503"/>
        <v>-2492492.2265317258</v>
      </c>
      <c r="BV235" s="35">
        <f t="shared" ref="BV235:DY235" ca="1" si="504">_TotalOpex</f>
        <v>-2514370.0969894119</v>
      </c>
      <c r="BW235" s="35">
        <f t="shared" ca="1" si="504"/>
        <v>-2534855.2909663594</v>
      </c>
      <c r="BX235" s="35">
        <f t="shared" ca="1" si="504"/>
        <v>-2553938.2572718523</v>
      </c>
      <c r="BY235" s="35">
        <f t="shared" ca="1" si="504"/>
        <v>-2571609.0706679723</v>
      </c>
      <c r="BZ235" s="35">
        <f t="shared" ca="1" si="504"/>
        <v>-2587857.426218885</v>
      </c>
      <c r="CA235" s="35">
        <f t="shared" ca="1" si="504"/>
        <v>-2602672.6335088196</v>
      </c>
      <c r="CB235" s="35">
        <f t="shared" ca="1" si="504"/>
        <v>-2616043.6107262755</v>
      </c>
      <c r="CC235" s="35">
        <f t="shared" ca="1" si="504"/>
        <v>-2627958.8786119856</v>
      </c>
      <c r="CD235" s="35">
        <f t="shared" ca="1" si="504"/>
        <v>-2638015.6200109646</v>
      </c>
      <c r="CE235" s="35">
        <f t="shared" ca="1" si="504"/>
        <v>-2647468.0826860955</v>
      </c>
      <c r="CF235" s="35">
        <f t="shared" ca="1" si="504"/>
        <v>-2656352.4111999781</v>
      </c>
      <c r="CG235" s="35">
        <f t="shared" ca="1" si="504"/>
        <v>-2664664.8147035344</v>
      </c>
      <c r="CH235" s="35">
        <f t="shared" ca="1" si="504"/>
        <v>-2672401.3508123648</v>
      </c>
      <c r="CI235" s="35">
        <f t="shared" ca="1" si="504"/>
        <v>-2679557.923333222</v>
      </c>
      <c r="CJ235" s="35">
        <f t="shared" ca="1" si="504"/>
        <v>-2686130.279937448</v>
      </c>
      <c r="CK235" s="35">
        <f t="shared" ca="1" si="504"/>
        <v>-2692114.0097803818</v>
      </c>
      <c r="CL235" s="35">
        <f t="shared" ca="1" si="504"/>
        <v>-2697504.5410657302</v>
      </c>
      <c r="CM235" s="35">
        <f t="shared" ca="1" si="504"/>
        <v>-2702297.1385538867</v>
      </c>
      <c r="CN235" s="35">
        <f t="shared" ca="1" si="504"/>
        <v>-2706486.9010131354</v>
      </c>
      <c r="CO235" s="35">
        <f t="shared" ca="1" si="504"/>
        <v>-2710068.7586126858</v>
      </c>
      <c r="CP235" s="35">
        <f t="shared" ca="1" si="504"/>
        <v>-2712611.1797722187</v>
      </c>
      <c r="CQ235" s="35">
        <f t="shared" ca="1" si="504"/>
        <v>-2714916.3009555126</v>
      </c>
      <c r="CR235" s="35">
        <f t="shared" ca="1" si="504"/>
        <v>-2716982.2600654308</v>
      </c>
      <c r="CS235" s="35">
        <f t="shared" ca="1" si="504"/>
        <v>-2718807.1265054746</v>
      </c>
      <c r="CT235" s="35">
        <f t="shared" ca="1" si="504"/>
        <v>-2720388.9025407694</v>
      </c>
      <c r="CU235" s="35">
        <f t="shared" ca="1" si="504"/>
        <v>-2721725.5222405549</v>
      </c>
      <c r="CV235" s="35">
        <f t="shared" ca="1" si="504"/>
        <v>-2722678.9960543043</v>
      </c>
      <c r="CW235" s="35">
        <f t="shared" ca="1" si="504"/>
        <v>-2723575.4205920738</v>
      </c>
      <c r="CX235" s="35">
        <f t="shared" ca="1" si="504"/>
        <v>-2724429.5327220783</v>
      </c>
      <c r="CY235" s="35">
        <f t="shared" ca="1" si="504"/>
        <v>-2725241.0886051483</v>
      </c>
      <c r="CZ235" s="35">
        <f t="shared" ca="1" si="504"/>
        <v>-2726009.8335012384</v>
      </c>
      <c r="DA235" s="35">
        <f t="shared" ca="1" si="504"/>
        <v>-2726735.5016116574</v>
      </c>
      <c r="DB235" s="35">
        <f t="shared" ca="1" si="504"/>
        <v>-2727416.3597147204</v>
      </c>
      <c r="DC235" s="35">
        <f t="shared" ca="1" si="504"/>
        <v>-2728057.6162082232</v>
      </c>
      <c r="DD235" s="35">
        <f t="shared" ca="1" si="504"/>
        <v>-2728662.1658590459</v>
      </c>
      <c r="DE235" s="35">
        <f t="shared" ca="1" si="504"/>
        <v>-2729229.7698500603</v>
      </c>
      <c r="DF235" s="35">
        <f t="shared" ca="1" si="504"/>
        <v>-2729760.1796345995</v>
      </c>
      <c r="DG235" s="35">
        <f t="shared" ca="1" si="504"/>
        <v>-2730253.1367913955</v>
      </c>
      <c r="DH235" s="35">
        <f t="shared" ca="1" si="504"/>
        <v>-2730708.3728761291</v>
      </c>
      <c r="DI235" s="35">
        <f t="shared" ca="1" si="504"/>
        <v>-2731125.609269511</v>
      </c>
      <c r="DJ235" s="35">
        <f t="shared" ca="1" si="504"/>
        <v>-2731504.5570218428</v>
      </c>
      <c r="DK235" s="35">
        <f t="shared" ca="1" si="504"/>
        <v>-2731844.9166939948</v>
      </c>
      <c r="DL235" s="35">
        <f t="shared" ca="1" si="504"/>
        <v>-2732146.3781947149</v>
      </c>
      <c r="DM235" s="35">
        <f t="shared" ca="1" si="504"/>
        <v>-2732408.6206142232</v>
      </c>
      <c r="DN235" s="35">
        <f t="shared" ca="1" si="504"/>
        <v>-2732600.4127847245</v>
      </c>
      <c r="DO235" s="35">
        <f t="shared" ca="1" si="504"/>
        <v>-2732776.5260769548</v>
      </c>
      <c r="DP235" s="35">
        <f t="shared" ca="1" si="504"/>
        <v>-2732936.8420795649</v>
      </c>
      <c r="DQ235" s="35">
        <f t="shared" ca="1" si="504"/>
        <v>-2733081.2380423173</v>
      </c>
      <c r="DR235" s="35">
        <f t="shared" ca="1" si="504"/>
        <v>-2733209.586828013</v>
      </c>
      <c r="DS235" s="35">
        <f t="shared" ca="1" si="504"/>
        <v>-2733321.756844074</v>
      </c>
      <c r="DT235" s="35">
        <f t="shared" ca="1" si="504"/>
        <v>-2733417.6119725625</v>
      </c>
      <c r="DU235" s="35">
        <f t="shared" ca="1" si="504"/>
        <v>-2733497.0114986054</v>
      </c>
      <c r="DV235" s="35">
        <f t="shared" ca="1" si="504"/>
        <v>-2733559.8100372036</v>
      </c>
      <c r="DW235" s="35">
        <f t="shared" ca="1" si="504"/>
        <v>-2733605.857458387</v>
      </c>
      <c r="DX235" s="35">
        <f t="shared" ca="1" si="504"/>
        <v>-2733634.9988106908</v>
      </c>
      <c r="DY235" s="35">
        <f t="shared" ca="1" si="504"/>
        <v>-2733647.0742429104</v>
      </c>
    </row>
    <row r="236" spans="3:129" outlineLevel="1">
      <c r="C236" s="5" t="s">
        <v>93</v>
      </c>
      <c r="G236" s="265" t="s">
        <v>447</v>
      </c>
      <c r="J236" s="35">
        <f t="shared" ref="J236:AO236" ca="1" si="505">_cfStockExpenses</f>
        <v>-948458.76842104108</v>
      </c>
      <c r="K236" s="35">
        <f t="shared" ca="1" si="505"/>
        <v>-966533.4912367611</v>
      </c>
      <c r="L236" s="35">
        <f t="shared" ca="1" si="505"/>
        <v>-984969.70850879548</v>
      </c>
      <c r="M236" s="35">
        <f t="shared" ca="1" si="505"/>
        <v>-1003774.6501262706</v>
      </c>
      <c r="N236" s="35">
        <f t="shared" ca="1" si="505"/>
        <v>-1022955.6905760951</v>
      </c>
      <c r="O236" s="35">
        <f t="shared" ca="1" si="505"/>
        <v>-1042520.3518349163</v>
      </c>
      <c r="P236" s="35">
        <f t="shared" ca="1" si="505"/>
        <v>-1062476.3063189138</v>
      </c>
      <c r="Q236" s="35">
        <f t="shared" ca="1" si="505"/>
        <v>-1082831.3798925914</v>
      </c>
      <c r="R236" s="35">
        <f t="shared" ca="1" si="505"/>
        <v>-1103593.5549377424</v>
      </c>
      <c r="S236" s="35">
        <f t="shared" ca="1" si="505"/>
        <v>-1133838.5062047769</v>
      </c>
      <c r="T236" s="35">
        <f t="shared" ca="1" si="505"/>
        <v>-1156149.4727223059</v>
      </c>
      <c r="U236" s="35">
        <f t="shared" ca="1" si="505"/>
        <v>-1178906.6585701855</v>
      </c>
      <c r="V236" s="35">
        <f t="shared" ca="1" si="505"/>
        <v>-1202118.9881350228</v>
      </c>
      <c r="W236" s="35">
        <f t="shared" ca="1" si="505"/>
        <v>-1225795.5642911568</v>
      </c>
      <c r="X236" s="35">
        <f t="shared" ca="1" si="505"/>
        <v>-1249945.6719704135</v>
      </c>
      <c r="Y236" s="35">
        <f t="shared" ca="1" si="505"/>
        <v>-1274578.7818032547</v>
      </c>
      <c r="Z236" s="35">
        <f t="shared" ca="1" si="505"/>
        <v>-1299704.5538327538</v>
      </c>
      <c r="AA236" s="35">
        <f t="shared" ca="1" si="505"/>
        <v>-1325332.8413028421</v>
      </c>
      <c r="AB236" s="35">
        <f t="shared" ca="1" si="505"/>
        <v>-1351473.6945223324</v>
      </c>
      <c r="AC236" s="35">
        <f t="shared" ca="1" si="505"/>
        <v>-1378137.364806212</v>
      </c>
      <c r="AD236" s="35">
        <f t="shared" ca="1" si="505"/>
        <v>-1405334.30849577</v>
      </c>
      <c r="AE236" s="35">
        <f t="shared" ca="1" si="505"/>
        <v>-1445760.0606747547</v>
      </c>
      <c r="AF236" s="35">
        <f t="shared" ca="1" si="505"/>
        <v>-1474507.5695040394</v>
      </c>
      <c r="AG236" s="35">
        <f t="shared" ca="1" si="505"/>
        <v>-1503830.0285099093</v>
      </c>
      <c r="AH236" s="35">
        <f t="shared" ca="1" si="505"/>
        <v>-1533738.936695897</v>
      </c>
      <c r="AI236" s="35">
        <f t="shared" ca="1" si="505"/>
        <v>-1564246.0230456046</v>
      </c>
      <c r="AJ236" s="35">
        <f t="shared" ca="1" si="505"/>
        <v>-1595363.2511223061</v>
      </c>
      <c r="AK236" s="35">
        <f t="shared" ca="1" si="505"/>
        <v>-1634513.0918403706</v>
      </c>
      <c r="AL236" s="35">
        <f t="shared" ca="1" si="505"/>
        <v>-1667174.7862539603</v>
      </c>
      <c r="AM236" s="35">
        <f t="shared" ca="1" si="505"/>
        <v>-1700489.7145558218</v>
      </c>
      <c r="AN236" s="35">
        <f t="shared" ca="1" si="505"/>
        <v>-1734470.9414237209</v>
      </c>
      <c r="AO236" s="35">
        <f t="shared" ca="1" si="505"/>
        <v>-1769131.7928289778</v>
      </c>
      <c r="AP236" s="35">
        <f t="shared" ref="AP236:BU236" ca="1" si="506">_cfStockExpenses</f>
        <v>-1804485.8612623394</v>
      </c>
      <c r="AQ236" s="35">
        <f t="shared" ca="1" si="506"/>
        <v>-1840618.2526868682</v>
      </c>
      <c r="AR236" s="35">
        <f t="shared" ca="1" si="506"/>
        <v>-1877406.2037965993</v>
      </c>
      <c r="AS236" s="35">
        <f t="shared" ca="1" si="506"/>
        <v>-1914929.9139285253</v>
      </c>
      <c r="AT236" s="35">
        <f t="shared" ca="1" si="506"/>
        <v>-1953204.0982630895</v>
      </c>
      <c r="AU236" s="35">
        <f t="shared" ca="1" si="506"/>
        <v>-1992243.7662843452</v>
      </c>
      <c r="AV236" s="35">
        <f t="shared" ca="1" si="506"/>
        <v>-2032064.2276660257</v>
      </c>
      <c r="AW236" s="35">
        <f t="shared" ca="1" si="506"/>
        <v>-2072681.0982753402</v>
      </c>
      <c r="AX236" s="35">
        <f t="shared" ca="1" si="506"/>
        <v>-2114110.3062968403</v>
      </c>
      <c r="AY236" s="35">
        <f t="shared" ca="1" si="506"/>
        <v>-2156368.0984787713</v>
      </c>
      <c r="AZ236" s="35">
        <f t="shared" ca="1" si="506"/>
        <v>-2199471.0465043411</v>
      </c>
      <c r="BA236" s="35">
        <f t="shared" ca="1" si="506"/>
        <v>-2243436.0534904217</v>
      </c>
      <c r="BB236" s="35">
        <f t="shared" ca="1" si="506"/>
        <v>-2288280.3606162239</v>
      </c>
      <c r="BC236" s="35">
        <f t="shared" ca="1" si="506"/>
        <v>-2334961.3436153634</v>
      </c>
      <c r="BD236" s="35">
        <f t="shared" ca="1" si="506"/>
        <v>-2381648.4082863256</v>
      </c>
      <c r="BE236" s="35">
        <f t="shared" ca="1" si="506"/>
        <v>-2429269.2142507071</v>
      </c>
      <c r="BF236" s="35">
        <f t="shared" ca="1" si="506"/>
        <v>-2477842.4363343758</v>
      </c>
      <c r="BG236" s="35">
        <f t="shared" ca="1" si="506"/>
        <v>-2527387.1228597192</v>
      </c>
      <c r="BH236" s="35">
        <f t="shared" ca="1" si="506"/>
        <v>-2577922.7031155685</v>
      </c>
      <c r="BI236" s="35">
        <f t="shared" ca="1" si="506"/>
        <v>-2629468.9949765354</v>
      </c>
      <c r="BJ236" s="35">
        <f t="shared" ca="1" si="506"/>
        <v>-2682046.2126747211</v>
      </c>
      <c r="BK236" s="35">
        <f t="shared" ca="1" si="506"/>
        <v>-2735674.9747268702</v>
      </c>
      <c r="BL236" s="35">
        <f t="shared" ca="1" si="506"/>
        <v>-2790376.3120200629</v>
      </c>
      <c r="BM236" s="35">
        <f t="shared" ca="1" si="506"/>
        <v>-2846171.6760591194</v>
      </c>
      <c r="BN236" s="35">
        <f t="shared" ca="1" si="506"/>
        <v>-2903082.9473789567</v>
      </c>
      <c r="BO236" s="35">
        <f t="shared" ca="1" si="506"/>
        <v>-2906893.6692997785</v>
      </c>
      <c r="BP236" s="35">
        <f t="shared" ca="1" si="506"/>
        <v>-2910242.2318341439</v>
      </c>
      <c r="BQ236" s="35">
        <f t="shared" ca="1" si="506"/>
        <v>-2913657.7656191969</v>
      </c>
      <c r="BR236" s="35">
        <f t="shared" ca="1" si="506"/>
        <v>-2917141.6100799507</v>
      </c>
      <c r="BS236" s="35">
        <f t="shared" ca="1" si="506"/>
        <v>-2920695.1314299195</v>
      </c>
      <c r="BT236" s="35">
        <f t="shared" ca="1" si="506"/>
        <v>-2924319.723206888</v>
      </c>
      <c r="BU236" s="35">
        <f t="shared" ca="1" si="506"/>
        <v>-2928016.8068193961</v>
      </c>
      <c r="BV236" s="35">
        <f t="shared" ref="BV236:DY236" ca="1" si="507">_cfStockExpenses</f>
        <v>-2931787.8321041539</v>
      </c>
      <c r="BW236" s="35">
        <f t="shared" ca="1" si="507"/>
        <v>-2935634.2778946063</v>
      </c>
      <c r="BX236" s="35">
        <f t="shared" ca="1" si="507"/>
        <v>-2939557.6526008681</v>
      </c>
      <c r="BY236" s="35">
        <f t="shared" ca="1" si="507"/>
        <v>-2943559.4948012559</v>
      </c>
      <c r="BZ236" s="35">
        <f t="shared" ca="1" si="507"/>
        <v>-2947641.3738456508</v>
      </c>
      <c r="CA236" s="35">
        <f t="shared" ca="1" si="507"/>
        <v>-2949594.4276937586</v>
      </c>
      <c r="CB236" s="35">
        <f t="shared" ca="1" si="507"/>
        <v>-2951514.088476249</v>
      </c>
      <c r="CC236" s="35">
        <f t="shared" ca="1" si="507"/>
        <v>-2953472.1424743896</v>
      </c>
      <c r="CD236" s="35">
        <f t="shared" ca="1" si="507"/>
        <v>-2955469.3575524935</v>
      </c>
      <c r="CE236" s="35">
        <f t="shared" ca="1" si="507"/>
        <v>-2957506.5169321592</v>
      </c>
      <c r="CF236" s="35">
        <f t="shared" ca="1" si="507"/>
        <v>-2959584.4194994187</v>
      </c>
      <c r="CG236" s="35">
        <f t="shared" ca="1" si="507"/>
        <v>-2961703.8801180227</v>
      </c>
      <c r="CH236" s="35">
        <f t="shared" ca="1" si="507"/>
        <v>-2963865.7299489984</v>
      </c>
      <c r="CI236" s="35">
        <f t="shared" ca="1" si="507"/>
        <v>-2966070.8167765946</v>
      </c>
      <c r="CJ236" s="35">
        <f t="shared" ca="1" si="507"/>
        <v>-2968320.0053407419</v>
      </c>
      <c r="CK236" s="35">
        <f t="shared" ca="1" si="507"/>
        <v>-2970614.1776761725</v>
      </c>
      <c r="CL236" s="35">
        <f t="shared" ca="1" si="507"/>
        <v>-2972954.2334583118</v>
      </c>
      <c r="CM236" s="35">
        <f t="shared" ca="1" si="507"/>
        <v>-2973887.7634055563</v>
      </c>
      <c r="CN236" s="35">
        <f t="shared" ca="1" si="507"/>
        <v>-2974839.9598104609</v>
      </c>
      <c r="CO236" s="35">
        <f t="shared" ca="1" si="507"/>
        <v>-2975811.200143463</v>
      </c>
      <c r="CP236" s="35">
        <f t="shared" ca="1" si="507"/>
        <v>-2976801.8652831255</v>
      </c>
      <c r="CQ236" s="35">
        <f t="shared" ca="1" si="507"/>
        <v>-2977812.3437255817</v>
      </c>
      <c r="CR236" s="35">
        <f t="shared" ca="1" si="507"/>
        <v>-2978843.0317368861</v>
      </c>
      <c r="CS236" s="35">
        <f t="shared" ca="1" si="507"/>
        <v>-2979010.6247384669</v>
      </c>
      <c r="CT236" s="35">
        <f t="shared" ca="1" si="507"/>
        <v>-2979141.785057527</v>
      </c>
      <c r="CU236" s="35">
        <f t="shared" ca="1" si="507"/>
        <v>-2979275.5685829683</v>
      </c>
      <c r="CV236" s="35">
        <f t="shared" ca="1" si="507"/>
        <v>-2979412.0277789184</v>
      </c>
      <c r="CW236" s="35">
        <f t="shared" ca="1" si="507"/>
        <v>-2979551.2161587877</v>
      </c>
      <c r="CX236" s="35">
        <f t="shared" ca="1" si="507"/>
        <v>-2979693.1883062543</v>
      </c>
      <c r="CY236" s="35">
        <f t="shared" ca="1" si="507"/>
        <v>-2979825.8187979432</v>
      </c>
      <c r="CZ236" s="35">
        <f t="shared" ca="1" si="507"/>
        <v>-2979955.4126395574</v>
      </c>
      <c r="DA236" s="35">
        <f t="shared" ca="1" si="507"/>
        <v>-2980087.5983580044</v>
      </c>
      <c r="DB236" s="35">
        <f t="shared" ca="1" si="507"/>
        <v>-2980222.4277908201</v>
      </c>
      <c r="DC236" s="35">
        <f t="shared" ca="1" si="507"/>
        <v>-2980359.9538122923</v>
      </c>
      <c r="DD236" s="35">
        <f t="shared" ca="1" si="507"/>
        <v>-2980500.2303541936</v>
      </c>
      <c r="DE236" s="35">
        <f t="shared" ca="1" si="507"/>
        <v>-2980643.3124269336</v>
      </c>
      <c r="DF236" s="35">
        <f t="shared" ca="1" si="507"/>
        <v>-2980789.256141128</v>
      </c>
      <c r="DG236" s="35">
        <f t="shared" ca="1" si="507"/>
        <v>-2980938.1187296058</v>
      </c>
      <c r="DH236" s="35">
        <f t="shared" ca="1" si="507"/>
        <v>-2981089.9585698536</v>
      </c>
      <c r="DI236" s="35">
        <f t="shared" ca="1" si="507"/>
        <v>-2981244.8352069068</v>
      </c>
      <c r="DJ236" s="35">
        <f t="shared" ca="1" si="507"/>
        <v>-2981402.8093767008</v>
      </c>
      <c r="DK236" s="35">
        <f t="shared" ca="1" si="507"/>
        <v>-2981464.0725490386</v>
      </c>
      <c r="DL236" s="35">
        <f t="shared" ca="1" si="507"/>
        <v>-2981526.5609522867</v>
      </c>
      <c r="DM236" s="35">
        <f t="shared" ca="1" si="507"/>
        <v>-2981590.2991235997</v>
      </c>
      <c r="DN236" s="35">
        <f t="shared" ca="1" si="507"/>
        <v>-2981655.3120583394</v>
      </c>
      <c r="DO236" s="35">
        <f t="shared" ca="1" si="507"/>
        <v>-2981721.6252517728</v>
      </c>
      <c r="DP236" s="35">
        <f t="shared" ca="1" si="507"/>
        <v>-2981789.2647090754</v>
      </c>
      <c r="DQ236" s="35">
        <f t="shared" ca="1" si="507"/>
        <v>-2981858.2569555249</v>
      </c>
      <c r="DR236" s="35">
        <f t="shared" ca="1" si="507"/>
        <v>-2981928.6290469021</v>
      </c>
      <c r="DS236" s="35">
        <f t="shared" ca="1" si="507"/>
        <v>-2982000.4085801076</v>
      </c>
      <c r="DT236" s="35">
        <f t="shared" ca="1" si="507"/>
        <v>-2982073.6237039771</v>
      </c>
      <c r="DU236" s="35">
        <f t="shared" ca="1" si="507"/>
        <v>-2982148.303130324</v>
      </c>
      <c r="DV236" s="35">
        <f t="shared" ca="1" si="507"/>
        <v>-2982224.4761451976</v>
      </c>
      <c r="DW236" s="35">
        <f t="shared" ca="1" si="507"/>
        <v>-2982224.4761451976</v>
      </c>
      <c r="DX236" s="35">
        <f t="shared" ca="1" si="507"/>
        <v>-2982224.4761451976</v>
      </c>
      <c r="DY236" s="35">
        <f t="shared" ca="1" si="507"/>
        <v>-2982224.4761451976</v>
      </c>
    </row>
    <row r="237" spans="3:129" outlineLevel="1">
      <c r="C237" s="5" t="s">
        <v>94</v>
      </c>
      <c r="J237" s="25">
        <f>_cfCapex</f>
        <v>-100000</v>
      </c>
      <c r="K237" s="25">
        <f t="shared" ref="K237:AO237" si="508">_cfCapex</f>
        <v>-100000</v>
      </c>
      <c r="L237" s="25">
        <f t="shared" si="508"/>
        <v>-100000</v>
      </c>
      <c r="M237" s="25">
        <f t="shared" si="508"/>
        <v>-100000</v>
      </c>
      <c r="N237" s="25">
        <f t="shared" si="508"/>
        <v>-100000</v>
      </c>
      <c r="O237" s="25">
        <f t="shared" si="508"/>
        <v>-100000</v>
      </c>
      <c r="P237" s="25">
        <f t="shared" si="508"/>
        <v>-100000</v>
      </c>
      <c r="Q237" s="25">
        <f t="shared" si="508"/>
        <v>-100000</v>
      </c>
      <c r="R237" s="25">
        <f t="shared" si="508"/>
        <v>-100000</v>
      </c>
      <c r="S237" s="25">
        <f t="shared" si="508"/>
        <v>-100000</v>
      </c>
      <c r="T237" s="25">
        <f t="shared" si="508"/>
        <v>-100000</v>
      </c>
      <c r="U237" s="25">
        <f t="shared" si="508"/>
        <v>-100000</v>
      </c>
      <c r="V237" s="25">
        <f t="shared" si="508"/>
        <v>-100000</v>
      </c>
      <c r="W237" s="25">
        <f t="shared" si="508"/>
        <v>-100000</v>
      </c>
      <c r="X237" s="25">
        <f t="shared" si="508"/>
        <v>-100000</v>
      </c>
      <c r="Y237" s="25">
        <f t="shared" si="508"/>
        <v>-100000</v>
      </c>
      <c r="Z237" s="25">
        <f t="shared" si="508"/>
        <v>-100000</v>
      </c>
      <c r="AA237" s="25">
        <f t="shared" si="508"/>
        <v>-100000</v>
      </c>
      <c r="AB237" s="25">
        <f t="shared" si="508"/>
        <v>-100000</v>
      </c>
      <c r="AC237" s="25">
        <f t="shared" si="508"/>
        <v>-100000</v>
      </c>
      <c r="AD237" s="25">
        <f t="shared" si="508"/>
        <v>-100000</v>
      </c>
      <c r="AE237" s="25">
        <f t="shared" si="508"/>
        <v>-100000</v>
      </c>
      <c r="AF237" s="25">
        <f t="shared" si="508"/>
        <v>-100000</v>
      </c>
      <c r="AG237" s="25">
        <f t="shared" si="508"/>
        <v>-100000</v>
      </c>
      <c r="AH237" s="25">
        <f t="shared" si="508"/>
        <v>-100000</v>
      </c>
      <c r="AI237" s="25">
        <f t="shared" si="508"/>
        <v>-100000</v>
      </c>
      <c r="AJ237" s="25">
        <f t="shared" si="508"/>
        <v>-100000</v>
      </c>
      <c r="AK237" s="25">
        <f t="shared" si="508"/>
        <v>-100000</v>
      </c>
      <c r="AL237" s="25">
        <f t="shared" si="508"/>
        <v>-100000</v>
      </c>
      <c r="AM237" s="25">
        <f t="shared" si="508"/>
        <v>-100000</v>
      </c>
      <c r="AN237" s="25">
        <f t="shared" si="508"/>
        <v>-100000</v>
      </c>
      <c r="AO237" s="25">
        <f t="shared" si="508"/>
        <v>-100000</v>
      </c>
      <c r="AP237" s="25">
        <f t="shared" ref="AP237:BU237" si="509">_cfCapex</f>
        <v>-100000</v>
      </c>
      <c r="AQ237" s="25">
        <f t="shared" si="509"/>
        <v>-100000</v>
      </c>
      <c r="AR237" s="25">
        <f t="shared" si="509"/>
        <v>-100000</v>
      </c>
      <c r="AS237" s="25">
        <f t="shared" si="509"/>
        <v>-100000</v>
      </c>
      <c r="AT237" s="25">
        <f t="shared" si="509"/>
        <v>-100000</v>
      </c>
      <c r="AU237" s="25">
        <f t="shared" si="509"/>
        <v>-100000</v>
      </c>
      <c r="AV237" s="25">
        <f t="shared" si="509"/>
        <v>-100000</v>
      </c>
      <c r="AW237" s="25">
        <f t="shared" si="509"/>
        <v>-100000</v>
      </c>
      <c r="AX237" s="25">
        <f t="shared" si="509"/>
        <v>-100000</v>
      </c>
      <c r="AY237" s="25">
        <f t="shared" si="509"/>
        <v>-100000</v>
      </c>
      <c r="AZ237" s="25">
        <f t="shared" si="509"/>
        <v>-100000</v>
      </c>
      <c r="BA237" s="25">
        <f t="shared" si="509"/>
        <v>-100000</v>
      </c>
      <c r="BB237" s="25">
        <f t="shared" si="509"/>
        <v>-100000</v>
      </c>
      <c r="BC237" s="25">
        <f t="shared" si="509"/>
        <v>-100000</v>
      </c>
      <c r="BD237" s="25">
        <f t="shared" si="509"/>
        <v>-100000</v>
      </c>
      <c r="BE237" s="25">
        <f t="shared" si="509"/>
        <v>-100000</v>
      </c>
      <c r="BF237" s="25">
        <f t="shared" si="509"/>
        <v>-100000</v>
      </c>
      <c r="BG237" s="25">
        <f t="shared" si="509"/>
        <v>-100000</v>
      </c>
      <c r="BH237" s="25">
        <f t="shared" si="509"/>
        <v>-100000</v>
      </c>
      <c r="BI237" s="25">
        <f t="shared" si="509"/>
        <v>-100000</v>
      </c>
      <c r="BJ237" s="25">
        <f t="shared" si="509"/>
        <v>-100000</v>
      </c>
      <c r="BK237" s="25">
        <f t="shared" si="509"/>
        <v>-100000</v>
      </c>
      <c r="BL237" s="25">
        <f t="shared" si="509"/>
        <v>-100000</v>
      </c>
      <c r="BM237" s="25">
        <f t="shared" si="509"/>
        <v>-100000</v>
      </c>
      <c r="BN237" s="25">
        <f t="shared" si="509"/>
        <v>-100000</v>
      </c>
      <c r="BO237" s="25">
        <f t="shared" si="509"/>
        <v>-100000</v>
      </c>
      <c r="BP237" s="25">
        <f t="shared" si="509"/>
        <v>-100000</v>
      </c>
      <c r="BQ237" s="25">
        <f t="shared" si="509"/>
        <v>-100000</v>
      </c>
      <c r="BR237" s="25">
        <f t="shared" si="509"/>
        <v>-100000</v>
      </c>
      <c r="BS237" s="25">
        <f t="shared" si="509"/>
        <v>-100000</v>
      </c>
      <c r="BT237" s="25">
        <f t="shared" si="509"/>
        <v>-100000</v>
      </c>
      <c r="BU237" s="25">
        <f t="shared" si="509"/>
        <v>-100000</v>
      </c>
      <c r="BV237" s="25">
        <f t="shared" ref="BV237:DY237" si="510">_cfCapex</f>
        <v>-100000</v>
      </c>
      <c r="BW237" s="25">
        <f t="shared" si="510"/>
        <v>-100000</v>
      </c>
      <c r="BX237" s="25">
        <f t="shared" si="510"/>
        <v>-100000</v>
      </c>
      <c r="BY237" s="25">
        <f t="shared" si="510"/>
        <v>-100000</v>
      </c>
      <c r="BZ237" s="25">
        <f t="shared" si="510"/>
        <v>-100000</v>
      </c>
      <c r="CA237" s="25">
        <f t="shared" si="510"/>
        <v>-100000</v>
      </c>
      <c r="CB237" s="25">
        <f t="shared" si="510"/>
        <v>-100000</v>
      </c>
      <c r="CC237" s="25">
        <f t="shared" si="510"/>
        <v>-100000</v>
      </c>
      <c r="CD237" s="25">
        <f t="shared" si="510"/>
        <v>-100000</v>
      </c>
      <c r="CE237" s="25">
        <f t="shared" si="510"/>
        <v>-100000</v>
      </c>
      <c r="CF237" s="25">
        <f t="shared" si="510"/>
        <v>-100000</v>
      </c>
      <c r="CG237" s="25">
        <f t="shared" si="510"/>
        <v>-100000</v>
      </c>
      <c r="CH237" s="25">
        <f t="shared" si="510"/>
        <v>-100000</v>
      </c>
      <c r="CI237" s="25">
        <f t="shared" si="510"/>
        <v>-100000</v>
      </c>
      <c r="CJ237" s="25">
        <f t="shared" si="510"/>
        <v>-100000</v>
      </c>
      <c r="CK237" s="25">
        <f t="shared" si="510"/>
        <v>-100000</v>
      </c>
      <c r="CL237" s="25">
        <f t="shared" si="510"/>
        <v>-100000</v>
      </c>
      <c r="CM237" s="25">
        <f t="shared" si="510"/>
        <v>-100000</v>
      </c>
      <c r="CN237" s="25">
        <f t="shared" si="510"/>
        <v>-100000</v>
      </c>
      <c r="CO237" s="25">
        <f t="shared" si="510"/>
        <v>-100000</v>
      </c>
      <c r="CP237" s="25">
        <f t="shared" si="510"/>
        <v>-100000</v>
      </c>
      <c r="CQ237" s="25">
        <f t="shared" si="510"/>
        <v>-100000</v>
      </c>
      <c r="CR237" s="25">
        <f t="shared" si="510"/>
        <v>-100000</v>
      </c>
      <c r="CS237" s="25">
        <f t="shared" si="510"/>
        <v>-100000</v>
      </c>
      <c r="CT237" s="25">
        <f t="shared" si="510"/>
        <v>-100000</v>
      </c>
      <c r="CU237" s="25">
        <f t="shared" si="510"/>
        <v>-100000</v>
      </c>
      <c r="CV237" s="25">
        <f t="shared" si="510"/>
        <v>-100000</v>
      </c>
      <c r="CW237" s="25">
        <f t="shared" si="510"/>
        <v>-100000</v>
      </c>
      <c r="CX237" s="25">
        <f t="shared" si="510"/>
        <v>-100000</v>
      </c>
      <c r="CY237" s="25">
        <f t="shared" si="510"/>
        <v>-100000</v>
      </c>
      <c r="CZ237" s="25">
        <f t="shared" si="510"/>
        <v>-100000</v>
      </c>
      <c r="DA237" s="25">
        <f t="shared" si="510"/>
        <v>-100000</v>
      </c>
      <c r="DB237" s="25">
        <f t="shared" si="510"/>
        <v>-100000</v>
      </c>
      <c r="DC237" s="25">
        <f t="shared" si="510"/>
        <v>-100000</v>
      </c>
      <c r="DD237" s="25">
        <f t="shared" si="510"/>
        <v>-100000</v>
      </c>
      <c r="DE237" s="25">
        <f t="shared" si="510"/>
        <v>-100000</v>
      </c>
      <c r="DF237" s="25">
        <f t="shared" si="510"/>
        <v>-100000</v>
      </c>
      <c r="DG237" s="25">
        <f t="shared" si="510"/>
        <v>-100000</v>
      </c>
      <c r="DH237" s="25">
        <f t="shared" si="510"/>
        <v>-100000</v>
      </c>
      <c r="DI237" s="25">
        <f t="shared" si="510"/>
        <v>-100000</v>
      </c>
      <c r="DJ237" s="25">
        <f t="shared" si="510"/>
        <v>-100000</v>
      </c>
      <c r="DK237" s="25">
        <f t="shared" si="510"/>
        <v>-100000</v>
      </c>
      <c r="DL237" s="25">
        <f t="shared" si="510"/>
        <v>-100000</v>
      </c>
      <c r="DM237" s="25">
        <f t="shared" si="510"/>
        <v>-100000</v>
      </c>
      <c r="DN237" s="25">
        <f t="shared" si="510"/>
        <v>-100000</v>
      </c>
      <c r="DO237" s="25">
        <f t="shared" si="510"/>
        <v>-100000</v>
      </c>
      <c r="DP237" s="25">
        <f t="shared" si="510"/>
        <v>-100000</v>
      </c>
      <c r="DQ237" s="25">
        <f t="shared" si="510"/>
        <v>-100000</v>
      </c>
      <c r="DR237" s="25">
        <f t="shared" si="510"/>
        <v>-100000</v>
      </c>
      <c r="DS237" s="25">
        <f t="shared" si="510"/>
        <v>-100000</v>
      </c>
      <c r="DT237" s="25">
        <f t="shared" si="510"/>
        <v>-100000</v>
      </c>
      <c r="DU237" s="25">
        <f t="shared" si="510"/>
        <v>-100000</v>
      </c>
      <c r="DV237" s="25">
        <f t="shared" si="510"/>
        <v>-100000</v>
      </c>
      <c r="DW237" s="25">
        <f t="shared" si="510"/>
        <v>-100000</v>
      </c>
      <c r="DX237" s="25">
        <f t="shared" si="510"/>
        <v>-100000</v>
      </c>
      <c r="DY237" s="25">
        <f t="shared" si="510"/>
        <v>-100000</v>
      </c>
    </row>
    <row r="238" spans="3:129" outlineLevel="1">
      <c r="C238" s="5" t="s">
        <v>239</v>
      </c>
      <c r="J238" s="35">
        <f>_Interest</f>
        <v>-204166.66666666669</v>
      </c>
      <c r="K238" s="35">
        <f t="shared" ref="K238:AO238" si="511">_Interest</f>
        <v>-104166.66666666667</v>
      </c>
      <c r="L238" s="35">
        <f t="shared" si="511"/>
        <v>-104166.66666666667</v>
      </c>
      <c r="M238" s="35">
        <f t="shared" si="511"/>
        <v>-104166.66666666667</v>
      </c>
      <c r="N238" s="35">
        <f t="shared" si="511"/>
        <v>-104166.66666666667</v>
      </c>
      <c r="O238" s="35">
        <f t="shared" si="511"/>
        <v>-104166.66666666667</v>
      </c>
      <c r="P238" s="35">
        <f t="shared" si="511"/>
        <v>-104166.66666666667</v>
      </c>
      <c r="Q238" s="35">
        <f t="shared" si="511"/>
        <v>-104166.66666666667</v>
      </c>
      <c r="R238" s="35">
        <f t="shared" si="511"/>
        <v>-104166.66666666667</v>
      </c>
      <c r="S238" s="35">
        <f t="shared" si="511"/>
        <v>-104166.66666666667</v>
      </c>
      <c r="T238" s="35">
        <f t="shared" si="511"/>
        <v>-104166.66666666667</v>
      </c>
      <c r="U238" s="35">
        <f t="shared" si="511"/>
        <v>-104166.66666666667</v>
      </c>
      <c r="V238" s="35">
        <f t="shared" si="511"/>
        <v>-99826.388888888891</v>
      </c>
      <c r="W238" s="35">
        <f t="shared" si="511"/>
        <v>-95486.111111111124</v>
      </c>
      <c r="X238" s="35">
        <f t="shared" si="511"/>
        <v>-91145.833333333358</v>
      </c>
      <c r="Y238" s="35">
        <f t="shared" si="511"/>
        <v>-86805.555555555577</v>
      </c>
      <c r="Z238" s="35">
        <f t="shared" si="511"/>
        <v>-82465.277777777796</v>
      </c>
      <c r="AA238" s="35">
        <f t="shared" si="511"/>
        <v>-78125.000000000015</v>
      </c>
      <c r="AB238" s="35">
        <f t="shared" si="511"/>
        <v>-73784.722222222234</v>
      </c>
      <c r="AC238" s="35">
        <f t="shared" si="511"/>
        <v>-69444.444444444453</v>
      </c>
      <c r="AD238" s="35">
        <f t="shared" si="511"/>
        <v>-65104.166666666664</v>
      </c>
      <c r="AE238" s="35">
        <f t="shared" si="511"/>
        <v>-60763.888888888883</v>
      </c>
      <c r="AF238" s="35">
        <f t="shared" si="511"/>
        <v>-56423.611111111102</v>
      </c>
      <c r="AG238" s="35">
        <f t="shared" si="511"/>
        <v>-52083.333333333321</v>
      </c>
      <c r="AH238" s="35">
        <f t="shared" si="511"/>
        <v>-756076.38888888888</v>
      </c>
      <c r="AI238" s="35">
        <f t="shared" si="511"/>
        <v>-251736.11111111112</v>
      </c>
      <c r="AJ238" s="35">
        <f t="shared" si="511"/>
        <v>-247395.83333333334</v>
      </c>
      <c r="AK238" s="35">
        <f t="shared" si="511"/>
        <v>-243055.55555555556</v>
      </c>
      <c r="AL238" s="35">
        <f t="shared" si="511"/>
        <v>-238715.27777777778</v>
      </c>
      <c r="AM238" s="35">
        <f t="shared" si="511"/>
        <v>-234375</v>
      </c>
      <c r="AN238" s="35">
        <f t="shared" si="511"/>
        <v>-226176.69753086418</v>
      </c>
      <c r="AO238" s="35">
        <f t="shared" si="511"/>
        <v>-217978.39506172843</v>
      </c>
      <c r="AP238" s="35">
        <f t="shared" ref="AP238:BU238" si="512">_Interest</f>
        <v>-209780.09259259264</v>
      </c>
      <c r="AQ238" s="35">
        <f t="shared" si="512"/>
        <v>-201581.7901234568</v>
      </c>
      <c r="AR238" s="35">
        <f t="shared" si="512"/>
        <v>-193383.48765432101</v>
      </c>
      <c r="AS238" s="35">
        <f t="shared" si="512"/>
        <v>-185185.1851851852</v>
      </c>
      <c r="AT238" s="35">
        <f t="shared" si="512"/>
        <v>-181327.16049382719</v>
      </c>
      <c r="AU238" s="35">
        <f t="shared" si="512"/>
        <v>-177469.13580246919</v>
      </c>
      <c r="AV238" s="35">
        <f t="shared" si="512"/>
        <v>-173611.11111111115</v>
      </c>
      <c r="AW238" s="35">
        <f t="shared" si="512"/>
        <v>-169753.08641975312</v>
      </c>
      <c r="AX238" s="35">
        <f t="shared" si="512"/>
        <v>-165895.06172839509</v>
      </c>
      <c r="AY238" s="35">
        <f t="shared" si="512"/>
        <v>-162037.03703703708</v>
      </c>
      <c r="AZ238" s="35">
        <f t="shared" si="512"/>
        <v>-158179.01234567905</v>
      </c>
      <c r="BA238" s="35">
        <f t="shared" si="512"/>
        <v>-154320.98765432104</v>
      </c>
      <c r="BB238" s="35">
        <f t="shared" si="512"/>
        <v>-150462.96296296301</v>
      </c>
      <c r="BC238" s="35">
        <f t="shared" si="512"/>
        <v>-146604.93827160497</v>
      </c>
      <c r="BD238" s="35">
        <f t="shared" si="512"/>
        <v>-142746.91358024697</v>
      </c>
      <c r="BE238" s="35">
        <f t="shared" si="512"/>
        <v>-138888.88888888893</v>
      </c>
      <c r="BF238" s="35">
        <f t="shared" si="512"/>
        <v>-475030.8641975309</v>
      </c>
      <c r="BG238" s="35">
        <f t="shared" si="512"/>
        <v>-231172.8395061729</v>
      </c>
      <c r="BH238" s="35">
        <f t="shared" si="512"/>
        <v>-227314.81481481489</v>
      </c>
      <c r="BI238" s="35">
        <f t="shared" si="512"/>
        <v>-223456.79012345686</v>
      </c>
      <c r="BJ238" s="35">
        <f t="shared" si="512"/>
        <v>-219598.76543209882</v>
      </c>
      <c r="BK238" s="35">
        <f t="shared" si="512"/>
        <v>-215740.74074074079</v>
      </c>
      <c r="BL238" s="35">
        <f t="shared" si="512"/>
        <v>-210030.8641975309</v>
      </c>
      <c r="BM238" s="35">
        <f t="shared" si="512"/>
        <v>-204320.98765432107</v>
      </c>
      <c r="BN238" s="35">
        <f t="shared" si="512"/>
        <v>-198611.11111111118</v>
      </c>
      <c r="BO238" s="35">
        <f t="shared" si="512"/>
        <v>-192901.23456790129</v>
      </c>
      <c r="BP238" s="35">
        <f t="shared" si="512"/>
        <v>-187191.35802469144</v>
      </c>
      <c r="BQ238" s="35">
        <f t="shared" si="512"/>
        <v>-181481.48148148155</v>
      </c>
      <c r="BR238" s="35">
        <f t="shared" si="512"/>
        <v>-459104.938271605</v>
      </c>
      <c r="BS238" s="35">
        <f t="shared" si="512"/>
        <v>-253395.06172839517</v>
      </c>
      <c r="BT238" s="35">
        <f t="shared" si="512"/>
        <v>-247685.18518518528</v>
      </c>
      <c r="BU238" s="35">
        <f t="shared" si="512"/>
        <v>-241975.3086419754</v>
      </c>
      <c r="BV238" s="35">
        <f t="shared" ref="BV238:DY238" si="513">_Interest</f>
        <v>-236265.43209876551</v>
      </c>
      <c r="BW238" s="35">
        <f t="shared" si="513"/>
        <v>-230555.55555555568</v>
      </c>
      <c r="BX238" s="35">
        <f t="shared" si="513"/>
        <v>-223302.46913580259</v>
      </c>
      <c r="BY238" s="35">
        <f t="shared" si="513"/>
        <v>-216049.3827160495</v>
      </c>
      <c r="BZ238" s="35">
        <f t="shared" si="513"/>
        <v>-208796.29629629641</v>
      </c>
      <c r="CA238" s="35">
        <f t="shared" si="513"/>
        <v>-201543.20987654338</v>
      </c>
      <c r="CB238" s="35">
        <f t="shared" si="513"/>
        <v>-194290.12345679029</v>
      </c>
      <c r="CC238" s="35">
        <f t="shared" si="513"/>
        <v>-187037.0370370372</v>
      </c>
      <c r="CD238" s="35">
        <f t="shared" si="513"/>
        <v>-463117.28395061748</v>
      </c>
      <c r="CE238" s="35">
        <f t="shared" si="513"/>
        <v>-255864.19753086433</v>
      </c>
      <c r="CF238" s="35">
        <f t="shared" si="513"/>
        <v>-248611.1111111113</v>
      </c>
      <c r="CG238" s="35">
        <f t="shared" si="513"/>
        <v>-241358.02469135821</v>
      </c>
      <c r="CH238" s="35">
        <f t="shared" si="513"/>
        <v>-234104.93827160512</v>
      </c>
      <c r="CI238" s="35">
        <f t="shared" si="513"/>
        <v>-226851.85185185203</v>
      </c>
      <c r="CJ238" s="35">
        <f t="shared" si="513"/>
        <v>-218055.55555555574</v>
      </c>
      <c r="CK238" s="35">
        <f t="shared" si="513"/>
        <v>-209259.2592592595</v>
      </c>
      <c r="CL238" s="35">
        <f t="shared" si="513"/>
        <v>-200462.96296296321</v>
      </c>
      <c r="CM238" s="35">
        <f t="shared" si="513"/>
        <v>-191666.66666666692</v>
      </c>
      <c r="CN238" s="35">
        <f t="shared" si="513"/>
        <v>-182870.37037037063</v>
      </c>
      <c r="CO238" s="35">
        <f t="shared" si="513"/>
        <v>-174074.07407407433</v>
      </c>
      <c r="CP238" s="35">
        <f t="shared" si="513"/>
        <v>-452469.13580246939</v>
      </c>
      <c r="CQ238" s="35">
        <f t="shared" si="513"/>
        <v>-247530.86419753113</v>
      </c>
      <c r="CR238" s="35">
        <f t="shared" si="513"/>
        <v>-242592.59259259288</v>
      </c>
      <c r="CS238" s="35">
        <f t="shared" si="513"/>
        <v>-237654.32098765462</v>
      </c>
      <c r="CT238" s="35">
        <f t="shared" si="513"/>
        <v>-232716.04938271636</v>
      </c>
      <c r="CU238" s="35">
        <f t="shared" si="513"/>
        <v>-227777.7777777781</v>
      </c>
      <c r="CV238" s="35">
        <f t="shared" si="513"/>
        <v>-221296.29629629658</v>
      </c>
      <c r="CW238" s="35">
        <f t="shared" si="513"/>
        <v>-214814.81481481512</v>
      </c>
      <c r="CX238" s="35">
        <f t="shared" si="513"/>
        <v>-208333.33333333372</v>
      </c>
      <c r="CY238" s="35">
        <f t="shared" si="513"/>
        <v>-201851.8518518522</v>
      </c>
      <c r="CZ238" s="35">
        <f t="shared" si="513"/>
        <v>-195370.37037037074</v>
      </c>
      <c r="DA238" s="35">
        <f t="shared" si="513"/>
        <v>-188888.88888888928</v>
      </c>
      <c r="DB238" s="35">
        <f t="shared" si="513"/>
        <v>-465740.74074074114</v>
      </c>
      <c r="DC238" s="35">
        <f t="shared" si="513"/>
        <v>-259259.25925925968</v>
      </c>
      <c r="DD238" s="35">
        <f t="shared" si="513"/>
        <v>-252777.77777777816</v>
      </c>
      <c r="DE238" s="35">
        <f t="shared" si="513"/>
        <v>-246296.2962962967</v>
      </c>
      <c r="DF238" s="35">
        <f t="shared" si="513"/>
        <v>-239814.81481481524</v>
      </c>
      <c r="DG238" s="35">
        <f t="shared" si="513"/>
        <v>-233333.33333333378</v>
      </c>
      <c r="DH238" s="35">
        <f t="shared" si="513"/>
        <v>-225308.64197530912</v>
      </c>
      <c r="DI238" s="35">
        <f t="shared" si="513"/>
        <v>-217283.9506172844</v>
      </c>
      <c r="DJ238" s="35">
        <f t="shared" si="513"/>
        <v>-209259.25925925974</v>
      </c>
      <c r="DK238" s="35">
        <f t="shared" si="513"/>
        <v>-201234.56790123507</v>
      </c>
      <c r="DL238" s="35">
        <f t="shared" si="513"/>
        <v>-193209.87654321038</v>
      </c>
      <c r="DM238" s="35">
        <f t="shared" si="513"/>
        <v>-185185.18518518569</v>
      </c>
      <c r="DN238" s="35">
        <f t="shared" si="513"/>
        <v>-547345.6790123462</v>
      </c>
      <c r="DO238" s="35">
        <f t="shared" si="513"/>
        <v>-281172.83950617333</v>
      </c>
      <c r="DP238" s="35">
        <f t="shared" si="513"/>
        <v>-275000.00000000052</v>
      </c>
      <c r="DQ238" s="35">
        <f t="shared" si="513"/>
        <v>-268827.16049382772</v>
      </c>
      <c r="DR238" s="35">
        <f t="shared" si="513"/>
        <v>-262654.32098765485</v>
      </c>
      <c r="DS238" s="35">
        <f t="shared" si="513"/>
        <v>-256481.48148148204</v>
      </c>
      <c r="DT238" s="35">
        <f t="shared" si="513"/>
        <v>-248302.46913580305</v>
      </c>
      <c r="DU238" s="35">
        <f t="shared" si="513"/>
        <v>-240123.45679012407</v>
      </c>
      <c r="DV238" s="35">
        <f t="shared" si="513"/>
        <v>-231944.44444444508</v>
      </c>
      <c r="DW238" s="35">
        <f t="shared" si="513"/>
        <v>-223765.43209876606</v>
      </c>
      <c r="DX238" s="35">
        <f t="shared" si="513"/>
        <v>-215586.41975308704</v>
      </c>
      <c r="DY238" s="35">
        <f t="shared" si="513"/>
        <v>-207407.40740740806</v>
      </c>
    </row>
    <row r="239" spans="3:129" outlineLevel="1">
      <c r="C239" s="5" t="s">
        <v>240</v>
      </c>
      <c r="J239" s="35">
        <f ca="1">_CorporateTax</f>
        <v>-1873864.5505814203</v>
      </c>
      <c r="K239" s="35">
        <f t="shared" ref="K239:AO239" ca="1" si="514">_CorporateTax</f>
        <v>0</v>
      </c>
      <c r="L239" s="35">
        <f t="shared" ca="1" si="514"/>
        <v>0</v>
      </c>
      <c r="M239" s="35">
        <f t="shared" ca="1" si="514"/>
        <v>0</v>
      </c>
      <c r="N239" s="35">
        <f t="shared" ca="1" si="514"/>
        <v>0</v>
      </c>
      <c r="O239" s="35">
        <f t="shared" ca="1" si="514"/>
        <v>0</v>
      </c>
      <c r="P239" s="35">
        <f t="shared" ca="1" si="514"/>
        <v>0</v>
      </c>
      <c r="Q239" s="35">
        <f t="shared" ca="1" si="514"/>
        <v>0</v>
      </c>
      <c r="R239" s="35">
        <f t="shared" ca="1" si="514"/>
        <v>0</v>
      </c>
      <c r="S239" s="35">
        <f t="shared" ca="1" si="514"/>
        <v>0</v>
      </c>
      <c r="T239" s="35">
        <f t="shared" ca="1" si="514"/>
        <v>0</v>
      </c>
      <c r="U239" s="35">
        <f t="shared" ca="1" si="514"/>
        <v>0</v>
      </c>
      <c r="V239" s="35">
        <f t="shared" ca="1" si="514"/>
        <v>0</v>
      </c>
      <c r="W239" s="35">
        <f t="shared" ca="1" si="514"/>
        <v>0</v>
      </c>
      <c r="X239" s="35">
        <f t="shared" ca="1" si="514"/>
        <v>0</v>
      </c>
      <c r="Y239" s="35">
        <f t="shared" ca="1" si="514"/>
        <v>0</v>
      </c>
      <c r="Z239" s="35">
        <f t="shared" ca="1" si="514"/>
        <v>0</v>
      </c>
      <c r="AA239" s="35">
        <f t="shared" ca="1" si="514"/>
        <v>0</v>
      </c>
      <c r="AB239" s="35">
        <f t="shared" ca="1" si="514"/>
        <v>-1204164.8760007836</v>
      </c>
      <c r="AC239" s="35">
        <f t="shared" ca="1" si="514"/>
        <v>-10957.504820016955</v>
      </c>
      <c r="AD239" s="35">
        <f t="shared" ca="1" si="514"/>
        <v>-17887.402531339794</v>
      </c>
      <c r="AE239" s="35">
        <f t="shared" ca="1" si="514"/>
        <v>-24956.83471312495</v>
      </c>
      <c r="AF239" s="35">
        <f t="shared" ca="1" si="514"/>
        <v>-32168.119026877437</v>
      </c>
      <c r="AG239" s="35">
        <f t="shared" ca="1" si="514"/>
        <v>-39523.626158286519</v>
      </c>
      <c r="AH239" s="35">
        <f t="shared" ca="1" si="514"/>
        <v>0</v>
      </c>
      <c r="AI239" s="35">
        <f t="shared" ca="1" si="514"/>
        <v>0</v>
      </c>
      <c r="AJ239" s="35">
        <f t="shared" ca="1" si="514"/>
        <v>0</v>
      </c>
      <c r="AK239" s="35">
        <f t="shared" ca="1" si="514"/>
        <v>0</v>
      </c>
      <c r="AL239" s="35">
        <f t="shared" ca="1" si="514"/>
        <v>0</v>
      </c>
      <c r="AM239" s="35">
        <f t="shared" ca="1" si="514"/>
        <v>-3324.323326245189</v>
      </c>
      <c r="AN239" s="35">
        <f t="shared" ca="1" si="514"/>
        <v>-13414.484470883635</v>
      </c>
      <c r="AO239" s="35">
        <f t="shared" ca="1" si="514"/>
        <v>-21714.014811619181</v>
      </c>
      <c r="AP239" s="35">
        <f t="shared" ref="AP239:BU239" ca="1" si="515">_CorporateTax</f>
        <v>-30132.02233337603</v>
      </c>
      <c r="AQ239" s="35">
        <f t="shared" ca="1" si="515"/>
        <v>-38670.599063842114</v>
      </c>
      <c r="AR239" s="35">
        <f t="shared" ca="1" si="515"/>
        <v>-47331.88325951733</v>
      </c>
      <c r="AS239" s="35">
        <f t="shared" ca="1" si="515"/>
        <v>-56118.060259524784</v>
      </c>
      <c r="AT239" s="35">
        <f t="shared" ca="1" si="515"/>
        <v>-100045.82647276111</v>
      </c>
      <c r="AU239" s="35">
        <f t="shared" ca="1" si="515"/>
        <v>-108058.43356518404</v>
      </c>
      <c r="AV239" s="35">
        <f t="shared" ca="1" si="515"/>
        <v>-116216.85446531069</v>
      </c>
      <c r="AW239" s="35">
        <f t="shared" ca="1" si="515"/>
        <v>-124523.75368884332</v>
      </c>
      <c r="AX239" s="35">
        <f t="shared" ca="1" si="515"/>
        <v>-132981.8530177653</v>
      </c>
      <c r="AY239" s="35">
        <f t="shared" ca="1" si="515"/>
        <v>-141593.93258160327</v>
      </c>
      <c r="AZ239" s="35">
        <f t="shared" ca="1" si="515"/>
        <v>-150362.83196135526</v>
      </c>
      <c r="BA239" s="35">
        <f t="shared" ca="1" si="515"/>
        <v>-159291.4513165325</v>
      </c>
      <c r="BB239" s="35">
        <f t="shared" ca="1" si="515"/>
        <v>-168382.75253574501</v>
      </c>
      <c r="BC239" s="35">
        <f t="shared" ca="1" si="515"/>
        <v>-177639.76041130387</v>
      </c>
      <c r="BD239" s="35">
        <f t="shared" ca="1" si="515"/>
        <v>-187065.56383828443</v>
      </c>
      <c r="BE239" s="35">
        <f t="shared" ca="1" si="515"/>
        <v>-196663.31703854181</v>
      </c>
      <c r="BF239" s="35">
        <f t="shared" ca="1" si="515"/>
        <v>-70552.767079592231</v>
      </c>
      <c r="BG239" s="35">
        <f t="shared" ca="1" si="515"/>
        <v>-176415.54940804577</v>
      </c>
      <c r="BH239" s="35">
        <f t="shared" ca="1" si="515"/>
        <v>-186458.09111928908</v>
      </c>
      <c r="BI239" s="35">
        <f t="shared" ca="1" si="515"/>
        <v>-196683.78220185242</v>
      </c>
      <c r="BJ239" s="35">
        <f t="shared" ca="1" si="515"/>
        <v>-207096.08368802568</v>
      </c>
      <c r="BK239" s="35">
        <f t="shared" ca="1" si="515"/>
        <v>-217698.52902242524</v>
      </c>
      <c r="BL239" s="35">
        <f t="shared" ca="1" si="515"/>
        <v>-229235.46619952872</v>
      </c>
      <c r="BM239" s="35">
        <f t="shared" ca="1" si="515"/>
        <v>-240969.83696702507</v>
      </c>
      <c r="BN239" s="35">
        <f t="shared" ca="1" si="515"/>
        <v>-252905.40050294308</v>
      </c>
      <c r="BO239" s="35">
        <f t="shared" ca="1" si="515"/>
        <v>-265045.99415972835</v>
      </c>
      <c r="BP239" s="35">
        <f t="shared" ca="1" si="515"/>
        <v>-277395.53497956134</v>
      </c>
      <c r="BQ239" s="35">
        <f t="shared" ca="1" si="515"/>
        <v>-289958.02124075888</v>
      </c>
      <c r="BR239" s="35">
        <f t="shared" ca="1" si="515"/>
        <v>-165841.5954899975</v>
      </c>
      <c r="BS239" s="35">
        <f t="shared" ca="1" si="515"/>
        <v>-257670.42593293497</v>
      </c>
      <c r="BT239" s="35">
        <f t="shared" ca="1" si="515"/>
        <v>-269080.03350164928</v>
      </c>
      <c r="BU239" s="35">
        <f t="shared" ca="1" si="515"/>
        <v>-280068.07648652123</v>
      </c>
      <c r="BV239" s="35">
        <f t="shared" ref="BV239:DY239" ca="1" si="516">_CorporateTax</f>
        <v>-290632.10689054272</v>
      </c>
      <c r="BW239" s="35">
        <f t="shared" ca="1" si="516"/>
        <v>-300769.56888185814</v>
      </c>
      <c r="BX239" s="35">
        <f t="shared" ca="1" si="516"/>
        <v>-311095.08116047364</v>
      </c>
      <c r="BY239" s="35">
        <f t="shared" ca="1" si="516"/>
        <v>-320988.58348534378</v>
      </c>
      <c r="BZ239" s="35">
        <f t="shared" ca="1" si="516"/>
        <v>-330447.18686733791</v>
      </c>
      <c r="CA239" s="35">
        <f t="shared" ca="1" si="516"/>
        <v>-339467.88792119746</v>
      </c>
      <c r="CB239" s="35">
        <f t="shared" ca="1" si="516"/>
        <v>-348047.56712884421</v>
      </c>
      <c r="CC239" s="35">
        <f t="shared" ca="1" si="516"/>
        <v>-356182.98706269544</v>
      </c>
      <c r="CD239" s="35">
        <f t="shared" ca="1" si="516"/>
        <v>-249764.66156867205</v>
      </c>
      <c r="CE239" s="35">
        <f t="shared" ca="1" si="516"/>
        <v>-336445.89470953867</v>
      </c>
      <c r="CF239" s="35">
        <f t="shared" ca="1" si="516"/>
        <v>-342907.36443328758</v>
      </c>
      <c r="CG239" s="35">
        <f t="shared" ca="1" si="516"/>
        <v>-349147.58132564556</v>
      </c>
      <c r="CH239" s="35">
        <f t="shared" ca="1" si="516"/>
        <v>-355164.99792184163</v>
      </c>
      <c r="CI239" s="35">
        <f t="shared" ca="1" si="516"/>
        <v>-360958.007814952</v>
      </c>
      <c r="CJ239" s="35">
        <f t="shared" ca="1" si="516"/>
        <v>-367142.22869454604</v>
      </c>
      <c r="CK239" s="35">
        <f t="shared" ca="1" si="516"/>
        <v>-373098.64956218202</v>
      </c>
      <c r="CL239" s="35">
        <f t="shared" ca="1" si="516"/>
        <v>-378825.48162951926</v>
      </c>
      <c r="CM239" s="35">
        <f t="shared" ca="1" si="516"/>
        <v>-384320.87339247513</v>
      </c>
      <c r="CN239" s="35">
        <f t="shared" ca="1" si="516"/>
        <v>-389582.90963411011</v>
      </c>
      <c r="CO239" s="35">
        <f t="shared" ca="1" si="516"/>
        <v>-394609.61040519527</v>
      </c>
      <c r="CP239" s="35">
        <f t="shared" ca="1" si="516"/>
        <v>-284301.02889330237</v>
      </c>
      <c r="CQ239" s="35">
        <f t="shared" ca="1" si="516"/>
        <v>-367222.39330939762</v>
      </c>
      <c r="CR239" s="35">
        <f t="shared" ca="1" si="516"/>
        <v>-370039.50847390055</v>
      </c>
      <c r="CS239" s="35">
        <f t="shared" ca="1" si="516"/>
        <v>-372751.48205252114</v>
      </c>
      <c r="CT239" s="35">
        <f t="shared" ca="1" si="516"/>
        <v>-375357.39258865698</v>
      </c>
      <c r="CU239" s="35">
        <f t="shared" ca="1" si="516"/>
        <v>-377856.28902285697</v>
      </c>
      <c r="CV239" s="35">
        <f t="shared" ca="1" si="516"/>
        <v>-380717.23329247633</v>
      </c>
      <c r="CW239" s="35">
        <f t="shared" ca="1" si="516"/>
        <v>-383553.6416906002</v>
      </c>
      <c r="CX239" s="35">
        <f t="shared" ca="1" si="516"/>
        <v>-386376.083005886</v>
      </c>
      <c r="CY239" s="35">
        <f t="shared" ca="1" si="516"/>
        <v>-389184.43102387991</v>
      </c>
      <c r="CZ239" s="35">
        <f t="shared" ca="1" si="516"/>
        <v>-391978.5560630153</v>
      </c>
      <c r="DA239" s="35">
        <f t="shared" ca="1" si="516"/>
        <v>-394758.32490488637</v>
      </c>
      <c r="DB239" s="35">
        <f t="shared" ca="1" si="516"/>
        <v>-284184.82615570299</v>
      </c>
      <c r="DC239" s="35">
        <f t="shared" ca="1" si="516"/>
        <v>-366930.63353006612</v>
      </c>
      <c r="DD239" s="35">
        <f t="shared" ca="1" si="516"/>
        <v>-369663.4981852232</v>
      </c>
      <c r="DE239" s="35">
        <f t="shared" ca="1" si="516"/>
        <v>-372383.2894169488</v>
      </c>
      <c r="DF239" s="35">
        <f t="shared" ca="1" si="516"/>
        <v>-375089.8731574298</v>
      </c>
      <c r="DG239" s="35">
        <f t="shared" ca="1" si="516"/>
        <v>-377783.11190662335</v>
      </c>
      <c r="DH239" s="35">
        <f t="shared" ca="1" si="516"/>
        <v>-381080.14861302101</v>
      </c>
      <c r="DI239" s="35">
        <f t="shared" ca="1" si="516"/>
        <v>-384363.55475070013</v>
      </c>
      <c r="DJ239" s="35">
        <f t="shared" ca="1" si="516"/>
        <v>-387633.18209881318</v>
      </c>
      <c r="DK239" s="35">
        <f t="shared" ca="1" si="516"/>
        <v>-390888.87871731183</v>
      </c>
      <c r="DL239" s="35">
        <f t="shared" ca="1" si="516"/>
        <v>-394130.48887195502</v>
      </c>
      <c r="DM239" s="35">
        <f t="shared" ca="1" si="516"/>
        <v>-397357.85295796697</v>
      </c>
      <c r="DN239" s="35">
        <f t="shared" ca="1" si="516"/>
        <v>-252484.24129194627</v>
      </c>
      <c r="DO239" s="35">
        <f t="shared" ca="1" si="516"/>
        <v>-358938.61963048554</v>
      </c>
      <c r="DP239" s="35">
        <f t="shared" ca="1" si="516"/>
        <v>-361387.57280663418</v>
      </c>
      <c r="DQ239" s="35">
        <f t="shared" ca="1" si="516"/>
        <v>-363831.01752740704</v>
      </c>
      <c r="DR239" s="35">
        <f t="shared" ca="1" si="516"/>
        <v>-366268.86901668657</v>
      </c>
      <c r="DS239" s="35">
        <f t="shared" ca="1" si="516"/>
        <v>-368701.04097648937</v>
      </c>
      <c r="DT239" s="35">
        <f t="shared" ca="1" si="516"/>
        <v>-371929.91468346422</v>
      </c>
      <c r="DU239" s="35">
        <f t="shared" ca="1" si="516"/>
        <v>-375152.93154160748</v>
      </c>
      <c r="DV239" s="35">
        <f t="shared" ca="1" si="516"/>
        <v>-378370.00044919894</v>
      </c>
      <c r="DW239" s="35">
        <f t="shared" ca="1" si="516"/>
        <v>-381581.02862191247</v>
      </c>
      <c r="DX239" s="35">
        <f t="shared" ca="1" si="516"/>
        <v>-384785.92155110894</v>
      </c>
      <c r="DY239" s="35">
        <f t="shared" ca="1" si="516"/>
        <v>-387984.58296148665</v>
      </c>
    </row>
    <row r="240" spans="3:129" outlineLevel="1">
      <c r="C240" s="37"/>
      <c r="J240" s="35"/>
      <c r="V240" s="38"/>
      <c r="W240" s="38"/>
      <c r="X240" s="102"/>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row>
    <row r="241" spans="1:129" ht="14.4" outlineLevel="1" thickBot="1">
      <c r="C241" s="77" t="s">
        <v>14</v>
      </c>
      <c r="D241" s="77"/>
      <c r="E241" s="77"/>
      <c r="F241" s="331"/>
      <c r="G241" s="77"/>
      <c r="H241" s="77"/>
      <c r="I241" s="580">
        <f>'Model Assumptions'!F118</f>
        <v>300000</v>
      </c>
      <c r="J241" s="151">
        <f ca="1">SUM(J226,J228:J231,J233:J239)</f>
        <v>17607626.924219817</v>
      </c>
      <c r="K241" s="151">
        <f t="shared" ref="K241:BV241" ca="1" si="517">SUM(K226,K228:K231,K233:K239)</f>
        <v>16899007.183608737</v>
      </c>
      <c r="L241" s="151">
        <f t="shared" ca="1" si="517"/>
        <v>16201122.101979539</v>
      </c>
      <c r="M241" s="151">
        <f t="shared" ca="1" si="517"/>
        <v>15514827.990227271</v>
      </c>
      <c r="N241" s="151">
        <f t="shared" ca="1" si="517"/>
        <v>14840991.869287739</v>
      </c>
      <c r="O241" s="151">
        <f t="shared" ca="1" si="517"/>
        <v>14180491.748500083</v>
      </c>
      <c r="P241" s="151">
        <f t="shared" ca="1" si="517"/>
        <v>13534216.908894992</v>
      </c>
      <c r="Q241" s="151">
        <f t="shared" ca="1" si="517"/>
        <v>12903068.191513494</v>
      </c>
      <c r="R241" s="151">
        <f t="shared" ca="1" si="517"/>
        <v>12287958.290863262</v>
      </c>
      <c r="S241" s="151">
        <f t="shared" ca="1" si="517"/>
        <v>11680744.520900516</v>
      </c>
      <c r="T241" s="151">
        <f t="shared" ca="1" si="517"/>
        <v>11090721.717652993</v>
      </c>
      <c r="U241" s="151">
        <f t="shared" ca="1" si="517"/>
        <v>10518825.749797752</v>
      </c>
      <c r="V241" s="151">
        <f t="shared" ca="1" si="517"/>
        <v>9554523.4321791083</v>
      </c>
      <c r="W241" s="151">
        <f t="shared" ca="1" si="517"/>
        <v>8605647.8952071648</v>
      </c>
      <c r="X241" s="151">
        <f t="shared" ca="1" si="517"/>
        <v>7672559.8056339389</v>
      </c>
      <c r="Y241" s="151">
        <f t="shared" ca="1" si="517"/>
        <v>6755625.6541795386</v>
      </c>
      <c r="Z241" s="151">
        <f t="shared" ca="1" si="517"/>
        <v>5855217.8859051932</v>
      </c>
      <c r="AA241" s="151">
        <f t="shared" ca="1" si="517"/>
        <v>4971715.0330548175</v>
      </c>
      <c r="AB241" s="151">
        <f t="shared" ca="1" si="517"/>
        <v>5901336.9744150648</v>
      </c>
      <c r="AC241" s="151">
        <f t="shared" ca="1" si="517"/>
        <v>5041847.0724303182</v>
      </c>
      <c r="AD241" s="151">
        <f t="shared" ca="1" si="517"/>
        <v>4193505.6745024417</v>
      </c>
      <c r="AE241" s="151">
        <f t="shared" ca="1" si="517"/>
        <v>3343892.6371037676</v>
      </c>
      <c r="AF241" s="151">
        <f t="shared" ca="1" si="517"/>
        <v>2505510.2198921102</v>
      </c>
      <c r="AG241" s="151">
        <f t="shared" ca="1" si="517"/>
        <v>1678623.1536511304</v>
      </c>
      <c r="AH241" s="151">
        <f t="shared" ca="1" si="517"/>
        <v>35201204.617801942</v>
      </c>
      <c r="AI241" s="151">
        <f t="shared" ca="1" si="517"/>
        <v>34235484.34189941</v>
      </c>
      <c r="AJ241" s="151">
        <f t="shared" ca="1" si="517"/>
        <v>33281674.473440137</v>
      </c>
      <c r="AK241" s="151">
        <f t="shared" ca="1" si="517"/>
        <v>32332580.484912273</v>
      </c>
      <c r="AL241" s="151">
        <f t="shared" ca="1" si="517"/>
        <v>31395544.726072658</v>
      </c>
      <c r="AM241" s="151">
        <f t="shared" ca="1" si="517"/>
        <v>30467460.290282235</v>
      </c>
      <c r="AN241" s="151">
        <f t="shared" ca="1" si="517"/>
        <v>29083459.571408153</v>
      </c>
      <c r="AO241" s="151">
        <f t="shared" ca="1" si="517"/>
        <v>27703622.780623794</v>
      </c>
      <c r="AP241" s="151">
        <f t="shared" ca="1" si="517"/>
        <v>26327941.543778371</v>
      </c>
      <c r="AQ241" s="151">
        <f t="shared" ca="1" si="517"/>
        <v>24956336.107132427</v>
      </c>
      <c r="AR241" s="151">
        <f t="shared" ca="1" si="517"/>
        <v>23588863.47924605</v>
      </c>
      <c r="AS241" s="151">
        <f t="shared" ca="1" si="517"/>
        <v>22225514.746453498</v>
      </c>
      <c r="AT241" s="151">
        <f t="shared" ca="1" si="517"/>
        <v>21329119.064522371</v>
      </c>
      <c r="AU241" s="151">
        <f t="shared" ca="1" si="517"/>
        <v>20435100.105017051</v>
      </c>
      <c r="AV241" s="151">
        <f t="shared" ca="1" si="517"/>
        <v>19543463.27873183</v>
      </c>
      <c r="AW241" s="151">
        <f t="shared" ca="1" si="517"/>
        <v>18654214.150452279</v>
      </c>
      <c r="AX241" s="151">
        <f t="shared" ca="1" si="517"/>
        <v>17767358.440118954</v>
      </c>
      <c r="AY241" s="151">
        <f t="shared" ca="1" si="517"/>
        <v>16882902.024057858</v>
      </c>
      <c r="AZ241" s="151">
        <f t="shared" ca="1" si="517"/>
        <v>16000850.93627812</v>
      </c>
      <c r="BA241" s="151">
        <f t="shared" ca="1" si="517"/>
        <v>15121211.369837444</v>
      </c>
      <c r="BB241" s="151">
        <f t="shared" ca="1" si="517"/>
        <v>14243989.678275837</v>
      </c>
      <c r="BC241" s="151">
        <f t="shared" ca="1" si="517"/>
        <v>13368252.587387424</v>
      </c>
      <c r="BD241" s="151">
        <f t="shared" ca="1" si="517"/>
        <v>12494915.518447712</v>
      </c>
      <c r="BE241" s="151">
        <f t="shared" ca="1" si="517"/>
        <v>11623984.694787113</v>
      </c>
      <c r="BF241" s="151">
        <f t="shared" ca="1" si="517"/>
        <v>22551272.016240992</v>
      </c>
      <c r="BG241" s="151">
        <f t="shared" ca="1" si="517"/>
        <v>21624476.300602809</v>
      </c>
      <c r="BH241" s="151">
        <f t="shared" ca="1" si="517"/>
        <v>20699592.579034459</v>
      </c>
      <c r="BI241" s="151">
        <f t="shared" ca="1" si="517"/>
        <v>19776615.824958865</v>
      </c>
      <c r="BJ241" s="151">
        <f t="shared" ca="1" si="517"/>
        <v>18855540.951296818</v>
      </c>
      <c r="BK241" s="151">
        <f t="shared" ca="1" si="517"/>
        <v>17936362.807684507</v>
      </c>
      <c r="BL241" s="151">
        <f t="shared" ca="1" si="517"/>
        <v>16797965.066559564</v>
      </c>
      <c r="BM241" s="151">
        <f t="shared" ca="1" si="517"/>
        <v>15662564.664781176</v>
      </c>
      <c r="BN241" s="151">
        <f t="shared" ca="1" si="517"/>
        <v>14530156.245227613</v>
      </c>
      <c r="BO241" s="151">
        <f t="shared" ca="1" si="517"/>
        <v>13454973.150973296</v>
      </c>
      <c r="BP241" s="151">
        <f t="shared" ca="1" si="517"/>
        <v>12438633.022063976</v>
      </c>
      <c r="BQ241" s="151">
        <f t="shared" ca="1" si="517"/>
        <v>11482247.507261034</v>
      </c>
      <c r="BR241" s="151">
        <f t="shared" ca="1" si="517"/>
        <v>20375091.679375935</v>
      </c>
      <c r="BS241" s="151">
        <f t="shared" ca="1" si="517"/>
        <v>19441679.505604107</v>
      </c>
      <c r="BT241" s="151">
        <f t="shared" ca="1" si="517"/>
        <v>18558911.831532046</v>
      </c>
      <c r="BU241" s="151">
        <f t="shared" ca="1" si="517"/>
        <v>17723668.633204605</v>
      </c>
      <c r="BV241" s="151">
        <f t="shared" ca="1" si="517"/>
        <v>16932808.18762438</v>
      </c>
      <c r="BW241" s="151">
        <f t="shared" ref="BW241:CC241" ca="1" si="518">SUM(BW226,BW228:BW231,BW233:BW239)</f>
        <v>16183166.230798498</v>
      </c>
      <c r="BX241" s="151">
        <f t="shared" ca="1" si="518"/>
        <v>15287295.843782693</v>
      </c>
      <c r="BY241" s="151">
        <f t="shared" ca="1" si="518"/>
        <v>14427170.288648926</v>
      </c>
      <c r="BZ241" s="151">
        <f t="shared" ca="1" si="518"/>
        <v>13599552.497778608</v>
      </c>
      <c r="CA241" s="151">
        <f t="shared" ca="1" si="518"/>
        <v>12803389.827099532</v>
      </c>
      <c r="CB241" s="151">
        <f t="shared" ca="1" si="518"/>
        <v>12035508.88524298</v>
      </c>
      <c r="CC241" s="151">
        <f t="shared" ca="1" si="518"/>
        <v>11292638.28908148</v>
      </c>
      <c r="CD241" s="151">
        <f t="shared" ref="CD241:DY241" ca="1" si="519">SUM(CD226,CD228:CD231,CD233:CD239)</f>
        <v>20402024.481087077</v>
      </c>
      <c r="CE241" s="151">
        <f t="shared" ca="1" si="519"/>
        <v>19652390.769063395</v>
      </c>
      <c r="CF241" s="151">
        <f t="shared" ca="1" si="519"/>
        <v>18922474.011138454</v>
      </c>
      <c r="CG241" s="151">
        <f t="shared" ca="1" si="519"/>
        <v>18211001.80745019</v>
      </c>
      <c r="CH241" s="151">
        <f t="shared" ca="1" si="519"/>
        <v>17516692.154141854</v>
      </c>
      <c r="CI241" s="151">
        <f t="shared" ca="1" si="519"/>
        <v>16838253.092059039</v>
      </c>
      <c r="CJ241" s="151">
        <f t="shared" ca="1" si="519"/>
        <v>15990123.090766646</v>
      </c>
      <c r="CK241" s="151">
        <f t="shared" ca="1" si="519"/>
        <v>15156174.389983414</v>
      </c>
      <c r="CL241" s="151">
        <f t="shared" ca="1" si="519"/>
        <v>14335083.002010543</v>
      </c>
      <c r="CM241" s="151">
        <f t="shared" ca="1" si="519"/>
        <v>13526966.85012388</v>
      </c>
      <c r="CN241" s="151">
        <f t="shared" ca="1" si="519"/>
        <v>12730507.805675907</v>
      </c>
      <c r="CO241" s="151">
        <f t="shared" ca="1" si="519"/>
        <v>11944376.135893069</v>
      </c>
      <c r="CP241" s="151">
        <f t="shared" ca="1" si="519"/>
        <v>21458188.463417921</v>
      </c>
      <c r="CQ241" s="151">
        <f t="shared" ca="1" si="519"/>
        <v>21098466.123817451</v>
      </c>
      <c r="CR241" s="151">
        <f t="shared" ca="1" si="519"/>
        <v>20744689.104670681</v>
      </c>
      <c r="CS241" s="151">
        <f t="shared" ca="1" si="519"/>
        <v>20397216.641729295</v>
      </c>
      <c r="CT241" s="151">
        <f t="shared" ca="1" si="519"/>
        <v>20055577.110836323</v>
      </c>
      <c r="CU241" s="151">
        <f t="shared" ca="1" si="519"/>
        <v>19719255.490976769</v>
      </c>
      <c r="CV241" s="151">
        <f t="shared" ca="1" si="519"/>
        <v>19203524.006850842</v>
      </c>
      <c r="CW241" s="151">
        <f t="shared" ca="1" si="519"/>
        <v>18693456.285631124</v>
      </c>
      <c r="CX241" s="151">
        <f t="shared" ca="1" si="519"/>
        <v>18188956.221778341</v>
      </c>
      <c r="CY241" s="151">
        <f t="shared" ca="1" si="519"/>
        <v>17689939.320078131</v>
      </c>
      <c r="CZ241" s="151">
        <f t="shared" ca="1" si="519"/>
        <v>17196314.240808185</v>
      </c>
      <c r="DA241" s="151">
        <f t="shared" ca="1" si="519"/>
        <v>16707983.451476036</v>
      </c>
      <c r="DB241" s="151">
        <f t="shared" ca="1" si="519"/>
        <v>26054851.986047857</v>
      </c>
      <c r="DC241" s="151">
        <f t="shared" ca="1" si="519"/>
        <v>25526835.473172262</v>
      </c>
      <c r="DD241" s="151">
        <f t="shared" ca="1" si="519"/>
        <v>25003850.772671398</v>
      </c>
      <c r="DE241" s="151">
        <f t="shared" ca="1" si="519"/>
        <v>24485814.190098368</v>
      </c>
      <c r="DF241" s="151">
        <f t="shared" ca="1" si="519"/>
        <v>23972641.454034489</v>
      </c>
      <c r="DG241" s="151">
        <f t="shared" ca="1" si="519"/>
        <v>23464247.693057548</v>
      </c>
      <c r="DH241" s="151">
        <f t="shared" ca="1" si="519"/>
        <v>22776288.153113823</v>
      </c>
      <c r="DI241" s="151">
        <f t="shared" ca="1" si="519"/>
        <v>22093861.877507936</v>
      </c>
      <c r="DJ241" s="151">
        <f t="shared" ca="1" si="519"/>
        <v>21416882.053205993</v>
      </c>
      <c r="DK241" s="151">
        <f t="shared" ca="1" si="519"/>
        <v>20745361.04207259</v>
      </c>
      <c r="DL241" s="151">
        <f t="shared" ca="1" si="519"/>
        <v>20079212.612551853</v>
      </c>
      <c r="DM241" s="151">
        <f t="shared" ca="1" si="519"/>
        <v>19418349.827443976</v>
      </c>
      <c r="DN241" s="151">
        <f t="shared" ca="1" si="519"/>
        <v>31762816.985016771</v>
      </c>
      <c r="DO241" s="151">
        <f t="shared" ca="1" si="519"/>
        <v>31267356.30602112</v>
      </c>
      <c r="DP241" s="151">
        <f t="shared" ca="1" si="519"/>
        <v>30775931.985216778</v>
      </c>
      <c r="DQ241" s="151">
        <f t="shared" ca="1" si="519"/>
        <v>30288507.959092878</v>
      </c>
      <c r="DR241" s="151">
        <f t="shared" ca="1" si="519"/>
        <v>29805047.895689417</v>
      </c>
      <c r="DS241" s="151">
        <f t="shared" ca="1" si="519"/>
        <v>29325515.184272416</v>
      </c>
      <c r="DT241" s="151">
        <f t="shared" ca="1" si="519"/>
        <v>28610335.88782233</v>
      </c>
      <c r="DU241" s="151">
        <f t="shared" ca="1" si="519"/>
        <v>27900213.547220763</v>
      </c>
      <c r="DV241" s="151">
        <f t="shared" ca="1" si="519"/>
        <v>27195110.651946638</v>
      </c>
      <c r="DW241" s="151">
        <f t="shared" ca="1" si="519"/>
        <v>26495067.066345721</v>
      </c>
      <c r="DX241" s="151">
        <f t="shared" ca="1" si="519"/>
        <v>25800046.179498501</v>
      </c>
      <c r="DY241" s="151">
        <f t="shared" ca="1" si="519"/>
        <v>25110011.067564227</v>
      </c>
    </row>
    <row r="242" spans="1:129" ht="14.4" outlineLevel="1" thickTop="1">
      <c r="C242" s="37"/>
      <c r="J242" s="35"/>
      <c r="V242" s="38"/>
      <c r="W242" s="38"/>
      <c r="X242" s="102"/>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row>
    <row r="243" spans="1:129" outlineLevel="1">
      <c r="C243" s="37"/>
      <c r="G243" s="232" t="s">
        <v>546</v>
      </c>
      <c r="H243" s="528">
        <f ca="1">SUM(J243:DY243)</f>
        <v>0</v>
      </c>
      <c r="I243" s="529"/>
      <c r="J243" s="530">
        <f t="shared" ref="J243:AO243" ca="1" si="520">IF(ABS(J220-J241)&lt;tolerance,0,1)</f>
        <v>0</v>
      </c>
      <c r="K243" s="530">
        <f t="shared" ca="1" si="520"/>
        <v>0</v>
      </c>
      <c r="L243" s="530">
        <f t="shared" ca="1" si="520"/>
        <v>0</v>
      </c>
      <c r="M243" s="530">
        <f t="shared" ca="1" si="520"/>
        <v>0</v>
      </c>
      <c r="N243" s="530">
        <f t="shared" ca="1" si="520"/>
        <v>0</v>
      </c>
      <c r="O243" s="530">
        <f t="shared" ca="1" si="520"/>
        <v>0</v>
      </c>
      <c r="P243" s="530">
        <f t="shared" ca="1" si="520"/>
        <v>0</v>
      </c>
      <c r="Q243" s="530">
        <f t="shared" ca="1" si="520"/>
        <v>0</v>
      </c>
      <c r="R243" s="530">
        <f t="shared" ca="1" si="520"/>
        <v>0</v>
      </c>
      <c r="S243" s="530">
        <f t="shared" ca="1" si="520"/>
        <v>0</v>
      </c>
      <c r="T243" s="530">
        <f t="shared" ca="1" si="520"/>
        <v>0</v>
      </c>
      <c r="U243" s="530">
        <f t="shared" ca="1" si="520"/>
        <v>0</v>
      </c>
      <c r="V243" s="530">
        <f t="shared" ca="1" si="520"/>
        <v>0</v>
      </c>
      <c r="W243" s="530">
        <f t="shared" ca="1" si="520"/>
        <v>0</v>
      </c>
      <c r="X243" s="530">
        <f t="shared" ca="1" si="520"/>
        <v>0</v>
      </c>
      <c r="Y243" s="530">
        <f t="shared" ca="1" si="520"/>
        <v>0</v>
      </c>
      <c r="Z243" s="530">
        <f t="shared" ca="1" si="520"/>
        <v>0</v>
      </c>
      <c r="AA243" s="530">
        <f t="shared" ca="1" si="520"/>
        <v>0</v>
      </c>
      <c r="AB243" s="530">
        <f t="shared" ca="1" si="520"/>
        <v>0</v>
      </c>
      <c r="AC243" s="530">
        <f t="shared" ca="1" si="520"/>
        <v>0</v>
      </c>
      <c r="AD243" s="530">
        <f t="shared" ca="1" si="520"/>
        <v>0</v>
      </c>
      <c r="AE243" s="530">
        <f t="shared" ca="1" si="520"/>
        <v>0</v>
      </c>
      <c r="AF243" s="530">
        <f t="shared" ca="1" si="520"/>
        <v>0</v>
      </c>
      <c r="AG243" s="530">
        <f t="shared" ca="1" si="520"/>
        <v>0</v>
      </c>
      <c r="AH243" s="530">
        <f t="shared" ca="1" si="520"/>
        <v>0</v>
      </c>
      <c r="AI243" s="530">
        <f t="shared" ca="1" si="520"/>
        <v>0</v>
      </c>
      <c r="AJ243" s="530">
        <f t="shared" ca="1" si="520"/>
        <v>0</v>
      </c>
      <c r="AK243" s="530">
        <f t="shared" ca="1" si="520"/>
        <v>0</v>
      </c>
      <c r="AL243" s="530">
        <f t="shared" ca="1" si="520"/>
        <v>0</v>
      </c>
      <c r="AM243" s="530">
        <f t="shared" ca="1" si="520"/>
        <v>0</v>
      </c>
      <c r="AN243" s="530">
        <f t="shared" ca="1" si="520"/>
        <v>0</v>
      </c>
      <c r="AO243" s="530">
        <f t="shared" ca="1" si="520"/>
        <v>0</v>
      </c>
      <c r="AP243" s="530">
        <f t="shared" ref="AP243:BU243" ca="1" si="521">IF(ABS(AP220-AP241)&lt;tolerance,0,1)</f>
        <v>0</v>
      </c>
      <c r="AQ243" s="530">
        <f t="shared" ca="1" si="521"/>
        <v>0</v>
      </c>
      <c r="AR243" s="530">
        <f t="shared" ca="1" si="521"/>
        <v>0</v>
      </c>
      <c r="AS243" s="530">
        <f t="shared" ca="1" si="521"/>
        <v>0</v>
      </c>
      <c r="AT243" s="530">
        <f t="shared" ca="1" si="521"/>
        <v>0</v>
      </c>
      <c r="AU243" s="530">
        <f t="shared" ca="1" si="521"/>
        <v>0</v>
      </c>
      <c r="AV243" s="530">
        <f t="shared" ca="1" si="521"/>
        <v>0</v>
      </c>
      <c r="AW243" s="530">
        <f t="shared" ca="1" si="521"/>
        <v>0</v>
      </c>
      <c r="AX243" s="530">
        <f t="shared" ca="1" si="521"/>
        <v>0</v>
      </c>
      <c r="AY243" s="530">
        <f t="shared" ca="1" si="521"/>
        <v>0</v>
      </c>
      <c r="AZ243" s="530">
        <f t="shared" ca="1" si="521"/>
        <v>0</v>
      </c>
      <c r="BA243" s="530">
        <f t="shared" ca="1" si="521"/>
        <v>0</v>
      </c>
      <c r="BB243" s="530">
        <f t="shared" ca="1" si="521"/>
        <v>0</v>
      </c>
      <c r="BC243" s="530">
        <f t="shared" ca="1" si="521"/>
        <v>0</v>
      </c>
      <c r="BD243" s="530">
        <f t="shared" ca="1" si="521"/>
        <v>0</v>
      </c>
      <c r="BE243" s="530">
        <f t="shared" ca="1" si="521"/>
        <v>0</v>
      </c>
      <c r="BF243" s="530">
        <f t="shared" ca="1" si="521"/>
        <v>0</v>
      </c>
      <c r="BG243" s="530">
        <f t="shared" ca="1" si="521"/>
        <v>0</v>
      </c>
      <c r="BH243" s="530">
        <f t="shared" ca="1" si="521"/>
        <v>0</v>
      </c>
      <c r="BI243" s="530">
        <f t="shared" ca="1" si="521"/>
        <v>0</v>
      </c>
      <c r="BJ243" s="530">
        <f t="shared" ca="1" si="521"/>
        <v>0</v>
      </c>
      <c r="BK243" s="530">
        <f t="shared" ca="1" si="521"/>
        <v>0</v>
      </c>
      <c r="BL243" s="530">
        <f t="shared" ca="1" si="521"/>
        <v>0</v>
      </c>
      <c r="BM243" s="530">
        <f t="shared" ca="1" si="521"/>
        <v>0</v>
      </c>
      <c r="BN243" s="530">
        <f t="shared" ca="1" si="521"/>
        <v>0</v>
      </c>
      <c r="BO243" s="530">
        <f t="shared" ca="1" si="521"/>
        <v>0</v>
      </c>
      <c r="BP243" s="530">
        <f t="shared" ca="1" si="521"/>
        <v>0</v>
      </c>
      <c r="BQ243" s="530">
        <f t="shared" ca="1" si="521"/>
        <v>0</v>
      </c>
      <c r="BR243" s="530">
        <f t="shared" ca="1" si="521"/>
        <v>0</v>
      </c>
      <c r="BS243" s="530">
        <f t="shared" ca="1" si="521"/>
        <v>0</v>
      </c>
      <c r="BT243" s="530">
        <f t="shared" ca="1" si="521"/>
        <v>0</v>
      </c>
      <c r="BU243" s="530">
        <f t="shared" ca="1" si="521"/>
        <v>0</v>
      </c>
      <c r="BV243" s="530">
        <f t="shared" ref="BV243:CC243" ca="1" si="522">IF(ABS(BV220-BV241)&lt;tolerance,0,1)</f>
        <v>0</v>
      </c>
      <c r="BW243" s="530">
        <f t="shared" ca="1" si="522"/>
        <v>0</v>
      </c>
      <c r="BX243" s="530">
        <f t="shared" ca="1" si="522"/>
        <v>0</v>
      </c>
      <c r="BY243" s="530">
        <f t="shared" ca="1" si="522"/>
        <v>0</v>
      </c>
      <c r="BZ243" s="530">
        <f t="shared" ca="1" si="522"/>
        <v>0</v>
      </c>
      <c r="CA243" s="530">
        <f t="shared" ca="1" si="522"/>
        <v>0</v>
      </c>
      <c r="CB243" s="530">
        <f t="shared" ca="1" si="522"/>
        <v>0</v>
      </c>
      <c r="CC243" s="530">
        <f t="shared" ca="1" si="522"/>
        <v>0</v>
      </c>
      <c r="CD243" s="530">
        <f t="shared" ref="CD243:DY243" ca="1" si="523">IF(ABS(CD220-CD241)&lt;tolerance,0,1)</f>
        <v>0</v>
      </c>
      <c r="CE243" s="530">
        <f t="shared" ca="1" si="523"/>
        <v>0</v>
      </c>
      <c r="CF243" s="530">
        <f t="shared" ca="1" si="523"/>
        <v>0</v>
      </c>
      <c r="CG243" s="530">
        <f t="shared" ca="1" si="523"/>
        <v>0</v>
      </c>
      <c r="CH243" s="530">
        <f t="shared" ca="1" si="523"/>
        <v>0</v>
      </c>
      <c r="CI243" s="530">
        <f t="shared" ca="1" si="523"/>
        <v>0</v>
      </c>
      <c r="CJ243" s="530">
        <f t="shared" ca="1" si="523"/>
        <v>0</v>
      </c>
      <c r="CK243" s="530">
        <f t="shared" ca="1" si="523"/>
        <v>0</v>
      </c>
      <c r="CL243" s="530">
        <f t="shared" ca="1" si="523"/>
        <v>0</v>
      </c>
      <c r="CM243" s="530">
        <f t="shared" ca="1" si="523"/>
        <v>0</v>
      </c>
      <c r="CN243" s="530">
        <f t="shared" ca="1" si="523"/>
        <v>0</v>
      </c>
      <c r="CO243" s="530">
        <f t="shared" ca="1" si="523"/>
        <v>0</v>
      </c>
      <c r="CP243" s="530">
        <f t="shared" ca="1" si="523"/>
        <v>0</v>
      </c>
      <c r="CQ243" s="530">
        <f t="shared" ca="1" si="523"/>
        <v>0</v>
      </c>
      <c r="CR243" s="530">
        <f t="shared" ca="1" si="523"/>
        <v>0</v>
      </c>
      <c r="CS243" s="530">
        <f t="shared" ca="1" si="523"/>
        <v>0</v>
      </c>
      <c r="CT243" s="530">
        <f t="shared" ca="1" si="523"/>
        <v>0</v>
      </c>
      <c r="CU243" s="530">
        <f t="shared" ca="1" si="523"/>
        <v>0</v>
      </c>
      <c r="CV243" s="530">
        <f t="shared" ca="1" si="523"/>
        <v>0</v>
      </c>
      <c r="CW243" s="530">
        <f t="shared" ca="1" si="523"/>
        <v>0</v>
      </c>
      <c r="CX243" s="530">
        <f t="shared" ca="1" si="523"/>
        <v>0</v>
      </c>
      <c r="CY243" s="530">
        <f t="shared" ca="1" si="523"/>
        <v>0</v>
      </c>
      <c r="CZ243" s="530">
        <f t="shared" ca="1" si="523"/>
        <v>0</v>
      </c>
      <c r="DA243" s="530">
        <f t="shared" ca="1" si="523"/>
        <v>0</v>
      </c>
      <c r="DB243" s="530">
        <f t="shared" ca="1" si="523"/>
        <v>0</v>
      </c>
      <c r="DC243" s="530">
        <f t="shared" ca="1" si="523"/>
        <v>0</v>
      </c>
      <c r="DD243" s="530">
        <f t="shared" ca="1" si="523"/>
        <v>0</v>
      </c>
      <c r="DE243" s="530">
        <f t="shared" ca="1" si="523"/>
        <v>0</v>
      </c>
      <c r="DF243" s="530">
        <f t="shared" ca="1" si="523"/>
        <v>0</v>
      </c>
      <c r="DG243" s="530">
        <f t="shared" ca="1" si="523"/>
        <v>0</v>
      </c>
      <c r="DH243" s="530">
        <f t="shared" ca="1" si="523"/>
        <v>0</v>
      </c>
      <c r="DI243" s="530">
        <f t="shared" ca="1" si="523"/>
        <v>0</v>
      </c>
      <c r="DJ243" s="530">
        <f t="shared" ca="1" si="523"/>
        <v>0</v>
      </c>
      <c r="DK243" s="530">
        <f t="shared" ca="1" si="523"/>
        <v>0</v>
      </c>
      <c r="DL243" s="530">
        <f t="shared" ca="1" si="523"/>
        <v>0</v>
      </c>
      <c r="DM243" s="530">
        <f t="shared" ca="1" si="523"/>
        <v>0</v>
      </c>
      <c r="DN243" s="530">
        <f t="shared" ca="1" si="523"/>
        <v>0</v>
      </c>
      <c r="DO243" s="530">
        <f t="shared" ca="1" si="523"/>
        <v>0</v>
      </c>
      <c r="DP243" s="530">
        <f t="shared" ca="1" si="523"/>
        <v>0</v>
      </c>
      <c r="DQ243" s="530">
        <f t="shared" ca="1" si="523"/>
        <v>0</v>
      </c>
      <c r="DR243" s="530">
        <f t="shared" ca="1" si="523"/>
        <v>0</v>
      </c>
      <c r="DS243" s="530">
        <f t="shared" ca="1" si="523"/>
        <v>0</v>
      </c>
      <c r="DT243" s="530">
        <f t="shared" ca="1" si="523"/>
        <v>0</v>
      </c>
      <c r="DU243" s="530">
        <f t="shared" ca="1" si="523"/>
        <v>0</v>
      </c>
      <c r="DV243" s="530">
        <f t="shared" ca="1" si="523"/>
        <v>0</v>
      </c>
      <c r="DW243" s="530">
        <f t="shared" ca="1" si="523"/>
        <v>0</v>
      </c>
      <c r="DX243" s="530">
        <f t="shared" ca="1" si="523"/>
        <v>0</v>
      </c>
      <c r="DY243" s="530">
        <f t="shared" ca="1" si="523"/>
        <v>0</v>
      </c>
    </row>
    <row r="244" spans="1:129" outlineLevel="1">
      <c r="C244" s="37"/>
      <c r="G244" s="232" t="s">
        <v>547</v>
      </c>
      <c r="H244" s="528">
        <f ca="1">SUM(J244:DY244)</f>
        <v>0</v>
      </c>
      <c r="J244" s="530">
        <f ca="1">IF(J241&gt;0,0,1)</f>
        <v>0</v>
      </c>
      <c r="K244" s="530">
        <f t="shared" ref="K244:BV244" ca="1" si="524">IF(K241&gt;0,0,1)</f>
        <v>0</v>
      </c>
      <c r="L244" s="530">
        <f t="shared" ca="1" si="524"/>
        <v>0</v>
      </c>
      <c r="M244" s="530">
        <f t="shared" ca="1" si="524"/>
        <v>0</v>
      </c>
      <c r="N244" s="530">
        <f t="shared" ca="1" si="524"/>
        <v>0</v>
      </c>
      <c r="O244" s="530">
        <f t="shared" ca="1" si="524"/>
        <v>0</v>
      </c>
      <c r="P244" s="530">
        <f t="shared" ca="1" si="524"/>
        <v>0</v>
      </c>
      <c r="Q244" s="530">
        <f t="shared" ca="1" si="524"/>
        <v>0</v>
      </c>
      <c r="R244" s="530">
        <f t="shared" ca="1" si="524"/>
        <v>0</v>
      </c>
      <c r="S244" s="530">
        <f t="shared" ca="1" si="524"/>
        <v>0</v>
      </c>
      <c r="T244" s="530">
        <f t="shared" ca="1" si="524"/>
        <v>0</v>
      </c>
      <c r="U244" s="530">
        <f t="shared" ca="1" si="524"/>
        <v>0</v>
      </c>
      <c r="V244" s="530">
        <f t="shared" ca="1" si="524"/>
        <v>0</v>
      </c>
      <c r="W244" s="530">
        <f t="shared" ca="1" si="524"/>
        <v>0</v>
      </c>
      <c r="X244" s="530">
        <f t="shared" ca="1" si="524"/>
        <v>0</v>
      </c>
      <c r="Y244" s="530">
        <f t="shared" ca="1" si="524"/>
        <v>0</v>
      </c>
      <c r="Z244" s="530">
        <f t="shared" ca="1" si="524"/>
        <v>0</v>
      </c>
      <c r="AA244" s="530">
        <f t="shared" ca="1" si="524"/>
        <v>0</v>
      </c>
      <c r="AB244" s="530">
        <f t="shared" ca="1" si="524"/>
        <v>0</v>
      </c>
      <c r="AC244" s="530">
        <f t="shared" ca="1" si="524"/>
        <v>0</v>
      </c>
      <c r="AD244" s="530">
        <f t="shared" ca="1" si="524"/>
        <v>0</v>
      </c>
      <c r="AE244" s="530">
        <f t="shared" ca="1" si="524"/>
        <v>0</v>
      </c>
      <c r="AF244" s="530">
        <f t="shared" ca="1" si="524"/>
        <v>0</v>
      </c>
      <c r="AG244" s="530">
        <f t="shared" ca="1" si="524"/>
        <v>0</v>
      </c>
      <c r="AH244" s="530">
        <f t="shared" ca="1" si="524"/>
        <v>0</v>
      </c>
      <c r="AI244" s="530">
        <f t="shared" ca="1" si="524"/>
        <v>0</v>
      </c>
      <c r="AJ244" s="530">
        <f t="shared" ca="1" si="524"/>
        <v>0</v>
      </c>
      <c r="AK244" s="530">
        <f t="shared" ca="1" si="524"/>
        <v>0</v>
      </c>
      <c r="AL244" s="530">
        <f t="shared" ca="1" si="524"/>
        <v>0</v>
      </c>
      <c r="AM244" s="530">
        <f t="shared" ca="1" si="524"/>
        <v>0</v>
      </c>
      <c r="AN244" s="530">
        <f t="shared" ca="1" si="524"/>
        <v>0</v>
      </c>
      <c r="AO244" s="530">
        <f t="shared" ca="1" si="524"/>
        <v>0</v>
      </c>
      <c r="AP244" s="530">
        <f t="shared" ca="1" si="524"/>
        <v>0</v>
      </c>
      <c r="AQ244" s="530">
        <f t="shared" ca="1" si="524"/>
        <v>0</v>
      </c>
      <c r="AR244" s="530">
        <f t="shared" ca="1" si="524"/>
        <v>0</v>
      </c>
      <c r="AS244" s="530">
        <f t="shared" ca="1" si="524"/>
        <v>0</v>
      </c>
      <c r="AT244" s="530">
        <f t="shared" ca="1" si="524"/>
        <v>0</v>
      </c>
      <c r="AU244" s="530">
        <f t="shared" ca="1" si="524"/>
        <v>0</v>
      </c>
      <c r="AV244" s="530">
        <f t="shared" ca="1" si="524"/>
        <v>0</v>
      </c>
      <c r="AW244" s="530">
        <f t="shared" ca="1" si="524"/>
        <v>0</v>
      </c>
      <c r="AX244" s="530">
        <f t="shared" ca="1" si="524"/>
        <v>0</v>
      </c>
      <c r="AY244" s="530">
        <f t="shared" ca="1" si="524"/>
        <v>0</v>
      </c>
      <c r="AZ244" s="530">
        <f t="shared" ca="1" si="524"/>
        <v>0</v>
      </c>
      <c r="BA244" s="530">
        <f t="shared" ca="1" si="524"/>
        <v>0</v>
      </c>
      <c r="BB244" s="530">
        <f t="shared" ca="1" si="524"/>
        <v>0</v>
      </c>
      <c r="BC244" s="530">
        <f t="shared" ca="1" si="524"/>
        <v>0</v>
      </c>
      <c r="BD244" s="530">
        <f t="shared" ca="1" si="524"/>
        <v>0</v>
      </c>
      <c r="BE244" s="530">
        <f t="shared" ca="1" si="524"/>
        <v>0</v>
      </c>
      <c r="BF244" s="530">
        <f t="shared" ca="1" si="524"/>
        <v>0</v>
      </c>
      <c r="BG244" s="530">
        <f t="shared" ca="1" si="524"/>
        <v>0</v>
      </c>
      <c r="BH244" s="530">
        <f t="shared" ca="1" si="524"/>
        <v>0</v>
      </c>
      <c r="BI244" s="530">
        <f t="shared" ca="1" si="524"/>
        <v>0</v>
      </c>
      <c r="BJ244" s="530">
        <f t="shared" ca="1" si="524"/>
        <v>0</v>
      </c>
      <c r="BK244" s="530">
        <f t="shared" ca="1" si="524"/>
        <v>0</v>
      </c>
      <c r="BL244" s="530">
        <f t="shared" ca="1" si="524"/>
        <v>0</v>
      </c>
      <c r="BM244" s="530">
        <f t="shared" ca="1" si="524"/>
        <v>0</v>
      </c>
      <c r="BN244" s="530">
        <f t="shared" ca="1" si="524"/>
        <v>0</v>
      </c>
      <c r="BO244" s="530">
        <f t="shared" ca="1" si="524"/>
        <v>0</v>
      </c>
      <c r="BP244" s="530">
        <f t="shared" ca="1" si="524"/>
        <v>0</v>
      </c>
      <c r="BQ244" s="530">
        <f t="shared" ca="1" si="524"/>
        <v>0</v>
      </c>
      <c r="BR244" s="530">
        <f t="shared" ca="1" si="524"/>
        <v>0</v>
      </c>
      <c r="BS244" s="530">
        <f t="shared" ca="1" si="524"/>
        <v>0</v>
      </c>
      <c r="BT244" s="530">
        <f t="shared" ca="1" si="524"/>
        <v>0</v>
      </c>
      <c r="BU244" s="530">
        <f t="shared" ca="1" si="524"/>
        <v>0</v>
      </c>
      <c r="BV244" s="530">
        <f t="shared" ca="1" si="524"/>
        <v>0</v>
      </c>
      <c r="BW244" s="530">
        <f t="shared" ref="BW244:CC244" ca="1" si="525">IF(BW241&gt;0,0,1)</f>
        <v>0</v>
      </c>
      <c r="BX244" s="530">
        <f t="shared" ca="1" si="525"/>
        <v>0</v>
      </c>
      <c r="BY244" s="530">
        <f t="shared" ca="1" si="525"/>
        <v>0</v>
      </c>
      <c r="BZ244" s="530">
        <f t="shared" ca="1" si="525"/>
        <v>0</v>
      </c>
      <c r="CA244" s="530">
        <f t="shared" ca="1" si="525"/>
        <v>0</v>
      </c>
      <c r="CB244" s="530">
        <f t="shared" ca="1" si="525"/>
        <v>0</v>
      </c>
      <c r="CC244" s="530">
        <f t="shared" ca="1" si="525"/>
        <v>0</v>
      </c>
      <c r="CD244" s="530">
        <f t="shared" ref="CD244:DY244" ca="1" si="526">IF(CD241&gt;0,0,1)</f>
        <v>0</v>
      </c>
      <c r="CE244" s="530">
        <f t="shared" ca="1" si="526"/>
        <v>0</v>
      </c>
      <c r="CF244" s="530">
        <f t="shared" ca="1" si="526"/>
        <v>0</v>
      </c>
      <c r="CG244" s="530">
        <f t="shared" ca="1" si="526"/>
        <v>0</v>
      </c>
      <c r="CH244" s="530">
        <f t="shared" ca="1" si="526"/>
        <v>0</v>
      </c>
      <c r="CI244" s="530">
        <f t="shared" ca="1" si="526"/>
        <v>0</v>
      </c>
      <c r="CJ244" s="530">
        <f t="shared" ca="1" si="526"/>
        <v>0</v>
      </c>
      <c r="CK244" s="530">
        <f t="shared" ca="1" si="526"/>
        <v>0</v>
      </c>
      <c r="CL244" s="530">
        <f t="shared" ca="1" si="526"/>
        <v>0</v>
      </c>
      <c r="CM244" s="530">
        <f t="shared" ca="1" si="526"/>
        <v>0</v>
      </c>
      <c r="CN244" s="530">
        <f t="shared" ca="1" si="526"/>
        <v>0</v>
      </c>
      <c r="CO244" s="530">
        <f t="shared" ca="1" si="526"/>
        <v>0</v>
      </c>
      <c r="CP244" s="530">
        <f t="shared" ca="1" si="526"/>
        <v>0</v>
      </c>
      <c r="CQ244" s="530">
        <f t="shared" ca="1" si="526"/>
        <v>0</v>
      </c>
      <c r="CR244" s="530">
        <f t="shared" ca="1" si="526"/>
        <v>0</v>
      </c>
      <c r="CS244" s="530">
        <f t="shared" ca="1" si="526"/>
        <v>0</v>
      </c>
      <c r="CT244" s="530">
        <f t="shared" ca="1" si="526"/>
        <v>0</v>
      </c>
      <c r="CU244" s="530">
        <f t="shared" ca="1" si="526"/>
        <v>0</v>
      </c>
      <c r="CV244" s="530">
        <f t="shared" ca="1" si="526"/>
        <v>0</v>
      </c>
      <c r="CW244" s="530">
        <f t="shared" ca="1" si="526"/>
        <v>0</v>
      </c>
      <c r="CX244" s="530">
        <f t="shared" ca="1" si="526"/>
        <v>0</v>
      </c>
      <c r="CY244" s="530">
        <f t="shared" ca="1" si="526"/>
        <v>0</v>
      </c>
      <c r="CZ244" s="530">
        <f t="shared" ca="1" si="526"/>
        <v>0</v>
      </c>
      <c r="DA244" s="530">
        <f t="shared" ca="1" si="526"/>
        <v>0</v>
      </c>
      <c r="DB244" s="530">
        <f t="shared" ca="1" si="526"/>
        <v>0</v>
      </c>
      <c r="DC244" s="530">
        <f t="shared" ca="1" si="526"/>
        <v>0</v>
      </c>
      <c r="DD244" s="530">
        <f t="shared" ca="1" si="526"/>
        <v>0</v>
      </c>
      <c r="DE244" s="530">
        <f t="shared" ca="1" si="526"/>
        <v>0</v>
      </c>
      <c r="DF244" s="530">
        <f t="shared" ca="1" si="526"/>
        <v>0</v>
      </c>
      <c r="DG244" s="530">
        <f t="shared" ca="1" si="526"/>
        <v>0</v>
      </c>
      <c r="DH244" s="530">
        <f t="shared" ca="1" si="526"/>
        <v>0</v>
      </c>
      <c r="DI244" s="530">
        <f t="shared" ca="1" si="526"/>
        <v>0</v>
      </c>
      <c r="DJ244" s="530">
        <f t="shared" ca="1" si="526"/>
        <v>0</v>
      </c>
      <c r="DK244" s="530">
        <f t="shared" ca="1" si="526"/>
        <v>0</v>
      </c>
      <c r="DL244" s="530">
        <f t="shared" ca="1" si="526"/>
        <v>0</v>
      </c>
      <c r="DM244" s="530">
        <f t="shared" ca="1" si="526"/>
        <v>0</v>
      </c>
      <c r="DN244" s="530">
        <f t="shared" ca="1" si="526"/>
        <v>0</v>
      </c>
      <c r="DO244" s="530">
        <f t="shared" ca="1" si="526"/>
        <v>0</v>
      </c>
      <c r="DP244" s="530">
        <f t="shared" ca="1" si="526"/>
        <v>0</v>
      </c>
      <c r="DQ244" s="530">
        <f t="shared" ca="1" si="526"/>
        <v>0</v>
      </c>
      <c r="DR244" s="530">
        <f t="shared" ca="1" si="526"/>
        <v>0</v>
      </c>
      <c r="DS244" s="530">
        <f t="shared" ca="1" si="526"/>
        <v>0</v>
      </c>
      <c r="DT244" s="530">
        <f t="shared" ca="1" si="526"/>
        <v>0</v>
      </c>
      <c r="DU244" s="530">
        <f t="shared" ca="1" si="526"/>
        <v>0</v>
      </c>
      <c r="DV244" s="530">
        <f t="shared" ca="1" si="526"/>
        <v>0</v>
      </c>
      <c r="DW244" s="530">
        <f t="shared" ca="1" si="526"/>
        <v>0</v>
      </c>
      <c r="DX244" s="530">
        <f t="shared" ca="1" si="526"/>
        <v>0</v>
      </c>
      <c r="DY244" s="530">
        <f t="shared" ca="1" si="526"/>
        <v>0</v>
      </c>
    </row>
    <row r="245" spans="1:129">
      <c r="C245" s="37"/>
      <c r="G245" s="232"/>
      <c r="H245" s="528"/>
      <c r="J245" s="530"/>
      <c r="K245" s="530"/>
      <c r="L245" s="530"/>
      <c r="M245" s="530"/>
      <c r="N245" s="530"/>
      <c r="O245" s="530"/>
      <c r="P245" s="530"/>
      <c r="Q245" s="530"/>
      <c r="R245" s="530"/>
      <c r="S245" s="530"/>
      <c r="T245" s="530"/>
      <c r="U245" s="530"/>
      <c r="V245" s="530"/>
      <c r="W245" s="530"/>
      <c r="X245" s="530"/>
      <c r="Y245" s="530"/>
      <c r="Z245" s="530"/>
      <c r="AA245" s="530"/>
      <c r="AB245" s="530"/>
      <c r="AC245" s="530"/>
      <c r="AD245" s="530"/>
      <c r="AE245" s="530"/>
      <c r="AF245" s="530"/>
      <c r="AG245" s="530"/>
      <c r="AH245" s="530"/>
      <c r="AI245" s="530"/>
      <c r="AJ245" s="530"/>
      <c r="AK245" s="530"/>
      <c r="AL245" s="530"/>
      <c r="AM245" s="530"/>
      <c r="AN245" s="530"/>
      <c r="AO245" s="530"/>
      <c r="AP245" s="530"/>
      <c r="AQ245" s="530"/>
      <c r="AR245" s="530"/>
      <c r="AS245" s="530"/>
      <c r="AT245" s="530"/>
      <c r="AU245" s="530"/>
      <c r="AV245" s="530"/>
      <c r="AW245" s="530"/>
      <c r="AX245" s="530"/>
      <c r="AY245" s="530"/>
      <c r="AZ245" s="530"/>
      <c r="BA245" s="530"/>
      <c r="BB245" s="530"/>
      <c r="BC245" s="530"/>
      <c r="BD245" s="530"/>
      <c r="BE245" s="530"/>
      <c r="BF245" s="530"/>
      <c r="BG245" s="530"/>
      <c r="BH245" s="530"/>
      <c r="BI245" s="530"/>
      <c r="BJ245" s="530"/>
      <c r="BK245" s="530"/>
      <c r="BL245" s="530"/>
      <c r="BM245" s="530"/>
      <c r="BN245" s="530"/>
      <c r="BO245" s="530"/>
      <c r="BP245" s="530"/>
      <c r="BQ245" s="530"/>
      <c r="BR245" s="530"/>
      <c r="BS245" s="530"/>
      <c r="BT245" s="530"/>
      <c r="BU245" s="530"/>
      <c r="BV245" s="530"/>
      <c r="BW245" s="530"/>
      <c r="BX245" s="530"/>
      <c r="BY245" s="530"/>
      <c r="BZ245" s="530"/>
      <c r="CA245" s="530"/>
      <c r="CB245" s="530"/>
      <c r="CC245" s="530"/>
      <c r="CD245" s="530"/>
      <c r="CE245" s="530"/>
      <c r="CF245" s="530"/>
      <c r="CG245" s="530"/>
      <c r="CH245" s="530"/>
      <c r="CI245" s="530"/>
      <c r="CJ245" s="530"/>
      <c r="CK245" s="530"/>
      <c r="CL245" s="530"/>
      <c r="CM245" s="530"/>
      <c r="CN245" s="530"/>
      <c r="CO245" s="530"/>
      <c r="CP245" s="530"/>
      <c r="CQ245" s="530"/>
      <c r="CR245" s="530"/>
      <c r="CS245" s="530"/>
      <c r="CT245" s="530"/>
      <c r="CU245" s="530"/>
      <c r="CV245" s="530"/>
      <c r="CW245" s="530"/>
      <c r="CX245" s="530"/>
      <c r="CY245" s="530"/>
      <c r="CZ245" s="530"/>
      <c r="DA245" s="530"/>
      <c r="DB245" s="530"/>
      <c r="DC245" s="530"/>
      <c r="DD245" s="530"/>
      <c r="DE245" s="530"/>
      <c r="DF245" s="530"/>
      <c r="DG245" s="530"/>
      <c r="DH245" s="530"/>
      <c r="DI245" s="530"/>
      <c r="DJ245" s="530"/>
      <c r="DK245" s="530"/>
      <c r="DL245" s="530"/>
      <c r="DM245" s="530"/>
      <c r="DN245" s="530"/>
      <c r="DO245" s="530"/>
      <c r="DP245" s="530"/>
      <c r="DQ245" s="530"/>
      <c r="DR245" s="530"/>
      <c r="DS245" s="530"/>
      <c r="DT245" s="530"/>
      <c r="DU245" s="530"/>
      <c r="DV245" s="530"/>
      <c r="DW245" s="530"/>
      <c r="DX245" s="530"/>
      <c r="DY245" s="530"/>
    </row>
    <row r="246" spans="1:129" s="19" customFormat="1" ht="15.6">
      <c r="A246" s="20"/>
      <c r="B246" s="391" t="s">
        <v>373</v>
      </c>
      <c r="C246" s="325"/>
      <c r="D246" s="326"/>
      <c r="E246" s="326"/>
      <c r="F246" s="326"/>
      <c r="G246" s="326"/>
      <c r="H246" s="326"/>
      <c r="I246" s="326"/>
      <c r="J246" s="329"/>
      <c r="K246" s="337"/>
      <c r="L246" s="337"/>
      <c r="M246" s="337"/>
      <c r="N246" s="337"/>
      <c r="O246" s="337"/>
      <c r="P246" s="337"/>
      <c r="Q246" s="329"/>
      <c r="R246" s="328"/>
      <c r="S246" s="328"/>
      <c r="T246" s="328"/>
      <c r="U246" s="328"/>
      <c r="V246" s="328"/>
      <c r="W246" s="328"/>
      <c r="X246" s="330"/>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28"/>
      <c r="BV246" s="328"/>
      <c r="BW246" s="328"/>
      <c r="BX246" s="328"/>
      <c r="BY246" s="328"/>
      <c r="BZ246" s="328"/>
      <c r="CA246" s="328"/>
      <c r="CB246" s="328"/>
      <c r="CC246" s="328"/>
      <c r="CD246" s="328"/>
      <c r="CE246" s="328"/>
      <c r="CF246" s="328"/>
      <c r="CG246" s="328"/>
      <c r="CH246" s="328"/>
      <c r="CI246" s="328"/>
      <c r="CJ246" s="328"/>
      <c r="CK246" s="328"/>
      <c r="CL246" s="328"/>
      <c r="CM246" s="328"/>
      <c r="CN246" s="328"/>
      <c r="CO246" s="328"/>
      <c r="CP246" s="328"/>
      <c r="CQ246" s="328"/>
      <c r="CR246" s="328"/>
      <c r="CS246" s="328"/>
      <c r="CT246" s="328"/>
      <c r="CU246" s="328"/>
      <c r="CV246" s="328"/>
      <c r="CW246" s="328"/>
      <c r="CX246" s="328"/>
      <c r="CY246" s="328"/>
      <c r="CZ246" s="328"/>
      <c r="DA246" s="328"/>
      <c r="DB246" s="328"/>
      <c r="DC246" s="328"/>
      <c r="DD246" s="328"/>
      <c r="DE246" s="328"/>
      <c r="DF246" s="328"/>
      <c r="DG246" s="328"/>
      <c r="DH246" s="328"/>
      <c r="DI246" s="328"/>
      <c r="DJ246" s="328"/>
      <c r="DK246" s="328"/>
      <c r="DL246" s="328"/>
      <c r="DM246" s="328"/>
      <c r="DN246" s="328"/>
      <c r="DO246" s="328"/>
      <c r="DP246" s="328"/>
      <c r="DQ246" s="328"/>
      <c r="DR246" s="328"/>
      <c r="DS246" s="328"/>
      <c r="DT246" s="328"/>
      <c r="DU246" s="328"/>
      <c r="DV246" s="328"/>
      <c r="DW246" s="328"/>
      <c r="DX246" s="328"/>
      <c r="DY246" s="328"/>
    </row>
    <row r="247" spans="1:129" s="19" customFormat="1" outlineLevel="1">
      <c r="A247" s="20"/>
      <c r="B247" s="14"/>
      <c r="C247" s="14"/>
      <c r="D247" s="30"/>
      <c r="E247" s="30"/>
      <c r="F247" s="30"/>
      <c r="G247" s="14"/>
      <c r="H247" s="14"/>
      <c r="I247" s="14"/>
      <c r="J247" s="104"/>
      <c r="K247" s="14"/>
      <c r="L247" s="104"/>
      <c r="M247" s="14"/>
      <c r="N247" s="104"/>
      <c r="O247" s="14"/>
      <c r="P247" s="104"/>
      <c r="Q247" s="104"/>
      <c r="R247" s="14"/>
      <c r="S247" s="14"/>
      <c r="T247" s="14"/>
      <c r="U247" s="14"/>
      <c r="V247" s="14"/>
      <c r="W247" s="14"/>
      <c r="X247" s="98"/>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row>
    <row r="248" spans="1:129" s="19" customFormat="1" outlineLevel="1">
      <c r="A248" s="20"/>
      <c r="B248" s="14"/>
      <c r="C248" s="14" t="s">
        <v>111</v>
      </c>
      <c r="D248" s="30"/>
      <c r="E248" s="30"/>
      <c r="F248" s="30"/>
      <c r="G248" s="14"/>
      <c r="H248" s="14"/>
      <c r="I248" s="14"/>
      <c r="J248" s="106"/>
      <c r="K248" s="106"/>
      <c r="L248" s="106"/>
      <c r="M248" s="106"/>
      <c r="N248" s="106"/>
      <c r="O248" s="106"/>
      <c r="P248" s="106"/>
      <c r="Q248" s="106"/>
      <c r="R248" s="106"/>
      <c r="S248" s="106"/>
      <c r="T248" s="106"/>
      <c r="U248" s="81"/>
      <c r="V248" s="14"/>
      <c r="W248" s="14"/>
      <c r="X248" s="98"/>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row>
    <row r="249" spans="1:129" s="19" customFormat="1" outlineLevel="1">
      <c r="A249" s="20"/>
      <c r="B249" s="14"/>
      <c r="C249" s="14"/>
      <c r="D249" s="5" t="s">
        <v>95</v>
      </c>
      <c r="E249" s="30"/>
      <c r="F249" s="5" t="s">
        <v>163</v>
      </c>
      <c r="G249" s="80"/>
      <c r="H249" s="80"/>
      <c r="I249" s="449">
        <f>'Model Assumptions'!F118</f>
        <v>300000</v>
      </c>
      <c r="J249" s="47">
        <f t="shared" ref="J249:AO249" ca="1" si="527">+J241</f>
        <v>17607626.924219817</v>
      </c>
      <c r="K249" s="47">
        <f t="shared" ca="1" si="527"/>
        <v>16899007.183608737</v>
      </c>
      <c r="L249" s="47">
        <f t="shared" ca="1" si="527"/>
        <v>16201122.101979539</v>
      </c>
      <c r="M249" s="47">
        <f t="shared" ca="1" si="527"/>
        <v>15514827.990227271</v>
      </c>
      <c r="N249" s="47">
        <f t="shared" ca="1" si="527"/>
        <v>14840991.869287739</v>
      </c>
      <c r="O249" s="47">
        <f t="shared" ca="1" si="527"/>
        <v>14180491.748500083</v>
      </c>
      <c r="P249" s="47">
        <f t="shared" ca="1" si="527"/>
        <v>13534216.908894992</v>
      </c>
      <c r="Q249" s="47">
        <f t="shared" ca="1" si="527"/>
        <v>12903068.191513494</v>
      </c>
      <c r="R249" s="47">
        <f t="shared" ca="1" si="527"/>
        <v>12287958.290863262</v>
      </c>
      <c r="S249" s="47">
        <f t="shared" ca="1" si="527"/>
        <v>11680744.520900516</v>
      </c>
      <c r="T249" s="47">
        <f t="shared" ca="1" si="527"/>
        <v>11090721.717652993</v>
      </c>
      <c r="U249" s="47">
        <f t="shared" ca="1" si="527"/>
        <v>10518825.749797752</v>
      </c>
      <c r="V249" s="47">
        <f t="shared" ca="1" si="527"/>
        <v>9554523.4321791083</v>
      </c>
      <c r="W249" s="47">
        <f t="shared" ca="1" si="527"/>
        <v>8605647.8952071648</v>
      </c>
      <c r="X249" s="47">
        <f t="shared" ca="1" si="527"/>
        <v>7672559.8056339389</v>
      </c>
      <c r="Y249" s="47">
        <f t="shared" ca="1" si="527"/>
        <v>6755625.6541795386</v>
      </c>
      <c r="Z249" s="47">
        <f t="shared" ca="1" si="527"/>
        <v>5855217.8859051932</v>
      </c>
      <c r="AA249" s="47">
        <f t="shared" ca="1" si="527"/>
        <v>4971715.0330548175</v>
      </c>
      <c r="AB249" s="47">
        <f t="shared" ca="1" si="527"/>
        <v>5901336.9744150648</v>
      </c>
      <c r="AC249" s="47">
        <f t="shared" ca="1" si="527"/>
        <v>5041847.0724303182</v>
      </c>
      <c r="AD249" s="47">
        <f t="shared" ca="1" si="527"/>
        <v>4193505.6745024417</v>
      </c>
      <c r="AE249" s="47">
        <f t="shared" ca="1" si="527"/>
        <v>3343892.6371037676</v>
      </c>
      <c r="AF249" s="47">
        <f t="shared" ca="1" si="527"/>
        <v>2505510.2198921102</v>
      </c>
      <c r="AG249" s="47">
        <f t="shared" ca="1" si="527"/>
        <v>1678623.1536511304</v>
      </c>
      <c r="AH249" s="47">
        <f t="shared" ca="1" si="527"/>
        <v>35201204.617801942</v>
      </c>
      <c r="AI249" s="47">
        <f t="shared" ca="1" si="527"/>
        <v>34235484.34189941</v>
      </c>
      <c r="AJ249" s="47">
        <f t="shared" ca="1" si="527"/>
        <v>33281674.473440137</v>
      </c>
      <c r="AK249" s="47">
        <f t="shared" ca="1" si="527"/>
        <v>32332580.484912273</v>
      </c>
      <c r="AL249" s="47">
        <f t="shared" ca="1" si="527"/>
        <v>31395544.726072658</v>
      </c>
      <c r="AM249" s="47">
        <f t="shared" ca="1" si="527"/>
        <v>30467460.290282235</v>
      </c>
      <c r="AN249" s="47">
        <f t="shared" ca="1" si="527"/>
        <v>29083459.571408153</v>
      </c>
      <c r="AO249" s="47">
        <f t="shared" ca="1" si="527"/>
        <v>27703622.780623794</v>
      </c>
      <c r="AP249" s="47">
        <f t="shared" ref="AP249:BU249" ca="1" si="528">+AP241</f>
        <v>26327941.543778371</v>
      </c>
      <c r="AQ249" s="47">
        <f t="shared" ca="1" si="528"/>
        <v>24956336.107132427</v>
      </c>
      <c r="AR249" s="47">
        <f t="shared" ca="1" si="528"/>
        <v>23588863.47924605</v>
      </c>
      <c r="AS249" s="47">
        <f t="shared" ca="1" si="528"/>
        <v>22225514.746453498</v>
      </c>
      <c r="AT249" s="47">
        <f t="shared" ca="1" si="528"/>
        <v>21329119.064522371</v>
      </c>
      <c r="AU249" s="47">
        <f t="shared" ca="1" si="528"/>
        <v>20435100.105017051</v>
      </c>
      <c r="AV249" s="47">
        <f t="shared" ca="1" si="528"/>
        <v>19543463.27873183</v>
      </c>
      <c r="AW249" s="47">
        <f t="shared" ca="1" si="528"/>
        <v>18654214.150452279</v>
      </c>
      <c r="AX249" s="47">
        <f t="shared" ca="1" si="528"/>
        <v>17767358.440118954</v>
      </c>
      <c r="AY249" s="47">
        <f t="shared" ca="1" si="528"/>
        <v>16882902.024057858</v>
      </c>
      <c r="AZ249" s="47">
        <f t="shared" ca="1" si="528"/>
        <v>16000850.93627812</v>
      </c>
      <c r="BA249" s="47">
        <f t="shared" ca="1" si="528"/>
        <v>15121211.369837444</v>
      </c>
      <c r="BB249" s="47">
        <f t="shared" ca="1" si="528"/>
        <v>14243989.678275837</v>
      </c>
      <c r="BC249" s="47">
        <f t="shared" ca="1" si="528"/>
        <v>13368252.587387424</v>
      </c>
      <c r="BD249" s="47">
        <f t="shared" ca="1" si="528"/>
        <v>12494915.518447712</v>
      </c>
      <c r="BE249" s="47">
        <f t="shared" ca="1" si="528"/>
        <v>11623984.694787113</v>
      </c>
      <c r="BF249" s="47">
        <f t="shared" ca="1" si="528"/>
        <v>22551272.016240992</v>
      </c>
      <c r="BG249" s="47">
        <f t="shared" ca="1" si="528"/>
        <v>21624476.300602809</v>
      </c>
      <c r="BH249" s="47">
        <f t="shared" ca="1" si="528"/>
        <v>20699592.579034459</v>
      </c>
      <c r="BI249" s="47">
        <f t="shared" ca="1" si="528"/>
        <v>19776615.824958865</v>
      </c>
      <c r="BJ249" s="47">
        <f t="shared" ca="1" si="528"/>
        <v>18855540.951296818</v>
      </c>
      <c r="BK249" s="47">
        <f t="shared" ca="1" si="528"/>
        <v>17936362.807684507</v>
      </c>
      <c r="BL249" s="47">
        <f t="shared" ca="1" si="528"/>
        <v>16797965.066559564</v>
      </c>
      <c r="BM249" s="47">
        <f t="shared" ca="1" si="528"/>
        <v>15662564.664781176</v>
      </c>
      <c r="BN249" s="47">
        <f t="shared" ca="1" si="528"/>
        <v>14530156.245227613</v>
      </c>
      <c r="BO249" s="47">
        <f t="shared" ca="1" si="528"/>
        <v>13454973.150973296</v>
      </c>
      <c r="BP249" s="47">
        <f t="shared" ca="1" si="528"/>
        <v>12438633.022063976</v>
      </c>
      <c r="BQ249" s="47">
        <f t="shared" ca="1" si="528"/>
        <v>11482247.507261034</v>
      </c>
      <c r="BR249" s="47">
        <f t="shared" ca="1" si="528"/>
        <v>20375091.679375935</v>
      </c>
      <c r="BS249" s="47">
        <f t="shared" ca="1" si="528"/>
        <v>19441679.505604107</v>
      </c>
      <c r="BT249" s="47">
        <f t="shared" ca="1" si="528"/>
        <v>18558911.831532046</v>
      </c>
      <c r="BU249" s="47">
        <f t="shared" ca="1" si="528"/>
        <v>17723668.633204605</v>
      </c>
      <c r="BV249" s="47">
        <f t="shared" ref="BV249:DA249" ca="1" si="529">+BV241</f>
        <v>16932808.18762438</v>
      </c>
      <c r="BW249" s="47">
        <f t="shared" ca="1" si="529"/>
        <v>16183166.230798498</v>
      </c>
      <c r="BX249" s="47">
        <f t="shared" ca="1" si="529"/>
        <v>15287295.843782693</v>
      </c>
      <c r="BY249" s="47">
        <f t="shared" ca="1" si="529"/>
        <v>14427170.288648926</v>
      </c>
      <c r="BZ249" s="47">
        <f t="shared" ca="1" si="529"/>
        <v>13599552.497778608</v>
      </c>
      <c r="CA249" s="47">
        <f t="shared" ca="1" si="529"/>
        <v>12803389.827099532</v>
      </c>
      <c r="CB249" s="47">
        <f t="shared" ca="1" si="529"/>
        <v>12035508.88524298</v>
      </c>
      <c r="CC249" s="47">
        <f t="shared" ca="1" si="529"/>
        <v>11292638.28908148</v>
      </c>
      <c r="CD249" s="47">
        <f t="shared" ca="1" si="529"/>
        <v>20402024.481087077</v>
      </c>
      <c r="CE249" s="47">
        <f t="shared" ca="1" si="529"/>
        <v>19652390.769063395</v>
      </c>
      <c r="CF249" s="47">
        <f t="shared" ca="1" si="529"/>
        <v>18922474.011138454</v>
      </c>
      <c r="CG249" s="47">
        <f t="shared" ca="1" si="529"/>
        <v>18211001.80745019</v>
      </c>
      <c r="CH249" s="47">
        <f t="shared" ca="1" si="529"/>
        <v>17516692.154141854</v>
      </c>
      <c r="CI249" s="47">
        <f t="shared" ca="1" si="529"/>
        <v>16838253.092059039</v>
      </c>
      <c r="CJ249" s="47">
        <f t="shared" ca="1" si="529"/>
        <v>15990123.090766646</v>
      </c>
      <c r="CK249" s="47">
        <f t="shared" ca="1" si="529"/>
        <v>15156174.389983414</v>
      </c>
      <c r="CL249" s="47">
        <f t="shared" ca="1" si="529"/>
        <v>14335083.002010543</v>
      </c>
      <c r="CM249" s="47">
        <f t="shared" ca="1" si="529"/>
        <v>13526966.85012388</v>
      </c>
      <c r="CN249" s="47">
        <f t="shared" ca="1" si="529"/>
        <v>12730507.805675907</v>
      </c>
      <c r="CO249" s="47">
        <f t="shared" ca="1" si="529"/>
        <v>11944376.135893069</v>
      </c>
      <c r="CP249" s="47">
        <f t="shared" ca="1" si="529"/>
        <v>21458188.463417921</v>
      </c>
      <c r="CQ249" s="47">
        <f t="shared" ca="1" si="529"/>
        <v>21098466.123817451</v>
      </c>
      <c r="CR249" s="47">
        <f t="shared" ca="1" si="529"/>
        <v>20744689.104670681</v>
      </c>
      <c r="CS249" s="47">
        <f t="shared" ca="1" si="529"/>
        <v>20397216.641729295</v>
      </c>
      <c r="CT249" s="47">
        <f t="shared" ca="1" si="529"/>
        <v>20055577.110836323</v>
      </c>
      <c r="CU249" s="47">
        <f t="shared" ca="1" si="529"/>
        <v>19719255.490976769</v>
      </c>
      <c r="CV249" s="47">
        <f t="shared" ca="1" si="529"/>
        <v>19203524.006850842</v>
      </c>
      <c r="CW249" s="47">
        <f t="shared" ca="1" si="529"/>
        <v>18693456.285631124</v>
      </c>
      <c r="CX249" s="47">
        <f t="shared" ca="1" si="529"/>
        <v>18188956.221778341</v>
      </c>
      <c r="CY249" s="47">
        <f t="shared" ca="1" si="529"/>
        <v>17689939.320078131</v>
      </c>
      <c r="CZ249" s="47">
        <f t="shared" ca="1" si="529"/>
        <v>17196314.240808185</v>
      </c>
      <c r="DA249" s="47">
        <f t="shared" ca="1" si="529"/>
        <v>16707983.451476036</v>
      </c>
      <c r="DB249" s="47">
        <f t="shared" ref="DB249:DY249" ca="1" si="530">+DB241</f>
        <v>26054851.986047857</v>
      </c>
      <c r="DC249" s="47">
        <f t="shared" ca="1" si="530"/>
        <v>25526835.473172262</v>
      </c>
      <c r="DD249" s="47">
        <f t="shared" ca="1" si="530"/>
        <v>25003850.772671398</v>
      </c>
      <c r="DE249" s="47">
        <f t="shared" ca="1" si="530"/>
        <v>24485814.190098368</v>
      </c>
      <c r="DF249" s="47">
        <f t="shared" ca="1" si="530"/>
        <v>23972641.454034489</v>
      </c>
      <c r="DG249" s="47">
        <f t="shared" ca="1" si="530"/>
        <v>23464247.693057548</v>
      </c>
      <c r="DH249" s="47">
        <f t="shared" ca="1" si="530"/>
        <v>22776288.153113823</v>
      </c>
      <c r="DI249" s="47">
        <f t="shared" ca="1" si="530"/>
        <v>22093861.877507936</v>
      </c>
      <c r="DJ249" s="47">
        <f t="shared" ca="1" si="530"/>
        <v>21416882.053205993</v>
      </c>
      <c r="DK249" s="47">
        <f t="shared" ca="1" si="530"/>
        <v>20745361.04207259</v>
      </c>
      <c r="DL249" s="47">
        <f t="shared" ca="1" si="530"/>
        <v>20079212.612551853</v>
      </c>
      <c r="DM249" s="47">
        <f t="shared" ca="1" si="530"/>
        <v>19418349.827443976</v>
      </c>
      <c r="DN249" s="47">
        <f t="shared" ca="1" si="530"/>
        <v>31762816.985016771</v>
      </c>
      <c r="DO249" s="47">
        <f t="shared" ca="1" si="530"/>
        <v>31267356.30602112</v>
      </c>
      <c r="DP249" s="47">
        <f t="shared" ca="1" si="530"/>
        <v>30775931.985216778</v>
      </c>
      <c r="DQ249" s="47">
        <f t="shared" ca="1" si="530"/>
        <v>30288507.959092878</v>
      </c>
      <c r="DR249" s="47">
        <f t="shared" ca="1" si="530"/>
        <v>29805047.895689417</v>
      </c>
      <c r="DS249" s="47">
        <f t="shared" ca="1" si="530"/>
        <v>29325515.184272416</v>
      </c>
      <c r="DT249" s="47">
        <f t="shared" ca="1" si="530"/>
        <v>28610335.88782233</v>
      </c>
      <c r="DU249" s="47">
        <f t="shared" ca="1" si="530"/>
        <v>27900213.547220763</v>
      </c>
      <c r="DV249" s="47">
        <f t="shared" ca="1" si="530"/>
        <v>27195110.651946638</v>
      </c>
      <c r="DW249" s="47">
        <f t="shared" ca="1" si="530"/>
        <v>26495067.066345721</v>
      </c>
      <c r="DX249" s="47">
        <f t="shared" ca="1" si="530"/>
        <v>25800046.179498501</v>
      </c>
      <c r="DY249" s="47">
        <f t="shared" ca="1" si="530"/>
        <v>25110011.067564227</v>
      </c>
    </row>
    <row r="250" spans="1:129" s="19" customFormat="1" outlineLevel="1">
      <c r="A250" s="20"/>
      <c r="B250" s="14"/>
      <c r="C250" s="14"/>
      <c r="D250" s="5" t="s">
        <v>96</v>
      </c>
      <c r="E250" s="30"/>
      <c r="F250" s="5" t="s">
        <v>164</v>
      </c>
      <c r="H250" s="195"/>
      <c r="I250" s="440">
        <f>'Model Assumptions'!F119</f>
        <v>650000</v>
      </c>
      <c r="J250" s="47">
        <f ca="1">+I250-_cfStockExpenses+_TotalCOGSCash</f>
        <v>1007742.5666160197</v>
      </c>
      <c r="K250" s="47">
        <f ca="1">+J250-_cfStockExpenses+_TotalCOGSCash</f>
        <v>1363697.4584366772</v>
      </c>
      <c r="L250" s="47">
        <f ca="1">+K250-_cfStockExpenses+_TotalCOGSCash</f>
        <v>1717341.9662293983</v>
      </c>
      <c r="M250" s="47">
        <f t="shared" ref="M250:Y250" ca="1" si="531">+L250-_cfStockExpenses+_TotalCOGSCash</f>
        <v>2068147.7961343224</v>
      </c>
      <c r="N250" s="47">
        <f t="shared" ca="1" si="531"/>
        <v>2415580.9092761865</v>
      </c>
      <c r="O250" s="47">
        <f t="shared" ca="1" si="531"/>
        <v>2759101.3586553968</v>
      </c>
      <c r="P250" s="47">
        <f t="shared" ca="1" si="531"/>
        <v>3098163.1232590098</v>
      </c>
      <c r="Q250" s="47">
        <f t="shared" ca="1" si="531"/>
        <v>3432213.9393312018</v>
      </c>
      <c r="R250" s="47">
        <f t="shared" ca="1" si="531"/>
        <v>3760695.128741635</v>
      </c>
      <c r="S250" s="47">
        <f t="shared" ca="1" si="531"/>
        <v>4092108.9571099412</v>
      </c>
      <c r="T250" s="47">
        <f t="shared" ca="1" si="531"/>
        <v>4417525.8576180022</v>
      </c>
      <c r="U250" s="47">
        <f t="shared" ca="1" si="531"/>
        <v>4736381.0492444048</v>
      </c>
      <c r="V250" s="47">
        <f ca="1">+U250-_cfStockExpenses+_TotalCOGSCash</f>
        <v>5060723.5894100983</v>
      </c>
      <c r="W250" s="47">
        <f t="shared" ca="1" si="531"/>
        <v>5385055.8243155144</v>
      </c>
      <c r="X250" s="95">
        <f t="shared" ca="1" si="531"/>
        <v>5709284.4535998348</v>
      </c>
      <c r="Y250" s="95">
        <f t="shared" ca="1" si="531"/>
        <v>6033315.2418375779</v>
      </c>
      <c r="Z250" s="95">
        <f t="shared" ref="Z250:AV250" ca="1" si="532">+Y250-_cfStockExpenses+_TotalCOGSCash</f>
        <v>6357052.990527885</v>
      </c>
      <c r="AA250" s="95">
        <f ca="1">+Z250-_cfStockExpenses+_TotalCOGSCash</f>
        <v>6680401.5096166795</v>
      </c>
      <c r="AB250" s="95">
        <f t="shared" ca="1" si="532"/>
        <v>7003263.5885414341</v>
      </c>
      <c r="AC250" s="95">
        <f ca="1">+AB250-_cfStockExpenses+_TotalCOGSCash</f>
        <v>7325540.9667880759</v>
      </c>
      <c r="AD250" s="95">
        <f t="shared" ca="1" si="532"/>
        <v>7647134.3039493589</v>
      </c>
      <c r="AE250" s="95">
        <f ca="1">+AD250-_cfStockExpenses+_TotalCOGSCash</f>
        <v>7980628.0188894644</v>
      </c>
      <c r="AF250" s="95">
        <f ca="1">+AE250-_cfStockExpenses+_TotalCOGSCash</f>
        <v>8313687.4585402412</v>
      </c>
      <c r="AG250" s="95">
        <f ca="1">+AF250-_cfStockExpenses+_TotalCOGSCash</f>
        <v>8646218.8941877559</v>
      </c>
      <c r="AH250" s="95">
        <f t="shared" ca="1" si="532"/>
        <v>8991408.0134750344</v>
      </c>
      <c r="AI250" s="95">
        <f t="shared" ca="1" si="532"/>
        <v>9341584.9379454535</v>
      </c>
      <c r="AJ250" s="95">
        <f t="shared" ca="1" si="532"/>
        <v>9696809.9585655052</v>
      </c>
      <c r="AK250" s="95">
        <f ca="1">+AJ250-_cfStockExpenses+_TotalCOGSCash</f>
        <v>10064555.234852215</v>
      </c>
      <c r="AL250" s="95">
        <f t="shared" ca="1" si="532"/>
        <v>10437761.349019144</v>
      </c>
      <c r="AM250" s="95">
        <f ca="1">+AL250-_cfStockExpenses+_TotalCOGSCash</f>
        <v>10816499.224840762</v>
      </c>
      <c r="AN250" s="95">
        <f t="shared" ca="1" si="532"/>
        <v>11203064.667920815</v>
      </c>
      <c r="AO250" s="95">
        <f t="shared" ca="1" si="532"/>
        <v>11597756.267126286</v>
      </c>
      <c r="AP250" s="95">
        <f t="shared" ca="1" si="532"/>
        <v>12000720.106034918</v>
      </c>
      <c r="AQ250" s="95">
        <f t="shared" ca="1" si="532"/>
        <v>12412176.59591395</v>
      </c>
      <c r="AR250" s="95">
        <f t="shared" ca="1" si="532"/>
        <v>12832212.389241679</v>
      </c>
      <c r="AS250" s="95">
        <f t="shared" ca="1" si="532"/>
        <v>13260983.120813228</v>
      </c>
      <c r="AT250" s="95">
        <f t="shared" ca="1" si="532"/>
        <v>13709273.160432538</v>
      </c>
      <c r="AU250" s="95">
        <f t="shared" ca="1" si="532"/>
        <v>14166887.044027684</v>
      </c>
      <c r="AV250" s="95">
        <f t="shared" ca="1" si="532"/>
        <v>14633998.511223769</v>
      </c>
      <c r="AW250" s="95">
        <f ca="1">+AV250-_cfStockExpenses+_TotalCOGSCash</f>
        <v>15110784.903810939</v>
      </c>
      <c r="AX250" s="95">
        <f t="shared" ref="AX250:CC250" ca="1" si="533">+AW250-_cfStockExpenses+_TotalCOGSCash</f>
        <v>15597427.236513967</v>
      </c>
      <c r="AY250" s="95">
        <f t="shared" ca="1" si="533"/>
        <v>16094110.269189946</v>
      </c>
      <c r="AZ250" s="47">
        <f t="shared" ca="1" si="533"/>
        <v>16601022.58048257</v>
      </c>
      <c r="BA250" s="47">
        <f t="shared" ca="1" si="533"/>
        <v>17118356.64296196</v>
      </c>
      <c r="BB250" s="47">
        <f t="shared" ca="1" si="533"/>
        <v>17646308.899779662</v>
      </c>
      <c r="BC250" s="47">
        <f t="shared" ca="1" si="533"/>
        <v>18186019.632599797</v>
      </c>
      <c r="BD250" s="47">
        <f t="shared" ca="1" si="533"/>
        <v>18736784.719720319</v>
      </c>
      <c r="BE250" s="47">
        <f t="shared" ca="1" si="533"/>
        <v>19298813.612525642</v>
      </c>
      <c r="BF250" s="47">
        <f t="shared" ca="1" si="533"/>
        <v>19872674.856965061</v>
      </c>
      <c r="BG250" s="47">
        <f t="shared" ca="1" si="533"/>
        <v>20458611.796706274</v>
      </c>
      <c r="BH250" s="47">
        <f t="shared" ca="1" si="533"/>
        <v>21056855.879640184</v>
      </c>
      <c r="BI250" s="47">
        <f t="shared" ca="1" si="533"/>
        <v>21667643.283275679</v>
      </c>
      <c r="BJ250" s="47">
        <f t="shared" ca="1" si="533"/>
        <v>22291215.008325364</v>
      </c>
      <c r="BK250" s="47">
        <f t="shared" ca="1" si="533"/>
        <v>22927816.974173114</v>
      </c>
      <c r="BL250" s="47">
        <f t="shared" ca="1" si="533"/>
        <v>23577700.116260923</v>
      </c>
      <c r="BM250" s="47">
        <f t="shared" ca="1" si="533"/>
        <v>24241120.485433366</v>
      </c>
      <c r="BN250" s="47">
        <f t="shared" ca="1" si="533"/>
        <v>24918339.349278715</v>
      </c>
      <c r="BO250" s="47">
        <f t="shared" ca="1" si="533"/>
        <v>25555384.520681124</v>
      </c>
      <c r="BP250" s="47">
        <f t="shared" ca="1" si="533"/>
        <v>26150904.863604814</v>
      </c>
      <c r="BQ250" s="47">
        <f t="shared" ca="1" si="533"/>
        <v>26704060.686001778</v>
      </c>
      <c r="BR250" s="47">
        <f t="shared" ca="1" si="533"/>
        <v>27217992.849418584</v>
      </c>
      <c r="BS250" s="47">
        <f t="shared" ca="1" si="533"/>
        <v>27695222.345893472</v>
      </c>
      <c r="BT250" s="47">
        <f t="shared" ca="1" si="533"/>
        <v>28138277.841924421</v>
      </c>
      <c r="BU250" s="47">
        <f t="shared" ca="1" si="533"/>
        <v>28549705.950140998</v>
      </c>
      <c r="BV250" s="47">
        <f t="shared" ca="1" si="533"/>
        <v>28932071.914498981</v>
      </c>
      <c r="BW250" s="47">
        <f t="shared" ca="1" si="533"/>
        <v>29287960.305916142</v>
      </c>
      <c r="BX250" s="47">
        <f t="shared" ca="1" si="533"/>
        <v>29619975.72859066</v>
      </c>
      <c r="BY250" s="47">
        <f t="shared" ca="1" si="533"/>
        <v>29930743.537248105</v>
      </c>
      <c r="BZ250" s="47">
        <f t="shared" ca="1" si="533"/>
        <v>30222910.565567553</v>
      </c>
      <c r="CA250" s="47">
        <f ca="1">+BZ250-_cfStockExpenses+_TotalCOGSCash</f>
        <v>30496935.403264895</v>
      </c>
      <c r="CB250" s="47">
        <f t="shared" ca="1" si="533"/>
        <v>30755393.409803938</v>
      </c>
      <c r="CC250" s="47">
        <f t="shared" ca="1" si="533"/>
        <v>31000953.799406152</v>
      </c>
      <c r="CD250" s="47">
        <f t="shared" ref="CD250:DY250" ca="1" si="534">+CC250-_cfStockExpenses+_TotalCOGSCash</f>
        <v>31234624.015077833</v>
      </c>
      <c r="CE250" s="47">
        <f t="shared" ca="1" si="534"/>
        <v>31457352.018578075</v>
      </c>
      <c r="CF250" s="47">
        <f t="shared" ca="1" si="534"/>
        <v>31670091.569074225</v>
      </c>
      <c r="CG250" s="47">
        <f t="shared" ca="1" si="534"/>
        <v>31873803.774882864</v>
      </c>
      <c r="CH250" s="47">
        <f t="shared" ca="1" si="534"/>
        <v>32069457.357713141</v>
      </c>
      <c r="CI250" s="47">
        <f t="shared" ca="1" si="534"/>
        <v>32258028.921022352</v>
      </c>
      <c r="CJ250" s="47">
        <f t="shared" ca="1" si="534"/>
        <v>32440503.222577777</v>
      </c>
      <c r="CK250" s="47">
        <f t="shared" ca="1" si="534"/>
        <v>32617873.451320462</v>
      </c>
      <c r="CL250" s="47">
        <f t="shared" ca="1" si="534"/>
        <v>32791141.508628506</v>
      </c>
      <c r="CM250" s="47">
        <f t="shared" ca="1" si="534"/>
        <v>32959864.967128709</v>
      </c>
      <c r="CN250" s="47">
        <f t="shared" ca="1" si="534"/>
        <v>33125034.944279574</v>
      </c>
      <c r="CO250" s="47">
        <f t="shared" ca="1" si="534"/>
        <v>33287651.56389432</v>
      </c>
      <c r="CP250" s="47">
        <f t="shared" ca="1" si="534"/>
        <v>33448103.330376692</v>
      </c>
      <c r="CQ250" s="47">
        <f t="shared" ca="1" si="534"/>
        <v>33606755.959511884</v>
      </c>
      <c r="CR250" s="47">
        <f t="shared" ca="1" si="534"/>
        <v>33763978.391197786</v>
      </c>
      <c r="CS250" s="47">
        <f t="shared" ca="1" si="534"/>
        <v>33919259.186133832</v>
      </c>
      <c r="CT250" s="47">
        <f t="shared" ca="1" si="534"/>
        <v>34072916.591726676</v>
      </c>
      <c r="CU250" s="47">
        <f t="shared" ca="1" si="534"/>
        <v>34225311.036226794</v>
      </c>
      <c r="CV250" s="47">
        <f t="shared" ca="1" si="534"/>
        <v>34376541.114858337</v>
      </c>
      <c r="CW250" s="47">
        <f t="shared" ca="1" si="534"/>
        <v>34526678.314084835</v>
      </c>
      <c r="CX250" s="47">
        <f t="shared" ca="1" si="534"/>
        <v>34675793.886239536</v>
      </c>
      <c r="CY250" s="47">
        <f t="shared" ca="1" si="534"/>
        <v>34823947.396504387</v>
      </c>
      <c r="CZ250" s="47">
        <f t="shared" ca="1" si="534"/>
        <v>34971205.171415582</v>
      </c>
      <c r="DA250" s="47">
        <f t="shared" ca="1" si="534"/>
        <v>35117639.640729606</v>
      </c>
      <c r="DB250" s="47">
        <f t="shared" ca="1" si="534"/>
        <v>35263312.48268602</v>
      </c>
      <c r="DC250" s="47">
        <f t="shared" ca="1" si="534"/>
        <v>35408283.474775746</v>
      </c>
      <c r="DD250" s="47">
        <f t="shared" ca="1" si="534"/>
        <v>35552612.737532474</v>
      </c>
      <c r="DE250" s="47">
        <f t="shared" ca="1" si="534"/>
        <v>35696360.852325261</v>
      </c>
      <c r="DF250" s="47">
        <f t="shared" ca="1" si="534"/>
        <v>35839588.877990991</v>
      </c>
      <c r="DG250" s="47">
        <f t="shared" ca="1" si="534"/>
        <v>35982358.367725313</v>
      </c>
      <c r="DH250" s="47">
        <f t="shared" ca="1" si="534"/>
        <v>36124731.386238009</v>
      </c>
      <c r="DI250" s="47">
        <f t="shared" ca="1" si="534"/>
        <v>36266770.527178779</v>
      </c>
      <c r="DJ250" s="47">
        <f t="shared" ca="1" si="534"/>
        <v>36408538.930839576</v>
      </c>
      <c r="DK250" s="47">
        <f t="shared" ca="1" si="534"/>
        <v>36550000.431658894</v>
      </c>
      <c r="DL250" s="47">
        <f t="shared" ca="1" si="534"/>
        <v>36691217.320015676</v>
      </c>
      <c r="DM250" s="47">
        <f t="shared" ca="1" si="534"/>
        <v>36832252.447844297</v>
      </c>
      <c r="DN250" s="47">
        <f t="shared" ca="1" si="534"/>
        <v>36973131.198818952</v>
      </c>
      <c r="DO250" s="47">
        <f t="shared" ca="1" si="534"/>
        <v>37113877.376405418</v>
      </c>
      <c r="DP250" s="47">
        <f t="shared" ca="1" si="534"/>
        <v>37254514.990828194</v>
      </c>
      <c r="DQ250" s="47">
        <f t="shared" ca="1" si="534"/>
        <v>37395068.265899315</v>
      </c>
      <c r="DR250" s="47">
        <f t="shared" ca="1" si="534"/>
        <v>37535561.645956323</v>
      </c>
      <c r="DS250" s="47">
        <f t="shared" ca="1" si="534"/>
        <v>37676019.802912258</v>
      </c>
      <c r="DT250" s="47">
        <f t="shared" ca="1" si="534"/>
        <v>37816467.643420294</v>
      </c>
      <c r="DU250" s="47">
        <f t="shared" ca="1" si="534"/>
        <v>37956930.316155508</v>
      </c>
      <c r="DV250" s="47">
        <f t="shared" ca="1" si="534"/>
        <v>38097433.219216444</v>
      </c>
      <c r="DW250" s="47">
        <f t="shared" ca="1" si="534"/>
        <v>38237924.311173908</v>
      </c>
      <c r="DX250" s="47">
        <f t="shared" ca="1" si="534"/>
        <v>38378427.957740888</v>
      </c>
      <c r="DY250" s="47">
        <f t="shared" ca="1" si="534"/>
        <v>38518968.765925296</v>
      </c>
    </row>
    <row r="251" spans="1:129" s="19" customFormat="1" outlineLevel="1">
      <c r="A251" s="20"/>
      <c r="B251" s="14"/>
      <c r="C251" s="14"/>
      <c r="D251" s="5" t="s">
        <v>97</v>
      </c>
      <c r="E251" s="30"/>
      <c r="F251" s="5" t="s">
        <v>165</v>
      </c>
      <c r="G251" s="432" t="s">
        <v>655</v>
      </c>
      <c r="H251" s="195"/>
      <c r="I251" s="440">
        <f>'Model Assumptions'!F120</f>
        <v>0</v>
      </c>
      <c r="J251" s="152">
        <f>I251</f>
        <v>0</v>
      </c>
      <c r="K251" s="152">
        <f t="shared" ref="K251:BV251" si="535">J251</f>
        <v>0</v>
      </c>
      <c r="L251" s="152">
        <f t="shared" si="535"/>
        <v>0</v>
      </c>
      <c r="M251" s="152">
        <f t="shared" si="535"/>
        <v>0</v>
      </c>
      <c r="N251" s="152">
        <f t="shared" si="535"/>
        <v>0</v>
      </c>
      <c r="O251" s="152">
        <f t="shared" si="535"/>
        <v>0</v>
      </c>
      <c r="P251" s="152">
        <f t="shared" si="535"/>
        <v>0</v>
      </c>
      <c r="Q251" s="152">
        <f t="shared" si="535"/>
        <v>0</v>
      </c>
      <c r="R251" s="152">
        <f t="shared" si="535"/>
        <v>0</v>
      </c>
      <c r="S251" s="152">
        <f t="shared" si="535"/>
        <v>0</v>
      </c>
      <c r="T251" s="152">
        <f t="shared" si="535"/>
        <v>0</v>
      </c>
      <c r="U251" s="152">
        <f t="shared" si="535"/>
        <v>0</v>
      </c>
      <c r="V251" s="152">
        <f t="shared" si="535"/>
        <v>0</v>
      </c>
      <c r="W251" s="152">
        <f t="shared" si="535"/>
        <v>0</v>
      </c>
      <c r="X251" s="152">
        <f t="shared" si="535"/>
        <v>0</v>
      </c>
      <c r="Y251" s="152">
        <f t="shared" si="535"/>
        <v>0</v>
      </c>
      <c r="Z251" s="152">
        <f t="shared" si="535"/>
        <v>0</v>
      </c>
      <c r="AA251" s="152">
        <f t="shared" si="535"/>
        <v>0</v>
      </c>
      <c r="AB251" s="152">
        <f t="shared" si="535"/>
        <v>0</v>
      </c>
      <c r="AC251" s="152">
        <f t="shared" si="535"/>
        <v>0</v>
      </c>
      <c r="AD251" s="152">
        <f t="shared" si="535"/>
        <v>0</v>
      </c>
      <c r="AE251" s="152">
        <f t="shared" si="535"/>
        <v>0</v>
      </c>
      <c r="AF251" s="152">
        <f t="shared" si="535"/>
        <v>0</v>
      </c>
      <c r="AG251" s="152">
        <f t="shared" si="535"/>
        <v>0</v>
      </c>
      <c r="AH251" s="152">
        <f t="shared" si="535"/>
        <v>0</v>
      </c>
      <c r="AI251" s="152">
        <f t="shared" si="535"/>
        <v>0</v>
      </c>
      <c r="AJ251" s="152">
        <f t="shared" si="535"/>
        <v>0</v>
      </c>
      <c r="AK251" s="152">
        <f t="shared" si="535"/>
        <v>0</v>
      </c>
      <c r="AL251" s="152">
        <f t="shared" si="535"/>
        <v>0</v>
      </c>
      <c r="AM251" s="152">
        <f t="shared" si="535"/>
        <v>0</v>
      </c>
      <c r="AN251" s="152">
        <f t="shared" si="535"/>
        <v>0</v>
      </c>
      <c r="AO251" s="152">
        <f t="shared" si="535"/>
        <v>0</v>
      </c>
      <c r="AP251" s="152">
        <f t="shared" si="535"/>
        <v>0</v>
      </c>
      <c r="AQ251" s="152">
        <f t="shared" si="535"/>
        <v>0</v>
      </c>
      <c r="AR251" s="152">
        <f t="shared" si="535"/>
        <v>0</v>
      </c>
      <c r="AS251" s="152">
        <f t="shared" si="535"/>
        <v>0</v>
      </c>
      <c r="AT251" s="152">
        <f t="shared" si="535"/>
        <v>0</v>
      </c>
      <c r="AU251" s="152">
        <f t="shared" si="535"/>
        <v>0</v>
      </c>
      <c r="AV251" s="152">
        <f t="shared" si="535"/>
        <v>0</v>
      </c>
      <c r="AW251" s="152">
        <f t="shared" si="535"/>
        <v>0</v>
      </c>
      <c r="AX251" s="152">
        <f t="shared" si="535"/>
        <v>0</v>
      </c>
      <c r="AY251" s="152">
        <f t="shared" si="535"/>
        <v>0</v>
      </c>
      <c r="AZ251" s="152">
        <f t="shared" si="535"/>
        <v>0</v>
      </c>
      <c r="BA251" s="152">
        <f t="shared" si="535"/>
        <v>0</v>
      </c>
      <c r="BB251" s="152">
        <f t="shared" si="535"/>
        <v>0</v>
      </c>
      <c r="BC251" s="152">
        <f t="shared" si="535"/>
        <v>0</v>
      </c>
      <c r="BD251" s="152">
        <f t="shared" si="535"/>
        <v>0</v>
      </c>
      <c r="BE251" s="152">
        <f t="shared" si="535"/>
        <v>0</v>
      </c>
      <c r="BF251" s="152">
        <f t="shared" si="535"/>
        <v>0</v>
      </c>
      <c r="BG251" s="152">
        <f t="shared" si="535"/>
        <v>0</v>
      </c>
      <c r="BH251" s="152">
        <f t="shared" si="535"/>
        <v>0</v>
      </c>
      <c r="BI251" s="152">
        <f t="shared" si="535"/>
        <v>0</v>
      </c>
      <c r="BJ251" s="152">
        <f t="shared" si="535"/>
        <v>0</v>
      </c>
      <c r="BK251" s="152">
        <f t="shared" si="535"/>
        <v>0</v>
      </c>
      <c r="BL251" s="152">
        <f t="shared" si="535"/>
        <v>0</v>
      </c>
      <c r="BM251" s="152">
        <f t="shared" si="535"/>
        <v>0</v>
      </c>
      <c r="BN251" s="152">
        <f t="shared" si="535"/>
        <v>0</v>
      </c>
      <c r="BO251" s="152">
        <f t="shared" si="535"/>
        <v>0</v>
      </c>
      <c r="BP251" s="152">
        <f t="shared" si="535"/>
        <v>0</v>
      </c>
      <c r="BQ251" s="152">
        <f t="shared" si="535"/>
        <v>0</v>
      </c>
      <c r="BR251" s="152">
        <f t="shared" si="535"/>
        <v>0</v>
      </c>
      <c r="BS251" s="152">
        <f t="shared" si="535"/>
        <v>0</v>
      </c>
      <c r="BT251" s="152">
        <f t="shared" si="535"/>
        <v>0</v>
      </c>
      <c r="BU251" s="152">
        <f t="shared" si="535"/>
        <v>0</v>
      </c>
      <c r="BV251" s="152">
        <f t="shared" si="535"/>
        <v>0</v>
      </c>
      <c r="BW251" s="152">
        <f t="shared" ref="BW251:DY251" si="536">BV251</f>
        <v>0</v>
      </c>
      <c r="BX251" s="152">
        <f t="shared" si="536"/>
        <v>0</v>
      </c>
      <c r="BY251" s="152">
        <f t="shared" si="536"/>
        <v>0</v>
      </c>
      <c r="BZ251" s="152">
        <f t="shared" si="536"/>
        <v>0</v>
      </c>
      <c r="CA251" s="152">
        <f t="shared" si="536"/>
        <v>0</v>
      </c>
      <c r="CB251" s="152">
        <f t="shared" si="536"/>
        <v>0</v>
      </c>
      <c r="CC251" s="152">
        <f t="shared" si="536"/>
        <v>0</v>
      </c>
      <c r="CD251" s="152">
        <f t="shared" si="536"/>
        <v>0</v>
      </c>
      <c r="CE251" s="152">
        <f t="shared" si="536"/>
        <v>0</v>
      </c>
      <c r="CF251" s="152">
        <f t="shared" si="536"/>
        <v>0</v>
      </c>
      <c r="CG251" s="152">
        <f t="shared" si="536"/>
        <v>0</v>
      </c>
      <c r="CH251" s="152">
        <f t="shared" si="536"/>
        <v>0</v>
      </c>
      <c r="CI251" s="152">
        <f t="shared" si="536"/>
        <v>0</v>
      </c>
      <c r="CJ251" s="152">
        <f t="shared" si="536"/>
        <v>0</v>
      </c>
      <c r="CK251" s="152">
        <f t="shared" si="536"/>
        <v>0</v>
      </c>
      <c r="CL251" s="152">
        <f t="shared" si="536"/>
        <v>0</v>
      </c>
      <c r="CM251" s="152">
        <f t="shared" si="536"/>
        <v>0</v>
      </c>
      <c r="CN251" s="152">
        <f t="shared" si="536"/>
        <v>0</v>
      </c>
      <c r="CO251" s="152">
        <f t="shared" si="536"/>
        <v>0</v>
      </c>
      <c r="CP251" s="152">
        <f t="shared" si="536"/>
        <v>0</v>
      </c>
      <c r="CQ251" s="152">
        <f t="shared" si="536"/>
        <v>0</v>
      </c>
      <c r="CR251" s="152">
        <f t="shared" si="536"/>
        <v>0</v>
      </c>
      <c r="CS251" s="152">
        <f t="shared" si="536"/>
        <v>0</v>
      </c>
      <c r="CT251" s="152">
        <f t="shared" si="536"/>
        <v>0</v>
      </c>
      <c r="CU251" s="152">
        <f t="shared" si="536"/>
        <v>0</v>
      </c>
      <c r="CV251" s="152">
        <f t="shared" si="536"/>
        <v>0</v>
      </c>
      <c r="CW251" s="152">
        <f t="shared" si="536"/>
        <v>0</v>
      </c>
      <c r="CX251" s="152">
        <f t="shared" si="536"/>
        <v>0</v>
      </c>
      <c r="CY251" s="152">
        <f t="shared" si="536"/>
        <v>0</v>
      </c>
      <c r="CZ251" s="152">
        <f t="shared" si="536"/>
        <v>0</v>
      </c>
      <c r="DA251" s="152">
        <f t="shared" si="536"/>
        <v>0</v>
      </c>
      <c r="DB251" s="152">
        <f t="shared" si="536"/>
        <v>0</v>
      </c>
      <c r="DC251" s="152">
        <f t="shared" si="536"/>
        <v>0</v>
      </c>
      <c r="DD251" s="152">
        <f t="shared" si="536"/>
        <v>0</v>
      </c>
      <c r="DE251" s="152">
        <f t="shared" si="536"/>
        <v>0</v>
      </c>
      <c r="DF251" s="152">
        <f t="shared" si="536"/>
        <v>0</v>
      </c>
      <c r="DG251" s="152">
        <f t="shared" si="536"/>
        <v>0</v>
      </c>
      <c r="DH251" s="152">
        <f t="shared" si="536"/>
        <v>0</v>
      </c>
      <c r="DI251" s="152">
        <f t="shared" si="536"/>
        <v>0</v>
      </c>
      <c r="DJ251" s="152">
        <f t="shared" si="536"/>
        <v>0</v>
      </c>
      <c r="DK251" s="152">
        <f t="shared" si="536"/>
        <v>0</v>
      </c>
      <c r="DL251" s="152">
        <f t="shared" si="536"/>
        <v>0</v>
      </c>
      <c r="DM251" s="152">
        <f t="shared" si="536"/>
        <v>0</v>
      </c>
      <c r="DN251" s="152">
        <f t="shared" si="536"/>
        <v>0</v>
      </c>
      <c r="DO251" s="152">
        <f t="shared" si="536"/>
        <v>0</v>
      </c>
      <c r="DP251" s="152">
        <f t="shared" si="536"/>
        <v>0</v>
      </c>
      <c r="DQ251" s="152">
        <f t="shared" si="536"/>
        <v>0</v>
      </c>
      <c r="DR251" s="152">
        <f t="shared" si="536"/>
        <v>0</v>
      </c>
      <c r="DS251" s="152">
        <f t="shared" si="536"/>
        <v>0</v>
      </c>
      <c r="DT251" s="152">
        <f t="shared" si="536"/>
        <v>0</v>
      </c>
      <c r="DU251" s="152">
        <f t="shared" si="536"/>
        <v>0</v>
      </c>
      <c r="DV251" s="152">
        <f t="shared" si="536"/>
        <v>0</v>
      </c>
      <c r="DW251" s="152">
        <f t="shared" si="536"/>
        <v>0</v>
      </c>
      <c r="DX251" s="152">
        <f t="shared" si="536"/>
        <v>0</v>
      </c>
      <c r="DY251" s="152">
        <f t="shared" si="536"/>
        <v>0</v>
      </c>
    </row>
    <row r="252" spans="1:129" outlineLevel="1">
      <c r="C252" s="87" t="s">
        <v>112</v>
      </c>
      <c r="D252" s="55"/>
      <c r="E252" s="55"/>
      <c r="F252" s="55" t="s">
        <v>168</v>
      </c>
      <c r="G252" s="196"/>
      <c r="H252" s="196"/>
      <c r="I252" s="441"/>
      <c r="J252" s="88">
        <f t="shared" ref="J252:AO252" ca="1" si="537">SUM(J249:J251)</f>
        <v>18615369.490835838</v>
      </c>
      <c r="K252" s="88">
        <f t="shared" ca="1" si="537"/>
        <v>18262704.642045416</v>
      </c>
      <c r="L252" s="88">
        <f t="shared" ca="1" si="537"/>
        <v>17918464.068208937</v>
      </c>
      <c r="M252" s="88">
        <f t="shared" ca="1" si="537"/>
        <v>17582975.786361594</v>
      </c>
      <c r="N252" s="88">
        <f t="shared" ca="1" si="537"/>
        <v>17256572.778563924</v>
      </c>
      <c r="O252" s="88">
        <f t="shared" ca="1" si="537"/>
        <v>16939593.107155479</v>
      </c>
      <c r="P252" s="88">
        <f t="shared" ca="1" si="537"/>
        <v>16632380.032154001</v>
      </c>
      <c r="Q252" s="88">
        <f t="shared" ca="1" si="537"/>
        <v>16335282.130844695</v>
      </c>
      <c r="R252" s="88">
        <f t="shared" ca="1" si="537"/>
        <v>16048653.419604897</v>
      </c>
      <c r="S252" s="88">
        <f t="shared" ca="1" si="537"/>
        <v>15772853.478010457</v>
      </c>
      <c r="T252" s="88">
        <f t="shared" ca="1" si="537"/>
        <v>15508247.575270995</v>
      </c>
      <c r="U252" s="88">
        <f t="shared" ca="1" si="537"/>
        <v>15255206.799042158</v>
      </c>
      <c r="V252" s="88">
        <f t="shared" ca="1" si="537"/>
        <v>14615247.021589207</v>
      </c>
      <c r="W252" s="88">
        <f t="shared" ca="1" si="537"/>
        <v>13990703.719522679</v>
      </c>
      <c r="X252" s="88">
        <f t="shared" ca="1" si="537"/>
        <v>13381844.259233773</v>
      </c>
      <c r="Y252" s="88">
        <f t="shared" ca="1" si="537"/>
        <v>12788940.896017116</v>
      </c>
      <c r="Z252" s="88">
        <f t="shared" ca="1" si="537"/>
        <v>12212270.876433078</v>
      </c>
      <c r="AA252" s="88">
        <f t="shared" ca="1" si="537"/>
        <v>11652116.542671498</v>
      </c>
      <c r="AB252" s="88">
        <f t="shared" ca="1" si="537"/>
        <v>12904600.562956499</v>
      </c>
      <c r="AC252" s="88">
        <f t="shared" ca="1" si="537"/>
        <v>12367388.039218394</v>
      </c>
      <c r="AD252" s="88">
        <f t="shared" ca="1" si="537"/>
        <v>11840639.9784518</v>
      </c>
      <c r="AE252" s="88">
        <f t="shared" ca="1" si="537"/>
        <v>11324520.655993233</v>
      </c>
      <c r="AF252" s="88">
        <f t="shared" ca="1" si="537"/>
        <v>10819197.678432351</v>
      </c>
      <c r="AG252" s="88">
        <f t="shared" ca="1" si="537"/>
        <v>10324842.047838885</v>
      </c>
      <c r="AH252" s="88">
        <f t="shared" ca="1" si="537"/>
        <v>44192612.63127698</v>
      </c>
      <c r="AI252" s="88">
        <f t="shared" ca="1" si="537"/>
        <v>43577069.279844865</v>
      </c>
      <c r="AJ252" s="88">
        <f t="shared" ca="1" si="537"/>
        <v>42978484.432005644</v>
      </c>
      <c r="AK252" s="88">
        <f t="shared" ca="1" si="537"/>
        <v>42397135.719764486</v>
      </c>
      <c r="AL252" s="88">
        <f t="shared" ca="1" si="537"/>
        <v>41833306.075091802</v>
      </c>
      <c r="AM252" s="88">
        <f t="shared" ca="1" si="537"/>
        <v>41283959.515122995</v>
      </c>
      <c r="AN252" s="88">
        <f t="shared" ca="1" si="537"/>
        <v>40286524.239328966</v>
      </c>
      <c r="AO252" s="88">
        <f t="shared" ca="1" si="537"/>
        <v>39301379.047750078</v>
      </c>
      <c r="AP252" s="88">
        <f t="shared" ref="AP252:BU252" ca="1" si="538">SUM(AP249:AP251)</f>
        <v>38328661.649813287</v>
      </c>
      <c r="AQ252" s="88">
        <f t="shared" ca="1" si="538"/>
        <v>37368512.703046381</v>
      </c>
      <c r="AR252" s="88">
        <f t="shared" ca="1" si="538"/>
        <v>36421075.868487731</v>
      </c>
      <c r="AS252" s="88">
        <f t="shared" ca="1" si="538"/>
        <v>35486497.867266729</v>
      </c>
      <c r="AT252" s="88">
        <f t="shared" ca="1" si="538"/>
        <v>35038392.224954911</v>
      </c>
      <c r="AU252" s="88">
        <f t="shared" ca="1" si="538"/>
        <v>34601987.149044737</v>
      </c>
      <c r="AV252" s="88">
        <f t="shared" ca="1" si="538"/>
        <v>34177461.789955601</v>
      </c>
      <c r="AW252" s="88">
        <f t="shared" ca="1" si="538"/>
        <v>33764999.054263219</v>
      </c>
      <c r="AX252" s="88">
        <f t="shared" ca="1" si="538"/>
        <v>33364785.676632918</v>
      </c>
      <c r="AY252" s="88">
        <f t="shared" ca="1" si="538"/>
        <v>32977012.293247804</v>
      </c>
      <c r="AZ252" s="88">
        <f t="shared" ca="1" si="538"/>
        <v>32601873.516760692</v>
      </c>
      <c r="BA252" s="88">
        <f t="shared" ca="1" si="538"/>
        <v>32239568.012799405</v>
      </c>
      <c r="BB252" s="88">
        <f t="shared" ca="1" si="538"/>
        <v>31890298.578055501</v>
      </c>
      <c r="BC252" s="88">
        <f t="shared" ca="1" si="538"/>
        <v>31554272.219987221</v>
      </c>
      <c r="BD252" s="88">
        <f t="shared" ca="1" si="538"/>
        <v>31231700.238168031</v>
      </c>
      <c r="BE252" s="88">
        <f t="shared" ca="1" si="538"/>
        <v>30922798.307312757</v>
      </c>
      <c r="BF252" s="88">
        <f t="shared" ca="1" si="538"/>
        <v>42423946.873206049</v>
      </c>
      <c r="BG252" s="88">
        <f t="shared" ca="1" si="538"/>
        <v>42083088.097309083</v>
      </c>
      <c r="BH252" s="88">
        <f t="shared" ca="1" si="538"/>
        <v>41756448.458674639</v>
      </c>
      <c r="BI252" s="88">
        <f t="shared" ca="1" si="538"/>
        <v>41444259.10823454</v>
      </c>
      <c r="BJ252" s="88">
        <f t="shared" ca="1" si="538"/>
        <v>41146755.959622182</v>
      </c>
      <c r="BK252" s="88">
        <f t="shared" ca="1" si="538"/>
        <v>40864179.781857625</v>
      </c>
      <c r="BL252" s="88">
        <f t="shared" ca="1" si="538"/>
        <v>40375665.182820484</v>
      </c>
      <c r="BM252" s="88">
        <f t="shared" ca="1" si="538"/>
        <v>39903685.150214538</v>
      </c>
      <c r="BN252" s="88">
        <f t="shared" ca="1" si="538"/>
        <v>39448495.594506323</v>
      </c>
      <c r="BO252" s="88">
        <f t="shared" ca="1" si="538"/>
        <v>39010357.671654418</v>
      </c>
      <c r="BP252" s="88">
        <f t="shared" ca="1" si="538"/>
        <v>38589537.885668792</v>
      </c>
      <c r="BQ252" s="88">
        <f t="shared" ca="1" si="538"/>
        <v>38186308.193262815</v>
      </c>
      <c r="BR252" s="88">
        <f t="shared" ca="1" si="538"/>
        <v>47593084.52879452</v>
      </c>
      <c r="BS252" s="88">
        <f t="shared" ca="1" si="538"/>
        <v>47136901.851497576</v>
      </c>
      <c r="BT252" s="88">
        <f t="shared" ca="1" si="538"/>
        <v>46697189.673456468</v>
      </c>
      <c r="BU252" s="88">
        <f t="shared" ca="1" si="538"/>
        <v>46273374.583345607</v>
      </c>
      <c r="BV252" s="88">
        <f t="shared" ref="BV252:DA252" ca="1" si="539">SUM(BV249:BV251)</f>
        <v>45864880.102123365</v>
      </c>
      <c r="BW252" s="88">
        <f t="shared" ca="1" si="539"/>
        <v>45471126.536714643</v>
      </c>
      <c r="BX252" s="88">
        <f t="shared" ca="1" si="539"/>
        <v>44907271.572373353</v>
      </c>
      <c r="BY252" s="88">
        <f t="shared" ca="1" si="539"/>
        <v>44357913.825897031</v>
      </c>
      <c r="BZ252" s="88">
        <f t="shared" ca="1" si="539"/>
        <v>43822463.063346162</v>
      </c>
      <c r="CA252" s="88">
        <f t="shared" ca="1" si="539"/>
        <v>43300325.230364427</v>
      </c>
      <c r="CB252" s="88">
        <f t="shared" ca="1" si="539"/>
        <v>42790902.295046918</v>
      </c>
      <c r="CC252" s="88">
        <f t="shared" ca="1" si="539"/>
        <v>42293592.088487633</v>
      </c>
      <c r="CD252" s="88">
        <f t="shared" ca="1" si="539"/>
        <v>51636648.49616491</v>
      </c>
      <c r="CE252" s="88">
        <f t="shared" ca="1" si="539"/>
        <v>51109742.787641466</v>
      </c>
      <c r="CF252" s="88">
        <f t="shared" ca="1" si="539"/>
        <v>50592565.580212682</v>
      </c>
      <c r="CG252" s="88">
        <f t="shared" ca="1" si="539"/>
        <v>50084805.582333058</v>
      </c>
      <c r="CH252" s="88">
        <f t="shared" ca="1" si="539"/>
        <v>49586149.511854991</v>
      </c>
      <c r="CI252" s="88">
        <f t="shared" ca="1" si="539"/>
        <v>49096282.013081387</v>
      </c>
      <c r="CJ252" s="88">
        <f t="shared" ca="1" si="539"/>
        <v>48430626.313344419</v>
      </c>
      <c r="CK252" s="88">
        <f t="shared" ca="1" si="539"/>
        <v>47774047.841303878</v>
      </c>
      <c r="CL252" s="88">
        <f t="shared" ca="1" si="539"/>
        <v>47126224.510639049</v>
      </c>
      <c r="CM252" s="88">
        <f t="shared" ca="1" si="539"/>
        <v>46486831.817252591</v>
      </c>
      <c r="CN252" s="88">
        <f t="shared" ca="1" si="539"/>
        <v>45855542.749955483</v>
      </c>
      <c r="CO252" s="88">
        <f t="shared" ca="1" si="539"/>
        <v>45232027.699787393</v>
      </c>
      <c r="CP252" s="88">
        <f t="shared" ca="1" si="539"/>
        <v>54906291.793794617</v>
      </c>
      <c r="CQ252" s="88">
        <f t="shared" ca="1" si="539"/>
        <v>54705222.083329335</v>
      </c>
      <c r="CR252" s="88">
        <f t="shared" ca="1" si="539"/>
        <v>54508667.495868467</v>
      </c>
      <c r="CS252" s="88">
        <f t="shared" ca="1" si="539"/>
        <v>54316475.827863127</v>
      </c>
      <c r="CT252" s="88">
        <f t="shared" ca="1" si="539"/>
        <v>54128493.702563003</v>
      </c>
      <c r="CU252" s="88">
        <f t="shared" ca="1" si="539"/>
        <v>53944566.52720356</v>
      </c>
      <c r="CV252" s="88">
        <f t="shared" ca="1" si="539"/>
        <v>53580065.121709183</v>
      </c>
      <c r="CW252" s="88">
        <f t="shared" ca="1" si="539"/>
        <v>53220134.599715963</v>
      </c>
      <c r="CX252" s="88">
        <f t="shared" ca="1" si="539"/>
        <v>52864750.108017877</v>
      </c>
      <c r="CY252" s="88">
        <f t="shared" ca="1" si="539"/>
        <v>52513886.716582522</v>
      </c>
      <c r="CZ252" s="88">
        <f t="shared" ca="1" si="539"/>
        <v>52167519.412223771</v>
      </c>
      <c r="DA252" s="88">
        <f t="shared" ca="1" si="539"/>
        <v>51825623.092205644</v>
      </c>
      <c r="DB252" s="88">
        <f t="shared" ref="DB252:DY252" ca="1" si="540">SUM(DB249:DB251)</f>
        <v>61318164.468733877</v>
      </c>
      <c r="DC252" s="88">
        <f t="shared" ca="1" si="540"/>
        <v>60935118.947948009</v>
      </c>
      <c r="DD252" s="88">
        <f t="shared" ca="1" si="540"/>
        <v>60556463.510203868</v>
      </c>
      <c r="DE252" s="88">
        <f t="shared" ca="1" si="540"/>
        <v>60182175.042423628</v>
      </c>
      <c r="DF252" s="88">
        <f t="shared" ca="1" si="540"/>
        <v>59812230.332025483</v>
      </c>
      <c r="DG252" s="88">
        <f t="shared" ca="1" si="540"/>
        <v>59446606.060782865</v>
      </c>
      <c r="DH252" s="88">
        <f t="shared" ca="1" si="540"/>
        <v>58901019.539351836</v>
      </c>
      <c r="DI252" s="88">
        <f t="shared" ca="1" si="540"/>
        <v>58360632.404686719</v>
      </c>
      <c r="DJ252" s="88">
        <f t="shared" ca="1" si="540"/>
        <v>57825420.984045565</v>
      </c>
      <c r="DK252" s="88">
        <f t="shared" ca="1" si="540"/>
        <v>57295361.473731488</v>
      </c>
      <c r="DL252" s="88">
        <f t="shared" ca="1" si="540"/>
        <v>56770429.932567529</v>
      </c>
      <c r="DM252" s="88">
        <f t="shared" ca="1" si="540"/>
        <v>56250602.275288269</v>
      </c>
      <c r="DN252" s="88">
        <f t="shared" ca="1" si="540"/>
        <v>68735948.183835715</v>
      </c>
      <c r="DO252" s="88">
        <f t="shared" ca="1" si="540"/>
        <v>68381233.682426542</v>
      </c>
      <c r="DP252" s="88">
        <f t="shared" ca="1" si="540"/>
        <v>68030446.976044968</v>
      </c>
      <c r="DQ252" s="88">
        <f t="shared" ca="1" si="540"/>
        <v>67683576.224992186</v>
      </c>
      <c r="DR252" s="88">
        <f t="shared" ca="1" si="540"/>
        <v>67340609.541645736</v>
      </c>
      <c r="DS252" s="88">
        <f t="shared" ca="1" si="540"/>
        <v>67001534.987184674</v>
      </c>
      <c r="DT252" s="88">
        <f t="shared" ca="1" si="540"/>
        <v>66426803.531242624</v>
      </c>
      <c r="DU252" s="88">
        <f t="shared" ca="1" si="540"/>
        <v>65857143.863376275</v>
      </c>
      <c r="DV252" s="88">
        <f t="shared" ca="1" si="540"/>
        <v>65292543.871163085</v>
      </c>
      <c r="DW252" s="88">
        <f t="shared" ca="1" si="540"/>
        <v>64732991.37751963</v>
      </c>
      <c r="DX252" s="88">
        <f t="shared" ca="1" si="540"/>
        <v>64178474.137239389</v>
      </c>
      <c r="DY252" s="88">
        <f t="shared" ca="1" si="540"/>
        <v>63628979.833489522</v>
      </c>
    </row>
    <row r="253" spans="1:129" outlineLevel="1">
      <c r="C253" s="37" t="s">
        <v>113</v>
      </c>
      <c r="F253" s="5" t="s">
        <v>166</v>
      </c>
      <c r="H253" s="195"/>
      <c r="I253" s="440">
        <f>'Model Assumptions'!F121</f>
        <v>100000</v>
      </c>
      <c r="J253" s="35">
        <f>+I253-_cfCapex+_Depreciation</f>
        <v>198333.33333333334</v>
      </c>
      <c r="K253" s="35">
        <f t="shared" ref="K253:AO253" si="541">+J253-_cfCapex+_Depreciation</f>
        <v>295027.77777777781</v>
      </c>
      <c r="L253" s="35">
        <f t="shared" si="541"/>
        <v>390110.6481481482</v>
      </c>
      <c r="M253" s="35">
        <f t="shared" si="541"/>
        <v>483608.80401234573</v>
      </c>
      <c r="N253" s="35">
        <f t="shared" si="541"/>
        <v>575548.65727880667</v>
      </c>
      <c r="O253" s="35">
        <f t="shared" si="541"/>
        <v>665956.17965749325</v>
      </c>
      <c r="P253" s="35">
        <f t="shared" si="541"/>
        <v>754856.90999653505</v>
      </c>
      <c r="Q253" s="35">
        <f t="shared" si="541"/>
        <v>842275.96149659285</v>
      </c>
      <c r="R253" s="35">
        <f t="shared" si="541"/>
        <v>928238.02880498301</v>
      </c>
      <c r="S253" s="35">
        <f t="shared" si="541"/>
        <v>1012767.3949915667</v>
      </c>
      <c r="T253" s="35">
        <f t="shared" si="541"/>
        <v>1095887.9384083739</v>
      </c>
      <c r="U253" s="35">
        <f t="shared" si="541"/>
        <v>1177623.1394349011</v>
      </c>
      <c r="V253" s="35">
        <f t="shared" si="541"/>
        <v>1257996.087110986</v>
      </c>
      <c r="W253" s="35">
        <f t="shared" si="541"/>
        <v>1337029.4856591362</v>
      </c>
      <c r="X253" s="35">
        <f t="shared" si="541"/>
        <v>1414745.6608981506</v>
      </c>
      <c r="Y253" s="35">
        <f t="shared" si="541"/>
        <v>1491166.5665498481</v>
      </c>
      <c r="Z253" s="35">
        <f t="shared" si="541"/>
        <v>1566313.790440684</v>
      </c>
      <c r="AA253" s="35">
        <f t="shared" si="541"/>
        <v>1640208.5606000058</v>
      </c>
      <c r="AB253" s="35">
        <f t="shared" si="541"/>
        <v>1712871.7512566724</v>
      </c>
      <c r="AC253" s="35">
        <f t="shared" si="541"/>
        <v>1784323.8887357279</v>
      </c>
      <c r="AD253" s="35">
        <f t="shared" si="541"/>
        <v>1854585.1572567991</v>
      </c>
      <c r="AE253" s="35">
        <f t="shared" si="541"/>
        <v>1923675.4046358524</v>
      </c>
      <c r="AF253" s="35">
        <f t="shared" si="541"/>
        <v>1991614.1478919215</v>
      </c>
      <c r="AG253" s="35">
        <f t="shared" si="541"/>
        <v>2058420.5787603895</v>
      </c>
      <c r="AH253" s="35">
        <f t="shared" si="541"/>
        <v>2124113.5691143828</v>
      </c>
      <c r="AI253" s="35">
        <f t="shared" si="541"/>
        <v>2188711.6762958099</v>
      </c>
      <c r="AJ253" s="35">
        <f t="shared" si="541"/>
        <v>2252233.1483575464</v>
      </c>
      <c r="AK253" s="35">
        <f t="shared" si="541"/>
        <v>2314695.9292182541</v>
      </c>
      <c r="AL253" s="35">
        <f t="shared" si="541"/>
        <v>2376117.663731283</v>
      </c>
      <c r="AM253" s="35">
        <f t="shared" si="541"/>
        <v>2436515.7026690948</v>
      </c>
      <c r="AN253" s="35">
        <f t="shared" si="541"/>
        <v>2495907.10762461</v>
      </c>
      <c r="AO253" s="35">
        <f t="shared" si="541"/>
        <v>2554308.6558308667</v>
      </c>
      <c r="AP253" s="35">
        <f t="shared" ref="AP253:BU253" si="542">+AO253-_cfCapex+_Depreciation</f>
        <v>2611736.8449003524</v>
      </c>
      <c r="AQ253" s="35">
        <f t="shared" si="542"/>
        <v>2668207.8974853465</v>
      </c>
      <c r="AR253" s="35">
        <f t="shared" si="542"/>
        <v>2723737.7658605906</v>
      </c>
      <c r="AS253" s="35">
        <f t="shared" si="542"/>
        <v>2778342.1364295809</v>
      </c>
      <c r="AT253" s="35">
        <f t="shared" si="542"/>
        <v>2832036.4341557547</v>
      </c>
      <c r="AU253" s="35">
        <f t="shared" si="542"/>
        <v>2884835.8269198253</v>
      </c>
      <c r="AV253" s="35">
        <f t="shared" si="542"/>
        <v>2936755.2298044949</v>
      </c>
      <c r="AW253" s="35">
        <f t="shared" si="542"/>
        <v>2987809.3093077531</v>
      </c>
      <c r="AX253" s="35">
        <f t="shared" si="542"/>
        <v>3038012.4874859573</v>
      </c>
      <c r="AY253" s="35">
        <f t="shared" si="542"/>
        <v>3087378.9460278582</v>
      </c>
      <c r="AZ253" s="35">
        <f t="shared" si="542"/>
        <v>3135922.6302607274</v>
      </c>
      <c r="BA253" s="35">
        <f t="shared" si="542"/>
        <v>3183657.2530897153</v>
      </c>
      <c r="BB253" s="35">
        <f t="shared" si="542"/>
        <v>3230596.2988715535</v>
      </c>
      <c r="BC253" s="35">
        <f t="shared" si="542"/>
        <v>3276753.0272236941</v>
      </c>
      <c r="BD253" s="35">
        <f t="shared" si="542"/>
        <v>3322140.4767699661</v>
      </c>
      <c r="BE253" s="35">
        <f t="shared" si="542"/>
        <v>3366771.4688237999</v>
      </c>
      <c r="BF253" s="35">
        <f t="shared" si="542"/>
        <v>3410658.61101007</v>
      </c>
      <c r="BG253" s="35">
        <f t="shared" si="542"/>
        <v>3453814.3008265686</v>
      </c>
      <c r="BH253" s="35">
        <f t="shared" si="542"/>
        <v>3496250.7291461257</v>
      </c>
      <c r="BI253" s="35">
        <f t="shared" si="542"/>
        <v>3537979.883660357</v>
      </c>
      <c r="BJ253" s="35">
        <f t="shared" si="542"/>
        <v>3579013.5522660175</v>
      </c>
      <c r="BK253" s="35">
        <f t="shared" si="542"/>
        <v>3619363.3263949174</v>
      </c>
      <c r="BL253" s="35">
        <f t="shared" si="542"/>
        <v>3659040.6042883354</v>
      </c>
      <c r="BM253" s="35">
        <f t="shared" si="542"/>
        <v>3698056.5942168632</v>
      </c>
      <c r="BN253" s="35">
        <f t="shared" si="542"/>
        <v>3736422.3176465821</v>
      </c>
      <c r="BO253" s="35">
        <f t="shared" si="542"/>
        <v>3774148.6123524723</v>
      </c>
      <c r="BP253" s="35">
        <f t="shared" si="542"/>
        <v>3811246.1354799313</v>
      </c>
      <c r="BQ253" s="35">
        <f t="shared" si="542"/>
        <v>3847725.3665552656</v>
      </c>
      <c r="BR253" s="35">
        <f t="shared" si="542"/>
        <v>3883596.6104460112</v>
      </c>
      <c r="BS253" s="35">
        <f t="shared" si="542"/>
        <v>3918870.0002719108</v>
      </c>
      <c r="BT253" s="35">
        <f t="shared" si="542"/>
        <v>3953555.500267379</v>
      </c>
      <c r="BU253" s="35">
        <f t="shared" si="542"/>
        <v>3987662.9085962558</v>
      </c>
      <c r="BV253" s="35">
        <f t="shared" ref="BV253:CC253" si="543">+BU253-_cfCapex+_Depreciation</f>
        <v>4021201.8601196515</v>
      </c>
      <c r="BW253" s="35">
        <f t="shared" si="543"/>
        <v>4054181.8291176572</v>
      </c>
      <c r="BX253" s="35">
        <f t="shared" si="543"/>
        <v>4086612.1319656963</v>
      </c>
      <c r="BY253" s="35">
        <f t="shared" si="543"/>
        <v>4118501.929766268</v>
      </c>
      <c r="BZ253" s="35">
        <f t="shared" si="543"/>
        <v>4149860.2309368299</v>
      </c>
      <c r="CA253" s="35">
        <f t="shared" si="543"/>
        <v>4180695.8937545493</v>
      </c>
      <c r="CB253" s="35">
        <f t="shared" si="543"/>
        <v>4211017.6288586399</v>
      </c>
      <c r="CC253" s="35">
        <f t="shared" si="543"/>
        <v>4240834.001710996</v>
      </c>
      <c r="CD253" s="35">
        <f t="shared" ref="CD253:DY253" si="544">+CC253-_cfCapex+_Depreciation</f>
        <v>4270153.4350158125</v>
      </c>
      <c r="CE253" s="35">
        <f t="shared" si="544"/>
        <v>4298984.2110988824</v>
      </c>
      <c r="CF253" s="35">
        <f t="shared" si="544"/>
        <v>4327334.4742472339</v>
      </c>
      <c r="CG253" s="35">
        <f t="shared" si="544"/>
        <v>4355212.2330097798</v>
      </c>
      <c r="CH253" s="35">
        <f t="shared" si="544"/>
        <v>4382625.3624596167</v>
      </c>
      <c r="CI253" s="35">
        <f t="shared" si="544"/>
        <v>4409581.6064186227</v>
      </c>
      <c r="CJ253" s="35">
        <f t="shared" si="544"/>
        <v>4436088.579644979</v>
      </c>
      <c r="CK253" s="35">
        <f t="shared" si="544"/>
        <v>4462153.7699842295</v>
      </c>
      <c r="CL253" s="35">
        <f t="shared" si="544"/>
        <v>4487784.5404844927</v>
      </c>
      <c r="CM253" s="35">
        <f t="shared" si="544"/>
        <v>4512988.1314764181</v>
      </c>
      <c r="CN253" s="35">
        <f t="shared" si="544"/>
        <v>4537771.6626184778</v>
      </c>
      <c r="CO253" s="35">
        <f t="shared" si="544"/>
        <v>4562142.1349081695</v>
      </c>
      <c r="CP253" s="35">
        <f t="shared" si="544"/>
        <v>4586106.4326596996</v>
      </c>
      <c r="CQ253" s="35">
        <f t="shared" si="544"/>
        <v>4609671.3254487049</v>
      </c>
      <c r="CR253" s="35">
        <f t="shared" si="544"/>
        <v>4632843.4700245596</v>
      </c>
      <c r="CS253" s="35">
        <f t="shared" si="544"/>
        <v>4655629.4121908173</v>
      </c>
      <c r="CT253" s="35">
        <f t="shared" si="544"/>
        <v>4678035.5886543039</v>
      </c>
      <c r="CU253" s="35">
        <f t="shared" si="544"/>
        <v>4700068.328843399</v>
      </c>
      <c r="CV253" s="35">
        <f t="shared" si="544"/>
        <v>4721733.8566960087</v>
      </c>
      <c r="CW253" s="35">
        <f t="shared" si="544"/>
        <v>4743038.2924177423</v>
      </c>
      <c r="CX253" s="35">
        <f t="shared" si="544"/>
        <v>4763987.6542107798</v>
      </c>
      <c r="CY253" s="35">
        <f t="shared" si="544"/>
        <v>4784587.8599739335</v>
      </c>
      <c r="CZ253" s="35">
        <f t="shared" si="544"/>
        <v>4804844.7289743684</v>
      </c>
      <c r="DA253" s="35">
        <f t="shared" si="544"/>
        <v>4824763.9834914627</v>
      </c>
      <c r="DB253" s="35">
        <f t="shared" si="544"/>
        <v>4844351.2504332718</v>
      </c>
      <c r="DC253" s="35">
        <f t="shared" si="544"/>
        <v>4863612.0629260503</v>
      </c>
      <c r="DD253" s="35">
        <f t="shared" si="544"/>
        <v>4882551.8618772831</v>
      </c>
      <c r="DE253" s="35">
        <f t="shared" si="544"/>
        <v>4901175.9975126619</v>
      </c>
      <c r="DF253" s="35">
        <f t="shared" si="544"/>
        <v>4919489.7308874512</v>
      </c>
      <c r="DG253" s="35">
        <f t="shared" si="544"/>
        <v>4937498.2353726607</v>
      </c>
      <c r="DH253" s="35">
        <f t="shared" si="544"/>
        <v>4955206.59811645</v>
      </c>
      <c r="DI253" s="35">
        <f t="shared" si="544"/>
        <v>4972619.8214811757</v>
      </c>
      <c r="DJ253" s="35">
        <f t="shared" si="544"/>
        <v>4989742.8244564896</v>
      </c>
      <c r="DK253" s="35">
        <f t="shared" si="544"/>
        <v>5006580.4440488815</v>
      </c>
      <c r="DL253" s="35">
        <f t="shared" si="544"/>
        <v>5023137.4366480671</v>
      </c>
      <c r="DM253" s="35">
        <f t="shared" si="544"/>
        <v>5039418.4793705996</v>
      </c>
      <c r="DN253" s="35">
        <f t="shared" si="544"/>
        <v>5055428.1713810898</v>
      </c>
      <c r="DO253" s="35">
        <f t="shared" si="544"/>
        <v>5071171.0351914046</v>
      </c>
      <c r="DP253" s="35">
        <f t="shared" si="544"/>
        <v>5086651.5179382144</v>
      </c>
      <c r="DQ253" s="35">
        <f t="shared" si="544"/>
        <v>5101873.9926392445</v>
      </c>
      <c r="DR253" s="35">
        <f t="shared" si="544"/>
        <v>5116842.7594285905</v>
      </c>
      <c r="DS253" s="35">
        <f t="shared" si="544"/>
        <v>5131562.0467714472</v>
      </c>
      <c r="DT253" s="35">
        <f t="shared" si="544"/>
        <v>5146036.0126585895</v>
      </c>
      <c r="DU253" s="35">
        <f t="shared" si="544"/>
        <v>5160268.7457809467</v>
      </c>
      <c r="DV253" s="35">
        <f t="shared" si="544"/>
        <v>5174264.2666845974</v>
      </c>
      <c r="DW253" s="35">
        <f t="shared" si="544"/>
        <v>5188026.5289065205</v>
      </c>
      <c r="DX253" s="35">
        <f t="shared" si="544"/>
        <v>5201559.420091412</v>
      </c>
      <c r="DY253" s="35">
        <f t="shared" si="544"/>
        <v>5214866.7630898887</v>
      </c>
    </row>
    <row r="254" spans="1:129" s="37" customFormat="1" outlineLevel="1">
      <c r="C254" s="68" t="s">
        <v>98</v>
      </c>
      <c r="D254" s="68"/>
      <c r="E254" s="68"/>
      <c r="F254" s="56" t="s">
        <v>167</v>
      </c>
      <c r="G254" s="197"/>
      <c r="H254" s="197"/>
      <c r="I254" s="442"/>
      <c r="J254" s="111">
        <f ca="1">+J253+J252</f>
        <v>18813702.82416917</v>
      </c>
      <c r="K254" s="111">
        <f t="shared" ref="K254:BV254" ca="1" si="545">+K253+K252</f>
        <v>18557732.419823192</v>
      </c>
      <c r="L254" s="111">
        <f t="shared" ca="1" si="545"/>
        <v>18308574.716357086</v>
      </c>
      <c r="M254" s="111">
        <f t="shared" ca="1" si="545"/>
        <v>18066584.590373941</v>
      </c>
      <c r="N254" s="111">
        <f t="shared" ca="1" si="545"/>
        <v>17832121.43584273</v>
      </c>
      <c r="O254" s="111">
        <f t="shared" ca="1" si="545"/>
        <v>17605549.286812972</v>
      </c>
      <c r="P254" s="111">
        <f t="shared" ca="1" si="545"/>
        <v>17387236.942150537</v>
      </c>
      <c r="Q254" s="111">
        <f t="shared" ca="1" si="545"/>
        <v>17177558.092341289</v>
      </c>
      <c r="R254" s="111">
        <f t="shared" ca="1" si="545"/>
        <v>16976891.448409881</v>
      </c>
      <c r="S254" s="111">
        <f t="shared" ca="1" si="545"/>
        <v>16785620.873002023</v>
      </c>
      <c r="T254" s="111">
        <f t="shared" ca="1" si="545"/>
        <v>16604135.51367937</v>
      </c>
      <c r="U254" s="111">
        <f t="shared" ca="1" si="545"/>
        <v>16432829.938477058</v>
      </c>
      <c r="V254" s="111">
        <f t="shared" ca="1" si="545"/>
        <v>15873243.108700193</v>
      </c>
      <c r="W254" s="111">
        <f t="shared" ca="1" si="545"/>
        <v>15327733.205181815</v>
      </c>
      <c r="X254" s="111">
        <f t="shared" ca="1" si="545"/>
        <v>14796589.920131924</v>
      </c>
      <c r="Y254" s="111">
        <f t="shared" ca="1" si="545"/>
        <v>14280107.462566964</v>
      </c>
      <c r="Z254" s="111">
        <f t="shared" ca="1" si="545"/>
        <v>13778584.666873762</v>
      </c>
      <c r="AA254" s="111">
        <f t="shared" ca="1" si="545"/>
        <v>13292325.103271503</v>
      </c>
      <c r="AB254" s="111">
        <f t="shared" ca="1" si="545"/>
        <v>14617472.314213172</v>
      </c>
      <c r="AC254" s="111">
        <f t="shared" ca="1" si="545"/>
        <v>14151711.927954122</v>
      </c>
      <c r="AD254" s="111">
        <f t="shared" ca="1" si="545"/>
        <v>13695225.135708598</v>
      </c>
      <c r="AE254" s="111">
        <f t="shared" ca="1" si="545"/>
        <v>13248196.060629085</v>
      </c>
      <c r="AF254" s="111">
        <f t="shared" ca="1" si="545"/>
        <v>12810811.826324273</v>
      </c>
      <c r="AG254" s="111">
        <f t="shared" ca="1" si="545"/>
        <v>12383262.626599275</v>
      </c>
      <c r="AH254" s="111">
        <f t="shared" ca="1" si="545"/>
        <v>46316726.20039136</v>
      </c>
      <c r="AI254" s="111">
        <f t="shared" ca="1" si="545"/>
        <v>45765780.956140675</v>
      </c>
      <c r="AJ254" s="111">
        <f t="shared" ca="1" si="545"/>
        <v>45230717.580363192</v>
      </c>
      <c r="AK254" s="111">
        <f t="shared" ca="1" si="545"/>
        <v>44711831.648982741</v>
      </c>
      <c r="AL254" s="111">
        <f t="shared" ca="1" si="545"/>
        <v>44209423.738823086</v>
      </c>
      <c r="AM254" s="111">
        <f t="shared" ca="1" si="545"/>
        <v>43720475.217792086</v>
      </c>
      <c r="AN254" s="111">
        <f t="shared" ca="1" si="545"/>
        <v>42782431.346953578</v>
      </c>
      <c r="AO254" s="111">
        <f t="shared" ca="1" si="545"/>
        <v>41855687.703580946</v>
      </c>
      <c r="AP254" s="111">
        <f t="shared" ca="1" si="545"/>
        <v>40940398.494713642</v>
      </c>
      <c r="AQ254" s="111">
        <f t="shared" ca="1" si="545"/>
        <v>40036720.600531727</v>
      </c>
      <c r="AR254" s="111">
        <f t="shared" ca="1" si="545"/>
        <v>39144813.634348318</v>
      </c>
      <c r="AS254" s="111">
        <f t="shared" ca="1" si="545"/>
        <v>38264840.003696308</v>
      </c>
      <c r="AT254" s="111">
        <f t="shared" ca="1" si="545"/>
        <v>37870428.659110665</v>
      </c>
      <c r="AU254" s="111">
        <f t="shared" ca="1" si="545"/>
        <v>37486822.975964561</v>
      </c>
      <c r="AV254" s="111">
        <f t="shared" ca="1" si="545"/>
        <v>37114217.019760095</v>
      </c>
      <c r="AW254" s="111">
        <f t="shared" ca="1" si="545"/>
        <v>36752808.363570973</v>
      </c>
      <c r="AX254" s="111">
        <f t="shared" ca="1" si="545"/>
        <v>36402798.164118879</v>
      </c>
      <c r="AY254" s="111">
        <f t="shared" ca="1" si="545"/>
        <v>36064391.239275664</v>
      </c>
      <c r="AZ254" s="111">
        <f t="shared" ca="1" si="545"/>
        <v>35737796.14702142</v>
      </c>
      <c r="BA254" s="111">
        <f t="shared" ca="1" si="545"/>
        <v>35423225.265889123</v>
      </c>
      <c r="BB254" s="111">
        <f t="shared" ca="1" si="545"/>
        <v>35120894.876927055</v>
      </c>
      <c r="BC254" s="111">
        <f t="shared" ca="1" si="545"/>
        <v>34831025.247210912</v>
      </c>
      <c r="BD254" s="111">
        <f t="shared" ca="1" si="545"/>
        <v>34553840.714938</v>
      </c>
      <c r="BE254" s="111">
        <f t="shared" ca="1" si="545"/>
        <v>34289569.776136555</v>
      </c>
      <c r="BF254" s="111">
        <f t="shared" ca="1" si="545"/>
        <v>45834605.484216116</v>
      </c>
      <c r="BG254" s="111">
        <f t="shared" ca="1" si="545"/>
        <v>45536902.398135655</v>
      </c>
      <c r="BH254" s="111">
        <f t="shared" ca="1" si="545"/>
        <v>45252699.187820762</v>
      </c>
      <c r="BI254" s="111">
        <f t="shared" ca="1" si="545"/>
        <v>44982238.991894893</v>
      </c>
      <c r="BJ254" s="111">
        <f t="shared" ca="1" si="545"/>
        <v>44725769.511888199</v>
      </c>
      <c r="BK254" s="111">
        <f t="shared" ca="1" si="545"/>
        <v>44483543.10825254</v>
      </c>
      <c r="BL254" s="111">
        <f t="shared" ca="1" si="545"/>
        <v>44034705.787108816</v>
      </c>
      <c r="BM254" s="111">
        <f t="shared" ca="1" si="545"/>
        <v>43601741.744431399</v>
      </c>
      <c r="BN254" s="111">
        <f t="shared" ca="1" si="545"/>
        <v>43184917.912152909</v>
      </c>
      <c r="BO254" s="111">
        <f t="shared" ca="1" si="545"/>
        <v>42784506.284006894</v>
      </c>
      <c r="BP254" s="111">
        <f t="shared" ca="1" si="545"/>
        <v>42400784.021148726</v>
      </c>
      <c r="BQ254" s="111">
        <f t="shared" ca="1" si="545"/>
        <v>42034033.559818082</v>
      </c>
      <c r="BR254" s="111">
        <f t="shared" ca="1" si="545"/>
        <v>51476681.139240533</v>
      </c>
      <c r="BS254" s="111">
        <f t="shared" ca="1" si="545"/>
        <v>51055771.851769485</v>
      </c>
      <c r="BT254" s="111">
        <f t="shared" ca="1" si="545"/>
        <v>50650745.173723847</v>
      </c>
      <c r="BU254" s="111">
        <f t="shared" ca="1" si="545"/>
        <v>50261037.491941862</v>
      </c>
      <c r="BV254" s="111">
        <f t="shared" ca="1" si="545"/>
        <v>49886081.962243013</v>
      </c>
      <c r="BW254" s="111">
        <f t="shared" ref="BW254:CC254" ca="1" si="546">+BW253+BW252</f>
        <v>49525308.365832299</v>
      </c>
      <c r="BX254" s="111">
        <f t="shared" ca="1" si="546"/>
        <v>48993883.70433905</v>
      </c>
      <c r="BY254" s="111">
        <f t="shared" ca="1" si="546"/>
        <v>48476415.755663298</v>
      </c>
      <c r="BZ254" s="111">
        <f t="shared" ca="1" si="546"/>
        <v>47972323.294282995</v>
      </c>
      <c r="CA254" s="111">
        <f t="shared" ca="1" si="546"/>
        <v>47481021.124118976</v>
      </c>
      <c r="CB254" s="111">
        <f t="shared" ca="1" si="546"/>
        <v>47001919.923905559</v>
      </c>
      <c r="CC254" s="111">
        <f t="shared" ca="1" si="546"/>
        <v>46534426.090198629</v>
      </c>
      <c r="CD254" s="111">
        <f t="shared" ref="CD254:DY254" ca="1" si="547">+CD253+CD252</f>
        <v>55906801.931180723</v>
      </c>
      <c r="CE254" s="111">
        <f t="shared" ca="1" si="547"/>
        <v>55408726.998740345</v>
      </c>
      <c r="CF254" s="111">
        <f t="shared" ca="1" si="547"/>
        <v>54919900.054459915</v>
      </c>
      <c r="CG254" s="111">
        <f t="shared" ca="1" si="547"/>
        <v>54440017.815342836</v>
      </c>
      <c r="CH254" s="111">
        <f t="shared" ca="1" si="547"/>
        <v>53968774.874314606</v>
      </c>
      <c r="CI254" s="111">
        <f t="shared" ca="1" si="547"/>
        <v>53505863.619500011</v>
      </c>
      <c r="CJ254" s="111">
        <f t="shared" ca="1" si="547"/>
        <v>52866714.892989397</v>
      </c>
      <c r="CK254" s="111">
        <f t="shared" ca="1" si="547"/>
        <v>52236201.611288108</v>
      </c>
      <c r="CL254" s="111">
        <f t="shared" ca="1" si="547"/>
        <v>51614009.051123545</v>
      </c>
      <c r="CM254" s="111">
        <f t="shared" ca="1" si="547"/>
        <v>50999819.948729008</v>
      </c>
      <c r="CN254" s="111">
        <f t="shared" ca="1" si="547"/>
        <v>50393314.412573963</v>
      </c>
      <c r="CO254" s="111">
        <f t="shared" ca="1" si="547"/>
        <v>49794169.834695563</v>
      </c>
      <c r="CP254" s="111">
        <f t="shared" ca="1" si="547"/>
        <v>59492398.226454318</v>
      </c>
      <c r="CQ254" s="111">
        <f t="shared" ca="1" si="547"/>
        <v>59314893.408778042</v>
      </c>
      <c r="CR254" s="111">
        <f t="shared" ca="1" si="547"/>
        <v>59141510.96589303</v>
      </c>
      <c r="CS254" s="111">
        <f t="shared" ca="1" si="547"/>
        <v>58972105.240053944</v>
      </c>
      <c r="CT254" s="111">
        <f t="shared" ca="1" si="547"/>
        <v>58806529.291217305</v>
      </c>
      <c r="CU254" s="111">
        <f t="shared" ca="1" si="547"/>
        <v>58644634.85604696</v>
      </c>
      <c r="CV254" s="111">
        <f t="shared" ca="1" si="547"/>
        <v>58301798.978405192</v>
      </c>
      <c r="CW254" s="111">
        <f t="shared" ca="1" si="547"/>
        <v>57963172.892133705</v>
      </c>
      <c r="CX254" s="111">
        <f t="shared" ca="1" si="547"/>
        <v>57628737.762228653</v>
      </c>
      <c r="CY254" s="111">
        <f t="shared" ca="1" si="547"/>
        <v>57298474.576556459</v>
      </c>
      <c r="CZ254" s="111">
        <f t="shared" ca="1" si="547"/>
        <v>56972364.141198143</v>
      </c>
      <c r="DA254" s="111">
        <f t="shared" ca="1" si="547"/>
        <v>56650387.075697109</v>
      </c>
      <c r="DB254" s="111">
        <f t="shared" ca="1" si="547"/>
        <v>66162515.719167151</v>
      </c>
      <c r="DC254" s="111">
        <f t="shared" ca="1" si="547"/>
        <v>65798731.010874063</v>
      </c>
      <c r="DD254" s="111">
        <f t="shared" ca="1" si="547"/>
        <v>65439015.372081153</v>
      </c>
      <c r="DE254" s="111">
        <f t="shared" ca="1" si="547"/>
        <v>65083351.039936289</v>
      </c>
      <c r="DF254" s="111">
        <f t="shared" ca="1" si="547"/>
        <v>64731720.062912934</v>
      </c>
      <c r="DG254" s="111">
        <f t="shared" ca="1" si="547"/>
        <v>64384104.296155527</v>
      </c>
      <c r="DH254" s="111">
        <f t="shared" ca="1" si="547"/>
        <v>63856226.137468286</v>
      </c>
      <c r="DI254" s="111">
        <f t="shared" ca="1" si="547"/>
        <v>63333252.226167895</v>
      </c>
      <c r="DJ254" s="111">
        <f t="shared" ca="1" si="547"/>
        <v>62815163.808502056</v>
      </c>
      <c r="DK254" s="111">
        <f t="shared" ca="1" si="547"/>
        <v>62301941.91778037</v>
      </c>
      <c r="DL254" s="111">
        <f t="shared" ca="1" si="547"/>
        <v>61793567.369215593</v>
      </c>
      <c r="DM254" s="111">
        <f t="shared" ca="1" si="547"/>
        <v>61290020.75465887</v>
      </c>
      <c r="DN254" s="111">
        <f t="shared" ca="1" si="547"/>
        <v>73791376.355216801</v>
      </c>
      <c r="DO254" s="111">
        <f t="shared" ca="1" si="547"/>
        <v>73452404.717617944</v>
      </c>
      <c r="DP254" s="111">
        <f t="shared" ca="1" si="547"/>
        <v>73117098.493983179</v>
      </c>
      <c r="DQ254" s="111">
        <f t="shared" ca="1" si="547"/>
        <v>72785450.217631429</v>
      </c>
      <c r="DR254" s="111">
        <f t="shared" ca="1" si="547"/>
        <v>72457452.301074326</v>
      </c>
      <c r="DS254" s="111">
        <f t="shared" ca="1" si="547"/>
        <v>72133097.033956125</v>
      </c>
      <c r="DT254" s="111">
        <f t="shared" ca="1" si="547"/>
        <v>71572839.54390122</v>
      </c>
      <c r="DU254" s="111">
        <f t="shared" ca="1" si="547"/>
        <v>71017412.60915722</v>
      </c>
      <c r="DV254" s="111">
        <f t="shared" ca="1" si="547"/>
        <v>70466808.137847677</v>
      </c>
      <c r="DW254" s="111">
        <f t="shared" ca="1" si="547"/>
        <v>69921017.906426147</v>
      </c>
      <c r="DX254" s="111">
        <f t="shared" ca="1" si="547"/>
        <v>69380033.557330802</v>
      </c>
      <c r="DY254" s="111">
        <f t="shared" ca="1" si="547"/>
        <v>68843846.596579418</v>
      </c>
    </row>
    <row r="255" spans="1:129" outlineLevel="1">
      <c r="G255" s="198"/>
      <c r="H255" s="198"/>
      <c r="I255" s="443"/>
      <c r="J255" s="11"/>
      <c r="L255" s="11"/>
      <c r="N255" s="11"/>
      <c r="P255" s="11"/>
      <c r="Q255" s="11"/>
      <c r="X255" s="103"/>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row>
    <row r="256" spans="1:129" outlineLevel="1">
      <c r="C256" s="37" t="s">
        <v>122</v>
      </c>
      <c r="G256" s="199"/>
      <c r="H256" s="199"/>
      <c r="I256" s="444"/>
      <c r="J256" s="35"/>
      <c r="K256" s="35"/>
      <c r="L256" s="35"/>
      <c r="M256" s="35"/>
      <c r="N256" s="35"/>
      <c r="O256" s="35"/>
      <c r="P256" s="35"/>
      <c r="Q256" s="35"/>
      <c r="R256" s="35"/>
      <c r="S256" s="35"/>
      <c r="T256" s="35"/>
      <c r="U256" s="35"/>
      <c r="V256" s="35"/>
      <c r="W256" s="35"/>
      <c r="X256" s="99"/>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row>
    <row r="257" spans="2:129" outlineLevel="1">
      <c r="C257" s="114"/>
      <c r="D257" s="8" t="s">
        <v>99</v>
      </c>
      <c r="E257" s="9"/>
      <c r="F257" s="5" t="s">
        <v>169</v>
      </c>
      <c r="H257" s="195"/>
      <c r="I257" s="440">
        <f>'Model Assumptions'!F123</f>
        <v>500000</v>
      </c>
      <c r="J257" s="35">
        <f>I257+_cfDebt+_cfDebtRepayment-_FXlossgain</f>
        <v>10500000</v>
      </c>
      <c r="K257" s="35">
        <f t="shared" ref="K257:AO257" si="548">J257+_cfDebt+_cfDebtRepayment-_FXlossgain</f>
        <v>10500000</v>
      </c>
      <c r="L257" s="35">
        <f t="shared" si="548"/>
        <v>10500000</v>
      </c>
      <c r="M257" s="35">
        <f t="shared" si="548"/>
        <v>10500000</v>
      </c>
      <c r="N257" s="35">
        <f t="shared" si="548"/>
        <v>10500000</v>
      </c>
      <c r="O257" s="35">
        <f t="shared" si="548"/>
        <v>10500000</v>
      </c>
      <c r="P257" s="35">
        <f t="shared" si="548"/>
        <v>10500000</v>
      </c>
      <c r="Q257" s="35">
        <f t="shared" si="548"/>
        <v>10500000</v>
      </c>
      <c r="R257" s="35">
        <f t="shared" si="548"/>
        <v>10500000</v>
      </c>
      <c r="S257" s="35">
        <f t="shared" si="548"/>
        <v>10500000</v>
      </c>
      <c r="T257" s="35">
        <f t="shared" si="548"/>
        <v>10500000</v>
      </c>
      <c r="U257" s="35">
        <f t="shared" si="548"/>
        <v>10500000</v>
      </c>
      <c r="V257" s="35">
        <f t="shared" si="548"/>
        <v>10083333.333333334</v>
      </c>
      <c r="W257" s="35">
        <f t="shared" si="548"/>
        <v>9666666.6666666679</v>
      </c>
      <c r="X257" s="35">
        <f t="shared" si="548"/>
        <v>9250000.0000000019</v>
      </c>
      <c r="Y257" s="35">
        <f t="shared" si="548"/>
        <v>8833333.3333333358</v>
      </c>
      <c r="Z257" s="35">
        <f t="shared" si="548"/>
        <v>8416666.6666666698</v>
      </c>
      <c r="AA257" s="35">
        <f t="shared" si="548"/>
        <v>8000000.0000000028</v>
      </c>
      <c r="AB257" s="35">
        <f t="shared" si="548"/>
        <v>7583333.3333333358</v>
      </c>
      <c r="AC257" s="35">
        <f t="shared" si="548"/>
        <v>7166666.6666666688</v>
      </c>
      <c r="AD257" s="35">
        <f t="shared" si="548"/>
        <v>6750000.0000000019</v>
      </c>
      <c r="AE257" s="35">
        <f t="shared" si="548"/>
        <v>6333333.3333333349</v>
      </c>
      <c r="AF257" s="35">
        <f t="shared" si="548"/>
        <v>5916666.6666666679</v>
      </c>
      <c r="AG257" s="35">
        <f t="shared" si="548"/>
        <v>5500000.0000000009</v>
      </c>
      <c r="AH257" s="35">
        <f t="shared" si="548"/>
        <v>30083333.333333332</v>
      </c>
      <c r="AI257" s="35">
        <f t="shared" si="548"/>
        <v>29666666.666666664</v>
      </c>
      <c r="AJ257" s="35">
        <f t="shared" si="548"/>
        <v>29249999.999999996</v>
      </c>
      <c r="AK257" s="35">
        <f t="shared" si="548"/>
        <v>28833333.333333328</v>
      </c>
      <c r="AL257" s="35">
        <f t="shared" si="548"/>
        <v>28416666.66666666</v>
      </c>
      <c r="AM257" s="35">
        <f t="shared" si="548"/>
        <v>27999999.999999993</v>
      </c>
      <c r="AN257" s="35">
        <f t="shared" si="548"/>
        <v>27120370.370370362</v>
      </c>
      <c r="AO257" s="35">
        <f t="shared" si="548"/>
        <v>26240740.740740731</v>
      </c>
      <c r="AP257" s="35">
        <f t="shared" ref="AP257:BU257" si="549">AO257+_cfDebt+_cfDebtRepayment-_FXlossgain</f>
        <v>25361111.111111101</v>
      </c>
      <c r="AQ257" s="35">
        <f t="shared" si="549"/>
        <v>24481481.48148147</v>
      </c>
      <c r="AR257" s="35">
        <f t="shared" si="549"/>
        <v>23601851.85185184</v>
      </c>
      <c r="AS257" s="35">
        <f t="shared" si="549"/>
        <v>22722222.222222209</v>
      </c>
      <c r="AT257" s="35">
        <f t="shared" si="549"/>
        <v>22259259.259259246</v>
      </c>
      <c r="AU257" s="35">
        <f t="shared" si="549"/>
        <v>21796296.296296284</v>
      </c>
      <c r="AV257" s="35">
        <f t="shared" si="549"/>
        <v>21333333.333333321</v>
      </c>
      <c r="AW257" s="35">
        <f t="shared" si="549"/>
        <v>20870370.370370358</v>
      </c>
      <c r="AX257" s="35">
        <f t="shared" si="549"/>
        <v>20407407.407407396</v>
      </c>
      <c r="AY257" s="35">
        <f t="shared" si="549"/>
        <v>19944444.444444433</v>
      </c>
      <c r="AZ257" s="35">
        <f t="shared" si="549"/>
        <v>19481481.48148147</v>
      </c>
      <c r="BA257" s="35">
        <f t="shared" si="549"/>
        <v>19018518.518518507</v>
      </c>
      <c r="BB257" s="35">
        <f t="shared" si="549"/>
        <v>18555555.555555545</v>
      </c>
      <c r="BC257" s="35">
        <f t="shared" si="549"/>
        <v>18092592.592592582</v>
      </c>
      <c r="BD257" s="35">
        <f t="shared" si="549"/>
        <v>17629629.629629619</v>
      </c>
      <c r="BE257" s="35">
        <f t="shared" si="549"/>
        <v>17166666.666666657</v>
      </c>
      <c r="BF257" s="35">
        <f t="shared" si="549"/>
        <v>28703703.703703694</v>
      </c>
      <c r="BG257" s="35">
        <f t="shared" si="549"/>
        <v>28240740.740740731</v>
      </c>
      <c r="BH257" s="35">
        <f t="shared" si="549"/>
        <v>27777777.777777769</v>
      </c>
      <c r="BI257" s="35">
        <f t="shared" si="549"/>
        <v>27314814.814814806</v>
      </c>
      <c r="BJ257" s="35">
        <f t="shared" si="549"/>
        <v>26851851.851851843</v>
      </c>
      <c r="BK257" s="35">
        <f t="shared" si="549"/>
        <v>26388888.888888881</v>
      </c>
      <c r="BL257" s="35">
        <f t="shared" si="549"/>
        <v>25703703.703703694</v>
      </c>
      <c r="BM257" s="35">
        <f t="shared" si="549"/>
        <v>25018518.518518507</v>
      </c>
      <c r="BN257" s="35">
        <f t="shared" si="549"/>
        <v>24333333.333333321</v>
      </c>
      <c r="BO257" s="35">
        <f t="shared" si="549"/>
        <v>23648148.148148134</v>
      </c>
      <c r="BP257" s="35">
        <f t="shared" si="549"/>
        <v>22962962.962962948</v>
      </c>
      <c r="BQ257" s="35">
        <f t="shared" si="549"/>
        <v>22277777.777777761</v>
      </c>
      <c r="BR257" s="35">
        <f t="shared" si="549"/>
        <v>31592592.592592575</v>
      </c>
      <c r="BS257" s="35">
        <f t="shared" si="549"/>
        <v>30907407.407407388</v>
      </c>
      <c r="BT257" s="35">
        <f t="shared" si="549"/>
        <v>30222222.222222202</v>
      </c>
      <c r="BU257" s="35">
        <f t="shared" si="549"/>
        <v>29537037.037037015</v>
      </c>
      <c r="BV257" s="35">
        <f t="shared" ref="BV257:CC257" si="550">BU257+_cfDebt+_cfDebtRepayment-_FXlossgain</f>
        <v>28851851.851851828</v>
      </c>
      <c r="BW257" s="35">
        <f t="shared" si="550"/>
        <v>28166666.666666642</v>
      </c>
      <c r="BX257" s="35">
        <f t="shared" si="550"/>
        <v>27296296.296296272</v>
      </c>
      <c r="BY257" s="35">
        <f t="shared" si="550"/>
        <v>26425925.925925903</v>
      </c>
      <c r="BZ257" s="35">
        <f t="shared" si="550"/>
        <v>25555555.555555534</v>
      </c>
      <c r="CA257" s="35">
        <f t="shared" si="550"/>
        <v>24685185.185185164</v>
      </c>
      <c r="CB257" s="35">
        <f t="shared" si="550"/>
        <v>23814814.814814795</v>
      </c>
      <c r="CC257" s="35">
        <f t="shared" si="550"/>
        <v>22944444.444444425</v>
      </c>
      <c r="CD257" s="35">
        <f t="shared" ref="CD257:DY257" si="551">CC257+_cfDebt+_cfDebtRepayment-_FXlossgain</f>
        <v>32074074.074074056</v>
      </c>
      <c r="CE257" s="35">
        <f t="shared" si="551"/>
        <v>31203703.703703687</v>
      </c>
      <c r="CF257" s="35">
        <f t="shared" si="551"/>
        <v>30333333.333333317</v>
      </c>
      <c r="CG257" s="35">
        <f t="shared" si="551"/>
        <v>29462962.962962948</v>
      </c>
      <c r="CH257" s="35">
        <f t="shared" si="551"/>
        <v>28592592.592592578</v>
      </c>
      <c r="CI257" s="35">
        <f t="shared" si="551"/>
        <v>27722222.222222209</v>
      </c>
      <c r="CJ257" s="35">
        <f t="shared" si="551"/>
        <v>26666666.666666653</v>
      </c>
      <c r="CK257" s="35">
        <f t="shared" si="551"/>
        <v>25611111.111111097</v>
      </c>
      <c r="CL257" s="35">
        <f t="shared" si="551"/>
        <v>24555555.555555541</v>
      </c>
      <c r="CM257" s="35">
        <f t="shared" si="551"/>
        <v>23499999.999999985</v>
      </c>
      <c r="CN257" s="35">
        <f t="shared" si="551"/>
        <v>22444444.444444429</v>
      </c>
      <c r="CO257" s="35">
        <f t="shared" si="551"/>
        <v>21388888.888888873</v>
      </c>
      <c r="CP257" s="35">
        <f t="shared" si="551"/>
        <v>30796296.29629628</v>
      </c>
      <c r="CQ257" s="35">
        <f t="shared" si="551"/>
        <v>30203703.703703687</v>
      </c>
      <c r="CR257" s="35">
        <f t="shared" si="551"/>
        <v>29611111.111111093</v>
      </c>
      <c r="CS257" s="35">
        <f t="shared" si="551"/>
        <v>29018518.5185185</v>
      </c>
      <c r="CT257" s="35">
        <f t="shared" si="551"/>
        <v>28425925.925925907</v>
      </c>
      <c r="CU257" s="35">
        <f t="shared" si="551"/>
        <v>27833333.333333313</v>
      </c>
      <c r="CV257" s="35">
        <f t="shared" si="551"/>
        <v>27055555.555555537</v>
      </c>
      <c r="CW257" s="35">
        <f t="shared" si="551"/>
        <v>26277777.777777761</v>
      </c>
      <c r="CX257" s="35">
        <f t="shared" si="551"/>
        <v>25499999.999999985</v>
      </c>
      <c r="CY257" s="35">
        <f t="shared" si="551"/>
        <v>24722222.222222209</v>
      </c>
      <c r="CZ257" s="35">
        <f t="shared" si="551"/>
        <v>23944444.444444433</v>
      </c>
      <c r="DA257" s="35">
        <f t="shared" si="551"/>
        <v>23166666.666666657</v>
      </c>
      <c r="DB257" s="35">
        <f t="shared" si="551"/>
        <v>32388888.888888881</v>
      </c>
      <c r="DC257" s="35">
        <f t="shared" si="551"/>
        <v>31611111.111111104</v>
      </c>
      <c r="DD257" s="35">
        <f t="shared" si="551"/>
        <v>30833333.333333328</v>
      </c>
      <c r="DE257" s="35">
        <f t="shared" si="551"/>
        <v>30055555.555555552</v>
      </c>
      <c r="DF257" s="35">
        <f t="shared" si="551"/>
        <v>29277777.777777776</v>
      </c>
      <c r="DG257" s="35">
        <f t="shared" si="551"/>
        <v>28500000</v>
      </c>
      <c r="DH257" s="35">
        <f t="shared" si="551"/>
        <v>27537037.037037037</v>
      </c>
      <c r="DI257" s="35">
        <f t="shared" si="551"/>
        <v>26574074.074074075</v>
      </c>
      <c r="DJ257" s="35">
        <f t="shared" si="551"/>
        <v>25611111.111111112</v>
      </c>
      <c r="DK257" s="35">
        <f t="shared" si="551"/>
        <v>24648148.148148149</v>
      </c>
      <c r="DL257" s="35">
        <f t="shared" si="551"/>
        <v>23685185.185185187</v>
      </c>
      <c r="DM257" s="35">
        <f t="shared" si="551"/>
        <v>22722222.222222224</v>
      </c>
      <c r="DN257" s="35">
        <f t="shared" si="551"/>
        <v>34981481.481481485</v>
      </c>
      <c r="DO257" s="35">
        <f t="shared" si="551"/>
        <v>34240740.740740746</v>
      </c>
      <c r="DP257" s="35">
        <f t="shared" si="551"/>
        <v>33500000.000000007</v>
      </c>
      <c r="DQ257" s="35">
        <f t="shared" si="551"/>
        <v>32759259.259259269</v>
      </c>
      <c r="DR257" s="35">
        <f t="shared" si="551"/>
        <v>32018518.51851853</v>
      </c>
      <c r="DS257" s="35">
        <f t="shared" si="551"/>
        <v>31277777.777777791</v>
      </c>
      <c r="DT257" s="35">
        <f t="shared" si="551"/>
        <v>30296296.29629631</v>
      </c>
      <c r="DU257" s="35">
        <f t="shared" si="551"/>
        <v>29314814.814814828</v>
      </c>
      <c r="DV257" s="35">
        <f t="shared" si="551"/>
        <v>28333333.333333347</v>
      </c>
      <c r="DW257" s="35">
        <f t="shared" si="551"/>
        <v>27351851.851851866</v>
      </c>
      <c r="DX257" s="35">
        <f t="shared" si="551"/>
        <v>26370370.370370384</v>
      </c>
      <c r="DY257" s="35">
        <f t="shared" si="551"/>
        <v>25388888.888888903</v>
      </c>
    </row>
    <row r="258" spans="2:129" outlineLevel="1">
      <c r="C258" s="115" t="s">
        <v>114</v>
      </c>
      <c r="D258" s="116"/>
      <c r="E258" s="116"/>
      <c r="F258" s="55"/>
      <c r="G258" s="200"/>
      <c r="H258" s="200"/>
      <c r="I258" s="445"/>
      <c r="J258" s="148">
        <f t="shared" ref="J258:AO258" si="552">SUM(J257:J257)</f>
        <v>10500000</v>
      </c>
      <c r="K258" s="148">
        <f t="shared" si="552"/>
        <v>10500000</v>
      </c>
      <c r="L258" s="148">
        <f t="shared" si="552"/>
        <v>10500000</v>
      </c>
      <c r="M258" s="148">
        <f t="shared" si="552"/>
        <v>10500000</v>
      </c>
      <c r="N258" s="148">
        <f t="shared" si="552"/>
        <v>10500000</v>
      </c>
      <c r="O258" s="148">
        <f t="shared" si="552"/>
        <v>10500000</v>
      </c>
      <c r="P258" s="148">
        <f t="shared" si="552"/>
        <v>10500000</v>
      </c>
      <c r="Q258" s="148">
        <f t="shared" si="552"/>
        <v>10500000</v>
      </c>
      <c r="R258" s="148">
        <f t="shared" si="552"/>
        <v>10500000</v>
      </c>
      <c r="S258" s="148">
        <f t="shared" si="552"/>
        <v>10500000</v>
      </c>
      <c r="T258" s="148">
        <f t="shared" si="552"/>
        <v>10500000</v>
      </c>
      <c r="U258" s="148">
        <f t="shared" si="552"/>
        <v>10500000</v>
      </c>
      <c r="V258" s="148">
        <f t="shared" si="552"/>
        <v>10083333.333333334</v>
      </c>
      <c r="W258" s="148">
        <f t="shared" si="552"/>
        <v>9666666.6666666679</v>
      </c>
      <c r="X258" s="148">
        <f t="shared" si="552"/>
        <v>9250000.0000000019</v>
      </c>
      <c r="Y258" s="148">
        <f t="shared" si="552"/>
        <v>8833333.3333333358</v>
      </c>
      <c r="Z258" s="148">
        <f t="shared" si="552"/>
        <v>8416666.6666666698</v>
      </c>
      <c r="AA258" s="148">
        <f t="shared" si="552"/>
        <v>8000000.0000000028</v>
      </c>
      <c r="AB258" s="148">
        <f t="shared" si="552"/>
        <v>7583333.3333333358</v>
      </c>
      <c r="AC258" s="148">
        <f t="shared" si="552"/>
        <v>7166666.6666666688</v>
      </c>
      <c r="AD258" s="148">
        <f t="shared" si="552"/>
        <v>6750000.0000000019</v>
      </c>
      <c r="AE258" s="148">
        <f t="shared" si="552"/>
        <v>6333333.3333333349</v>
      </c>
      <c r="AF258" s="148">
        <f t="shared" si="552"/>
        <v>5916666.6666666679</v>
      </c>
      <c r="AG258" s="148">
        <f t="shared" si="552"/>
        <v>5500000.0000000009</v>
      </c>
      <c r="AH258" s="148">
        <f t="shared" si="552"/>
        <v>30083333.333333332</v>
      </c>
      <c r="AI258" s="148">
        <f t="shared" si="552"/>
        <v>29666666.666666664</v>
      </c>
      <c r="AJ258" s="148">
        <f t="shared" si="552"/>
        <v>29249999.999999996</v>
      </c>
      <c r="AK258" s="148">
        <f t="shared" si="552"/>
        <v>28833333.333333328</v>
      </c>
      <c r="AL258" s="148">
        <f t="shared" si="552"/>
        <v>28416666.66666666</v>
      </c>
      <c r="AM258" s="148">
        <f t="shared" si="552"/>
        <v>27999999.999999993</v>
      </c>
      <c r="AN258" s="148">
        <f t="shared" si="552"/>
        <v>27120370.370370362</v>
      </c>
      <c r="AO258" s="148">
        <f t="shared" si="552"/>
        <v>26240740.740740731</v>
      </c>
      <c r="AP258" s="148">
        <f t="shared" ref="AP258:BU258" si="553">SUM(AP257:AP257)</f>
        <v>25361111.111111101</v>
      </c>
      <c r="AQ258" s="148">
        <f t="shared" si="553"/>
        <v>24481481.48148147</v>
      </c>
      <c r="AR258" s="148">
        <f t="shared" si="553"/>
        <v>23601851.85185184</v>
      </c>
      <c r="AS258" s="148">
        <f t="shared" si="553"/>
        <v>22722222.222222209</v>
      </c>
      <c r="AT258" s="148">
        <f t="shared" si="553"/>
        <v>22259259.259259246</v>
      </c>
      <c r="AU258" s="148">
        <f t="shared" si="553"/>
        <v>21796296.296296284</v>
      </c>
      <c r="AV258" s="148">
        <f t="shared" si="553"/>
        <v>21333333.333333321</v>
      </c>
      <c r="AW258" s="148">
        <f t="shared" si="553"/>
        <v>20870370.370370358</v>
      </c>
      <c r="AX258" s="148">
        <f t="shared" si="553"/>
        <v>20407407.407407396</v>
      </c>
      <c r="AY258" s="148">
        <f t="shared" si="553"/>
        <v>19944444.444444433</v>
      </c>
      <c r="AZ258" s="148">
        <f t="shared" si="553"/>
        <v>19481481.48148147</v>
      </c>
      <c r="BA258" s="148">
        <f t="shared" si="553"/>
        <v>19018518.518518507</v>
      </c>
      <c r="BB258" s="148">
        <f t="shared" si="553"/>
        <v>18555555.555555545</v>
      </c>
      <c r="BC258" s="148">
        <f t="shared" si="553"/>
        <v>18092592.592592582</v>
      </c>
      <c r="BD258" s="148">
        <f t="shared" si="553"/>
        <v>17629629.629629619</v>
      </c>
      <c r="BE258" s="148">
        <f t="shared" si="553"/>
        <v>17166666.666666657</v>
      </c>
      <c r="BF258" s="148">
        <f t="shared" si="553"/>
        <v>28703703.703703694</v>
      </c>
      <c r="BG258" s="148">
        <f t="shared" si="553"/>
        <v>28240740.740740731</v>
      </c>
      <c r="BH258" s="148">
        <f t="shared" si="553"/>
        <v>27777777.777777769</v>
      </c>
      <c r="BI258" s="148">
        <f t="shared" si="553"/>
        <v>27314814.814814806</v>
      </c>
      <c r="BJ258" s="148">
        <f t="shared" si="553"/>
        <v>26851851.851851843</v>
      </c>
      <c r="BK258" s="148">
        <f t="shared" si="553"/>
        <v>26388888.888888881</v>
      </c>
      <c r="BL258" s="148">
        <f t="shared" si="553"/>
        <v>25703703.703703694</v>
      </c>
      <c r="BM258" s="148">
        <f t="shared" si="553"/>
        <v>25018518.518518507</v>
      </c>
      <c r="BN258" s="148">
        <f t="shared" si="553"/>
        <v>24333333.333333321</v>
      </c>
      <c r="BO258" s="148">
        <f t="shared" si="553"/>
        <v>23648148.148148134</v>
      </c>
      <c r="BP258" s="148">
        <f t="shared" si="553"/>
        <v>22962962.962962948</v>
      </c>
      <c r="BQ258" s="148">
        <f t="shared" si="553"/>
        <v>22277777.777777761</v>
      </c>
      <c r="BR258" s="148">
        <f t="shared" si="553"/>
        <v>31592592.592592575</v>
      </c>
      <c r="BS258" s="148">
        <f t="shared" si="553"/>
        <v>30907407.407407388</v>
      </c>
      <c r="BT258" s="148">
        <f t="shared" si="553"/>
        <v>30222222.222222202</v>
      </c>
      <c r="BU258" s="148">
        <f t="shared" si="553"/>
        <v>29537037.037037015</v>
      </c>
      <c r="BV258" s="148">
        <f t="shared" ref="BV258:CC258" si="554">SUM(BV257:BV257)</f>
        <v>28851851.851851828</v>
      </c>
      <c r="BW258" s="148">
        <f t="shared" si="554"/>
        <v>28166666.666666642</v>
      </c>
      <c r="BX258" s="148">
        <f t="shared" si="554"/>
        <v>27296296.296296272</v>
      </c>
      <c r="BY258" s="148">
        <f t="shared" si="554"/>
        <v>26425925.925925903</v>
      </c>
      <c r="BZ258" s="148">
        <f t="shared" si="554"/>
        <v>25555555.555555534</v>
      </c>
      <c r="CA258" s="148">
        <f t="shared" si="554"/>
        <v>24685185.185185164</v>
      </c>
      <c r="CB258" s="148">
        <f t="shared" si="554"/>
        <v>23814814.814814795</v>
      </c>
      <c r="CC258" s="148">
        <f t="shared" si="554"/>
        <v>22944444.444444425</v>
      </c>
      <c r="CD258" s="148">
        <f t="shared" ref="CD258:DY258" si="555">SUM(CD257:CD257)</f>
        <v>32074074.074074056</v>
      </c>
      <c r="CE258" s="148">
        <f t="shared" si="555"/>
        <v>31203703.703703687</v>
      </c>
      <c r="CF258" s="148">
        <f t="shared" si="555"/>
        <v>30333333.333333317</v>
      </c>
      <c r="CG258" s="148">
        <f t="shared" si="555"/>
        <v>29462962.962962948</v>
      </c>
      <c r="CH258" s="148">
        <f t="shared" si="555"/>
        <v>28592592.592592578</v>
      </c>
      <c r="CI258" s="148">
        <f t="shared" si="555"/>
        <v>27722222.222222209</v>
      </c>
      <c r="CJ258" s="148">
        <f t="shared" si="555"/>
        <v>26666666.666666653</v>
      </c>
      <c r="CK258" s="148">
        <f t="shared" si="555"/>
        <v>25611111.111111097</v>
      </c>
      <c r="CL258" s="148">
        <f t="shared" si="555"/>
        <v>24555555.555555541</v>
      </c>
      <c r="CM258" s="148">
        <f t="shared" si="555"/>
        <v>23499999.999999985</v>
      </c>
      <c r="CN258" s="148">
        <f t="shared" si="555"/>
        <v>22444444.444444429</v>
      </c>
      <c r="CO258" s="148">
        <f t="shared" si="555"/>
        <v>21388888.888888873</v>
      </c>
      <c r="CP258" s="148">
        <f t="shared" si="555"/>
        <v>30796296.29629628</v>
      </c>
      <c r="CQ258" s="148">
        <f t="shared" si="555"/>
        <v>30203703.703703687</v>
      </c>
      <c r="CR258" s="148">
        <f t="shared" si="555"/>
        <v>29611111.111111093</v>
      </c>
      <c r="CS258" s="148">
        <f t="shared" si="555"/>
        <v>29018518.5185185</v>
      </c>
      <c r="CT258" s="148">
        <f t="shared" si="555"/>
        <v>28425925.925925907</v>
      </c>
      <c r="CU258" s="148">
        <f t="shared" si="555"/>
        <v>27833333.333333313</v>
      </c>
      <c r="CV258" s="148">
        <f t="shared" si="555"/>
        <v>27055555.555555537</v>
      </c>
      <c r="CW258" s="148">
        <f t="shared" si="555"/>
        <v>26277777.777777761</v>
      </c>
      <c r="CX258" s="148">
        <f t="shared" si="555"/>
        <v>25499999.999999985</v>
      </c>
      <c r="CY258" s="148">
        <f t="shared" si="555"/>
        <v>24722222.222222209</v>
      </c>
      <c r="CZ258" s="148">
        <f t="shared" si="555"/>
        <v>23944444.444444433</v>
      </c>
      <c r="DA258" s="148">
        <f t="shared" si="555"/>
        <v>23166666.666666657</v>
      </c>
      <c r="DB258" s="148">
        <f t="shared" si="555"/>
        <v>32388888.888888881</v>
      </c>
      <c r="DC258" s="148">
        <f t="shared" si="555"/>
        <v>31611111.111111104</v>
      </c>
      <c r="DD258" s="148">
        <f t="shared" si="555"/>
        <v>30833333.333333328</v>
      </c>
      <c r="DE258" s="148">
        <f t="shared" si="555"/>
        <v>30055555.555555552</v>
      </c>
      <c r="DF258" s="148">
        <f t="shared" si="555"/>
        <v>29277777.777777776</v>
      </c>
      <c r="DG258" s="148">
        <f t="shared" si="555"/>
        <v>28500000</v>
      </c>
      <c r="DH258" s="148">
        <f t="shared" si="555"/>
        <v>27537037.037037037</v>
      </c>
      <c r="DI258" s="148">
        <f t="shared" si="555"/>
        <v>26574074.074074075</v>
      </c>
      <c r="DJ258" s="148">
        <f t="shared" si="555"/>
        <v>25611111.111111112</v>
      </c>
      <c r="DK258" s="148">
        <f t="shared" si="555"/>
        <v>24648148.148148149</v>
      </c>
      <c r="DL258" s="148">
        <f t="shared" si="555"/>
        <v>23685185.185185187</v>
      </c>
      <c r="DM258" s="148">
        <f t="shared" si="555"/>
        <v>22722222.222222224</v>
      </c>
      <c r="DN258" s="148">
        <f t="shared" si="555"/>
        <v>34981481.481481485</v>
      </c>
      <c r="DO258" s="148">
        <f t="shared" si="555"/>
        <v>34240740.740740746</v>
      </c>
      <c r="DP258" s="148">
        <f t="shared" si="555"/>
        <v>33500000.000000007</v>
      </c>
      <c r="DQ258" s="148">
        <f t="shared" si="555"/>
        <v>32759259.259259269</v>
      </c>
      <c r="DR258" s="148">
        <f t="shared" si="555"/>
        <v>32018518.51851853</v>
      </c>
      <c r="DS258" s="148">
        <f t="shared" si="555"/>
        <v>31277777.777777791</v>
      </c>
      <c r="DT258" s="148">
        <f t="shared" si="555"/>
        <v>30296296.29629631</v>
      </c>
      <c r="DU258" s="148">
        <f t="shared" si="555"/>
        <v>29314814.814814828</v>
      </c>
      <c r="DV258" s="148">
        <f t="shared" si="555"/>
        <v>28333333.333333347</v>
      </c>
      <c r="DW258" s="148">
        <f t="shared" si="555"/>
        <v>27351851.851851866</v>
      </c>
      <c r="DX258" s="148">
        <f t="shared" si="555"/>
        <v>26370370.370370384</v>
      </c>
      <c r="DY258" s="148">
        <f t="shared" si="555"/>
        <v>25388888.888888903</v>
      </c>
    </row>
    <row r="259" spans="2:129" outlineLevel="1">
      <c r="C259" s="9"/>
      <c r="D259" s="9"/>
      <c r="E259" s="9"/>
      <c r="G259" s="198"/>
      <c r="H259" s="198"/>
      <c r="I259" s="443"/>
      <c r="J259" s="11"/>
      <c r="L259" s="11"/>
      <c r="N259" s="11"/>
      <c r="P259" s="11"/>
      <c r="Q259" s="11"/>
      <c r="X259" s="103"/>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row>
    <row r="260" spans="2:129" outlineLevel="1">
      <c r="C260" s="10" t="s">
        <v>123</v>
      </c>
      <c r="D260" s="9"/>
      <c r="E260" s="9"/>
      <c r="G260" s="198"/>
      <c r="H260" s="198"/>
      <c r="I260" s="443"/>
      <c r="J260" s="11"/>
      <c r="L260" s="11"/>
      <c r="N260" s="11"/>
      <c r="P260" s="11"/>
      <c r="Q260" s="11"/>
      <c r="X260" s="103"/>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row>
    <row r="261" spans="2:129" outlineLevel="1">
      <c r="C261" s="9"/>
      <c r="D261" s="9" t="s">
        <v>100</v>
      </c>
      <c r="E261" s="9"/>
      <c r="F261" s="5" t="s">
        <v>170</v>
      </c>
      <c r="H261" s="195"/>
      <c r="I261" s="440">
        <f>'Model Assumptions'!F124</f>
        <v>550000</v>
      </c>
      <c r="J261" s="113">
        <f>+I261+_cfEquity</f>
        <v>5550000</v>
      </c>
      <c r="K261" s="113">
        <f>+J261+_cfEquity</f>
        <v>5550000</v>
      </c>
      <c r="L261" s="113">
        <f t="shared" ref="L261:V261" si="556">+K261+_cfEquity</f>
        <v>5550000</v>
      </c>
      <c r="M261" s="113">
        <f t="shared" si="556"/>
        <v>5550000</v>
      </c>
      <c r="N261" s="113">
        <f t="shared" si="556"/>
        <v>5550000</v>
      </c>
      <c r="O261" s="113">
        <f t="shared" si="556"/>
        <v>5550000</v>
      </c>
      <c r="P261" s="113">
        <f t="shared" si="556"/>
        <v>5550000</v>
      </c>
      <c r="Q261" s="113">
        <f t="shared" si="556"/>
        <v>5550000</v>
      </c>
      <c r="R261" s="113">
        <f t="shared" si="556"/>
        <v>5550000</v>
      </c>
      <c r="S261" s="113">
        <f t="shared" si="556"/>
        <v>5550000</v>
      </c>
      <c r="T261" s="113">
        <f t="shared" si="556"/>
        <v>5550000</v>
      </c>
      <c r="U261" s="113">
        <f t="shared" si="556"/>
        <v>5550000</v>
      </c>
      <c r="V261" s="113">
        <f t="shared" si="556"/>
        <v>5550000</v>
      </c>
      <c r="W261" s="113">
        <f t="shared" ref="W261:AW261" si="557">+V261+_cfEquity</f>
        <v>5550000</v>
      </c>
      <c r="X261" s="113">
        <f t="shared" si="557"/>
        <v>5550000</v>
      </c>
      <c r="Y261" s="113">
        <f t="shared" si="557"/>
        <v>5550000</v>
      </c>
      <c r="Z261" s="113">
        <f t="shared" si="557"/>
        <v>5550000</v>
      </c>
      <c r="AA261" s="113">
        <f t="shared" si="557"/>
        <v>5550000</v>
      </c>
      <c r="AB261" s="113">
        <f t="shared" si="557"/>
        <v>5550000</v>
      </c>
      <c r="AC261" s="113">
        <f t="shared" si="557"/>
        <v>5550000</v>
      </c>
      <c r="AD261" s="113">
        <f t="shared" si="557"/>
        <v>5550000</v>
      </c>
      <c r="AE261" s="113">
        <f t="shared" si="557"/>
        <v>5550000</v>
      </c>
      <c r="AF261" s="113">
        <f t="shared" si="557"/>
        <v>5550000</v>
      </c>
      <c r="AG261" s="113">
        <f t="shared" si="557"/>
        <v>5550000</v>
      </c>
      <c r="AH261" s="113">
        <f t="shared" si="557"/>
        <v>15550000</v>
      </c>
      <c r="AI261" s="113">
        <f t="shared" si="557"/>
        <v>15550000</v>
      </c>
      <c r="AJ261" s="113">
        <f t="shared" si="557"/>
        <v>15550000</v>
      </c>
      <c r="AK261" s="113">
        <f t="shared" si="557"/>
        <v>15550000</v>
      </c>
      <c r="AL261" s="113">
        <f t="shared" si="557"/>
        <v>15550000</v>
      </c>
      <c r="AM261" s="113">
        <f t="shared" si="557"/>
        <v>15550000</v>
      </c>
      <c r="AN261" s="113">
        <f t="shared" si="557"/>
        <v>15550000</v>
      </c>
      <c r="AO261" s="113">
        <f t="shared" si="557"/>
        <v>15550000</v>
      </c>
      <c r="AP261" s="113">
        <f t="shared" si="557"/>
        <v>15550000</v>
      </c>
      <c r="AQ261" s="113">
        <f t="shared" si="557"/>
        <v>15550000</v>
      </c>
      <c r="AR261" s="113">
        <f t="shared" si="557"/>
        <v>15550000</v>
      </c>
      <c r="AS261" s="113">
        <f t="shared" si="557"/>
        <v>15550000</v>
      </c>
      <c r="AT261" s="113">
        <f t="shared" si="557"/>
        <v>15550000</v>
      </c>
      <c r="AU261" s="113">
        <f t="shared" si="557"/>
        <v>15550000</v>
      </c>
      <c r="AV261" s="113">
        <f t="shared" si="557"/>
        <v>15550000</v>
      </c>
      <c r="AW261" s="113">
        <f t="shared" si="557"/>
        <v>15550000</v>
      </c>
      <c r="AX261" s="113">
        <f t="shared" ref="AX261:CC261" si="558">+AW261+_cfEquity</f>
        <v>15550000</v>
      </c>
      <c r="AY261" s="113">
        <f t="shared" si="558"/>
        <v>15550000</v>
      </c>
      <c r="AZ261" s="113">
        <f t="shared" si="558"/>
        <v>15550000</v>
      </c>
      <c r="BA261" s="113">
        <f t="shared" si="558"/>
        <v>15550000</v>
      </c>
      <c r="BB261" s="113">
        <f t="shared" si="558"/>
        <v>15550000</v>
      </c>
      <c r="BC261" s="113">
        <f t="shared" si="558"/>
        <v>15550000</v>
      </c>
      <c r="BD261" s="113">
        <f t="shared" si="558"/>
        <v>15550000</v>
      </c>
      <c r="BE261" s="113">
        <f t="shared" si="558"/>
        <v>15550000</v>
      </c>
      <c r="BF261" s="113">
        <f t="shared" si="558"/>
        <v>15550000</v>
      </c>
      <c r="BG261" s="113">
        <f t="shared" si="558"/>
        <v>15550000</v>
      </c>
      <c r="BH261" s="113">
        <f t="shared" si="558"/>
        <v>15550000</v>
      </c>
      <c r="BI261" s="113">
        <f t="shared" si="558"/>
        <v>15550000</v>
      </c>
      <c r="BJ261" s="113">
        <f t="shared" si="558"/>
        <v>15550000</v>
      </c>
      <c r="BK261" s="113">
        <f t="shared" si="558"/>
        <v>15550000</v>
      </c>
      <c r="BL261" s="113">
        <f t="shared" si="558"/>
        <v>15550000</v>
      </c>
      <c r="BM261" s="113">
        <f t="shared" si="558"/>
        <v>15550000</v>
      </c>
      <c r="BN261" s="113">
        <f t="shared" si="558"/>
        <v>15550000</v>
      </c>
      <c r="BO261" s="113">
        <f t="shared" si="558"/>
        <v>15550000</v>
      </c>
      <c r="BP261" s="113">
        <f t="shared" si="558"/>
        <v>15550000</v>
      </c>
      <c r="BQ261" s="113">
        <f t="shared" si="558"/>
        <v>15550000</v>
      </c>
      <c r="BR261" s="113">
        <f t="shared" si="558"/>
        <v>15550000</v>
      </c>
      <c r="BS261" s="113">
        <f t="shared" si="558"/>
        <v>15550000</v>
      </c>
      <c r="BT261" s="113">
        <f t="shared" si="558"/>
        <v>15550000</v>
      </c>
      <c r="BU261" s="113">
        <f t="shared" si="558"/>
        <v>15550000</v>
      </c>
      <c r="BV261" s="113">
        <f t="shared" si="558"/>
        <v>15550000</v>
      </c>
      <c r="BW261" s="113">
        <f t="shared" si="558"/>
        <v>15550000</v>
      </c>
      <c r="BX261" s="113">
        <f t="shared" si="558"/>
        <v>15550000</v>
      </c>
      <c r="BY261" s="113">
        <f t="shared" si="558"/>
        <v>15550000</v>
      </c>
      <c r="BZ261" s="113">
        <f t="shared" si="558"/>
        <v>15550000</v>
      </c>
      <c r="CA261" s="113">
        <f t="shared" si="558"/>
        <v>15550000</v>
      </c>
      <c r="CB261" s="113">
        <f t="shared" si="558"/>
        <v>15550000</v>
      </c>
      <c r="CC261" s="113">
        <f t="shared" si="558"/>
        <v>15550000</v>
      </c>
      <c r="CD261" s="113">
        <f t="shared" ref="CD261:DY261" si="559">+CC261+_cfEquity</f>
        <v>15550000</v>
      </c>
      <c r="CE261" s="113">
        <f t="shared" si="559"/>
        <v>15550000</v>
      </c>
      <c r="CF261" s="113">
        <f t="shared" si="559"/>
        <v>15550000</v>
      </c>
      <c r="CG261" s="113">
        <f t="shared" si="559"/>
        <v>15550000</v>
      </c>
      <c r="CH261" s="113">
        <f t="shared" si="559"/>
        <v>15550000</v>
      </c>
      <c r="CI261" s="113">
        <f t="shared" si="559"/>
        <v>15550000</v>
      </c>
      <c r="CJ261" s="113">
        <f t="shared" si="559"/>
        <v>15550000</v>
      </c>
      <c r="CK261" s="113">
        <f t="shared" si="559"/>
        <v>15550000</v>
      </c>
      <c r="CL261" s="113">
        <f t="shared" si="559"/>
        <v>15550000</v>
      </c>
      <c r="CM261" s="113">
        <f t="shared" si="559"/>
        <v>15550000</v>
      </c>
      <c r="CN261" s="113">
        <f t="shared" si="559"/>
        <v>15550000</v>
      </c>
      <c r="CO261" s="113">
        <f t="shared" si="559"/>
        <v>15550000</v>
      </c>
      <c r="CP261" s="113">
        <f t="shared" si="559"/>
        <v>15550000</v>
      </c>
      <c r="CQ261" s="113">
        <f t="shared" si="559"/>
        <v>15550000</v>
      </c>
      <c r="CR261" s="113">
        <f t="shared" si="559"/>
        <v>15550000</v>
      </c>
      <c r="CS261" s="113">
        <f t="shared" si="559"/>
        <v>15550000</v>
      </c>
      <c r="CT261" s="113">
        <f t="shared" si="559"/>
        <v>15550000</v>
      </c>
      <c r="CU261" s="113">
        <f t="shared" si="559"/>
        <v>15550000</v>
      </c>
      <c r="CV261" s="113">
        <f t="shared" si="559"/>
        <v>15550000</v>
      </c>
      <c r="CW261" s="113">
        <f t="shared" si="559"/>
        <v>15550000</v>
      </c>
      <c r="CX261" s="113">
        <f t="shared" si="559"/>
        <v>15550000</v>
      </c>
      <c r="CY261" s="113">
        <f t="shared" si="559"/>
        <v>15550000</v>
      </c>
      <c r="CZ261" s="113">
        <f t="shared" si="559"/>
        <v>15550000</v>
      </c>
      <c r="DA261" s="113">
        <f t="shared" si="559"/>
        <v>15550000</v>
      </c>
      <c r="DB261" s="113">
        <f t="shared" si="559"/>
        <v>15550000</v>
      </c>
      <c r="DC261" s="113">
        <f t="shared" si="559"/>
        <v>15550000</v>
      </c>
      <c r="DD261" s="113">
        <f t="shared" si="559"/>
        <v>15550000</v>
      </c>
      <c r="DE261" s="113">
        <f t="shared" si="559"/>
        <v>15550000</v>
      </c>
      <c r="DF261" s="113">
        <f t="shared" si="559"/>
        <v>15550000</v>
      </c>
      <c r="DG261" s="113">
        <f t="shared" si="559"/>
        <v>15550000</v>
      </c>
      <c r="DH261" s="113">
        <f t="shared" si="559"/>
        <v>15550000</v>
      </c>
      <c r="DI261" s="113">
        <f t="shared" si="559"/>
        <v>15550000</v>
      </c>
      <c r="DJ261" s="113">
        <f t="shared" si="559"/>
        <v>15550000</v>
      </c>
      <c r="DK261" s="113">
        <f t="shared" si="559"/>
        <v>15550000</v>
      </c>
      <c r="DL261" s="113">
        <f t="shared" si="559"/>
        <v>15550000</v>
      </c>
      <c r="DM261" s="113">
        <f t="shared" si="559"/>
        <v>15550000</v>
      </c>
      <c r="DN261" s="113">
        <f t="shared" si="559"/>
        <v>15550000</v>
      </c>
      <c r="DO261" s="113">
        <f t="shared" si="559"/>
        <v>15550000</v>
      </c>
      <c r="DP261" s="113">
        <f t="shared" si="559"/>
        <v>15550000</v>
      </c>
      <c r="DQ261" s="113">
        <f t="shared" si="559"/>
        <v>15550000</v>
      </c>
      <c r="DR261" s="113">
        <f t="shared" si="559"/>
        <v>15550000</v>
      </c>
      <c r="DS261" s="113">
        <f t="shared" si="559"/>
        <v>15550000</v>
      </c>
      <c r="DT261" s="113">
        <f t="shared" si="559"/>
        <v>15550000</v>
      </c>
      <c r="DU261" s="113">
        <f t="shared" si="559"/>
        <v>15550000</v>
      </c>
      <c r="DV261" s="113">
        <f t="shared" si="559"/>
        <v>15550000</v>
      </c>
      <c r="DW261" s="113">
        <f t="shared" si="559"/>
        <v>15550000</v>
      </c>
      <c r="DX261" s="113">
        <f t="shared" si="559"/>
        <v>15550000</v>
      </c>
      <c r="DY261" s="113">
        <f t="shared" si="559"/>
        <v>15550000</v>
      </c>
    </row>
    <row r="262" spans="2:129" outlineLevel="1">
      <c r="C262" s="9"/>
      <c r="D262" s="9" t="s">
        <v>101</v>
      </c>
      <c r="E262" s="9"/>
      <c r="F262" s="5" t="s">
        <v>171</v>
      </c>
      <c r="H262" s="195"/>
      <c r="I262" s="440">
        <f>'Model Assumptions'!F125</f>
        <v>0</v>
      </c>
      <c r="J262" s="113">
        <f ca="1">+I262+_NetIncomeCash</f>
        <v>2763702.8241691752</v>
      </c>
      <c r="K262" s="113">
        <f t="shared" ref="K262:AO262" ca="1" si="560">+J262+_NetIncomeCash</f>
        <v>2507732.4198232004</v>
      </c>
      <c r="L262" s="113">
        <f t="shared" ca="1" si="560"/>
        <v>2258574.7163570914</v>
      </c>
      <c r="M262" s="113">
        <f t="shared" ca="1" si="560"/>
        <v>2016584.5903739466</v>
      </c>
      <c r="N262" s="113">
        <f t="shared" ca="1" si="560"/>
        <v>1782121.4358427417</v>
      </c>
      <c r="O262" s="113">
        <f t="shared" ca="1" si="560"/>
        <v>1555549.2868129818</v>
      </c>
      <c r="P262" s="113">
        <f t="shared" ca="1" si="560"/>
        <v>1337236.9421505451</v>
      </c>
      <c r="Q262" s="113">
        <f t="shared" ca="1" si="560"/>
        <v>1127558.0923412957</v>
      </c>
      <c r="R262" s="113">
        <f t="shared" ca="1" si="560"/>
        <v>926891.44840988668</v>
      </c>
      <c r="S262" s="113">
        <f t="shared" ca="1" si="560"/>
        <v>735620.87300202902</v>
      </c>
      <c r="T262" s="113">
        <f t="shared" ca="1" si="560"/>
        <v>554135.51367937343</v>
      </c>
      <c r="U262" s="113">
        <f t="shared" ca="1" si="560"/>
        <v>382829.93847706268</v>
      </c>
      <c r="V262" s="113">
        <f t="shared" ca="1" si="560"/>
        <v>239909.77536686228</v>
      </c>
      <c r="W262" s="113">
        <f t="shared" ca="1" si="560"/>
        <v>111066.53851515229</v>
      </c>
      <c r="X262" s="113">
        <f t="shared" ca="1" si="560"/>
        <v>-3410.0798680743028</v>
      </c>
      <c r="Y262" s="113">
        <f t="shared" ca="1" si="560"/>
        <v>-103225.87076636989</v>
      </c>
      <c r="Z262" s="113">
        <f t="shared" ca="1" si="560"/>
        <v>-188081.99979290654</v>
      </c>
      <c r="AA262" s="113">
        <f t="shared" ca="1" si="560"/>
        <v>-257674.8967284984</v>
      </c>
      <c r="AB262" s="113">
        <f t="shared" ca="1" si="560"/>
        <v>1484138.980879836</v>
      </c>
      <c r="AC262" s="113">
        <f t="shared" ca="1" si="560"/>
        <v>1435045.2612874541</v>
      </c>
      <c r="AD262" s="113">
        <f t="shared" ca="1" si="560"/>
        <v>1395225.1357086003</v>
      </c>
      <c r="AE262" s="113">
        <f t="shared" ca="1" si="560"/>
        <v>1364862.727295754</v>
      </c>
      <c r="AF262" s="113">
        <f t="shared" ca="1" si="560"/>
        <v>1344145.159657609</v>
      </c>
      <c r="AG262" s="113">
        <f t="shared" ca="1" si="560"/>
        <v>1333262.626599279</v>
      </c>
      <c r="AH262" s="113">
        <f t="shared" ca="1" si="560"/>
        <v>683392.86705802195</v>
      </c>
      <c r="AI262" s="113">
        <f t="shared" ca="1" si="560"/>
        <v>549114.28947400348</v>
      </c>
      <c r="AJ262" s="113">
        <f t="shared" ca="1" si="560"/>
        <v>430717.58036318107</v>
      </c>
      <c r="AK262" s="113">
        <f t="shared" ca="1" si="560"/>
        <v>328498.3156493986</v>
      </c>
      <c r="AL262" s="113">
        <f t="shared" ca="1" si="560"/>
        <v>242757.07215640214</v>
      </c>
      <c r="AM262" s="113">
        <f t="shared" ca="1" si="560"/>
        <v>170475.21779207286</v>
      </c>
      <c r="AN262" s="113">
        <f t="shared" ca="1" si="560"/>
        <v>112060.9765831952</v>
      </c>
      <c r="AO262" s="113">
        <f t="shared" ca="1" si="560"/>
        <v>64946.962840191743</v>
      </c>
      <c r="AP262" s="113">
        <f t="shared" ref="AP262:BU262" ca="1" si="561">+AO262+_NetIncomeCash</f>
        <v>29287.383602518596</v>
      </c>
      <c r="AQ262" s="113">
        <f t="shared" ca="1" si="561"/>
        <v>5239.1190502339086</v>
      </c>
      <c r="AR262" s="113">
        <f t="shared" ca="1" si="561"/>
        <v>-7038.2175035398686</v>
      </c>
      <c r="AS262" s="113">
        <f t="shared" ca="1" si="561"/>
        <v>-7382.218525924538</v>
      </c>
      <c r="AT262" s="113">
        <f t="shared" ca="1" si="561"/>
        <v>61169.399851397327</v>
      </c>
      <c r="AU262" s="113">
        <f t="shared" ca="1" si="561"/>
        <v>140526.67966826205</v>
      </c>
      <c r="AV262" s="113">
        <f t="shared" ca="1" si="561"/>
        <v>230883.68642675967</v>
      </c>
      <c r="AW262" s="113">
        <f t="shared" ca="1" si="561"/>
        <v>332437.99320059892</v>
      </c>
      <c r="AX262" s="113">
        <f t="shared" ca="1" si="561"/>
        <v>445390.75671146798</v>
      </c>
      <c r="AY262" s="113">
        <f t="shared" ca="1" si="561"/>
        <v>569946.79483121703</v>
      </c>
      <c r="AZ262" s="113">
        <f t="shared" ca="1" si="561"/>
        <v>706314.66553993686</v>
      </c>
      <c r="BA262" s="113">
        <f t="shared" ca="1" si="561"/>
        <v>854706.74737059977</v>
      </c>
      <c r="BB262" s="113">
        <f t="shared" ca="1" si="561"/>
        <v>1015339.3213714955</v>
      </c>
      <c r="BC262" s="113">
        <f t="shared" ca="1" si="561"/>
        <v>1188432.6546183205</v>
      </c>
      <c r="BD262" s="113">
        <f t="shared" ca="1" si="561"/>
        <v>1374211.0853083641</v>
      </c>
      <c r="BE262" s="113">
        <f t="shared" ca="1" si="561"/>
        <v>1572903.1094698869</v>
      </c>
      <c r="BF262" s="113">
        <f t="shared" ca="1" si="561"/>
        <v>1580901.7805124135</v>
      </c>
      <c r="BG262" s="113">
        <f t="shared" ca="1" si="561"/>
        <v>1746161.6573949005</v>
      </c>
      <c r="BH262" s="113">
        <f t="shared" ca="1" si="561"/>
        <v>1924921.4100429828</v>
      </c>
      <c r="BI262" s="113">
        <f t="shared" ca="1" si="561"/>
        <v>2117424.1770800753</v>
      </c>
      <c r="BJ262" s="113">
        <f t="shared" ca="1" si="561"/>
        <v>2323917.660036332</v>
      </c>
      <c r="BK262" s="113">
        <f t="shared" ca="1" si="561"/>
        <v>2544654.2193636312</v>
      </c>
      <c r="BL262" s="113">
        <f t="shared" ca="1" si="561"/>
        <v>2781002.0834051012</v>
      </c>
      <c r="BM262" s="113">
        <f t="shared" ca="1" si="561"/>
        <v>3033223.2259128685</v>
      </c>
      <c r="BN262" s="113">
        <f t="shared" ca="1" si="561"/>
        <v>3301584.578819558</v>
      </c>
      <c r="BO262" s="113">
        <f t="shared" ca="1" si="561"/>
        <v>3586358.1358587258</v>
      </c>
      <c r="BP262" s="113">
        <f t="shared" ca="1" si="561"/>
        <v>3887821.0581857399</v>
      </c>
      <c r="BQ262" s="113">
        <f t="shared" ca="1" si="561"/>
        <v>4206255.7820402812</v>
      </c>
      <c r="BR262" s="113">
        <f t="shared" ca="1" si="561"/>
        <v>4334088.5466479212</v>
      </c>
      <c r="BS262" s="113">
        <f t="shared" ca="1" si="561"/>
        <v>4598364.4443620676</v>
      </c>
      <c r="BT262" s="113">
        <f t="shared" ca="1" si="561"/>
        <v>4878522.9515016116</v>
      </c>
      <c r="BU262" s="113">
        <f t="shared" ca="1" si="561"/>
        <v>5174000.4549048068</v>
      </c>
      <c r="BV262" s="113">
        <f t="shared" ref="BV262:CC262" ca="1" si="562">+BU262+_NetIncomeCash</f>
        <v>5484230.1103911502</v>
      </c>
      <c r="BW262" s="113">
        <f t="shared" ca="1" si="562"/>
        <v>5808641.6991656199</v>
      </c>
      <c r="BX262" s="113">
        <f t="shared" ca="1" si="562"/>
        <v>6147587.4080427382</v>
      </c>
      <c r="BY262" s="113">
        <f t="shared" ca="1" si="562"/>
        <v>6500489.829737355</v>
      </c>
      <c r="BZ262" s="113">
        <f t="shared" ca="1" si="562"/>
        <v>6866767.7387274178</v>
      </c>
      <c r="CA262" s="113">
        <f t="shared" ca="1" si="562"/>
        <v>7245835.938933773</v>
      </c>
      <c r="CB262" s="113">
        <f t="shared" ca="1" si="562"/>
        <v>7637105.109090725</v>
      </c>
      <c r="CC262" s="113">
        <f t="shared" ca="1" si="562"/>
        <v>8039981.6457541687</v>
      </c>
      <c r="CD262" s="113">
        <f t="shared" ref="CD262:DY262" ca="1" si="563">+CC262+_NetIncomeCash</f>
        <v>8282727.8571066288</v>
      </c>
      <c r="CE262" s="113">
        <f t="shared" ca="1" si="563"/>
        <v>8655023.2950366326</v>
      </c>
      <c r="CF262" s="113">
        <f t="shared" ca="1" si="563"/>
        <v>9036566.7211265657</v>
      </c>
      <c r="CG262" s="113">
        <f t="shared" ca="1" si="563"/>
        <v>9427054.8523798566</v>
      </c>
      <c r="CH262" s="113">
        <f t="shared" ca="1" si="563"/>
        <v>9826182.2817219999</v>
      </c>
      <c r="CI262" s="113">
        <f t="shared" ca="1" si="563"/>
        <v>10233641.397277767</v>
      </c>
      <c r="CJ262" s="113">
        <f t="shared" ca="1" si="563"/>
        <v>10650048.226322714</v>
      </c>
      <c r="CK262" s="113">
        <f t="shared" ca="1" si="563"/>
        <v>11075090.500176968</v>
      </c>
      <c r="CL262" s="113">
        <f t="shared" ca="1" si="563"/>
        <v>11508453.495567961</v>
      </c>
      <c r="CM262" s="113">
        <f t="shared" ca="1" si="563"/>
        <v>11949819.948728979</v>
      </c>
      <c r="CN262" s="113">
        <f t="shared" ca="1" si="563"/>
        <v>12398869.968129488</v>
      </c>
      <c r="CO262" s="113">
        <f t="shared" ca="1" si="563"/>
        <v>12855280.945806647</v>
      </c>
      <c r="CP262" s="113">
        <f t="shared" ca="1" si="563"/>
        <v>13146101.930157989</v>
      </c>
      <c r="CQ262" s="113">
        <f t="shared" ca="1" si="563"/>
        <v>13561189.70507431</v>
      </c>
      <c r="CR262" s="113">
        <f t="shared" ca="1" si="563"/>
        <v>13980399.85478189</v>
      </c>
      <c r="CS262" s="113">
        <f t="shared" ca="1" si="563"/>
        <v>14403586.721535398</v>
      </c>
      <c r="CT262" s="113">
        <f t="shared" ca="1" si="563"/>
        <v>14830603.365291344</v>
      </c>
      <c r="CU262" s="113">
        <f t="shared" ca="1" si="563"/>
        <v>15261301.522713602</v>
      </c>
      <c r="CV262" s="113">
        <f t="shared" ca="1" si="563"/>
        <v>15696243.422849601</v>
      </c>
      <c r="CW262" s="113">
        <f t="shared" ca="1" si="563"/>
        <v>16135395.114355898</v>
      </c>
      <c r="CX262" s="113">
        <f t="shared" ca="1" si="563"/>
        <v>16578737.762228623</v>
      </c>
      <c r="CY262" s="113">
        <f t="shared" ca="1" si="563"/>
        <v>17026252.354334187</v>
      </c>
      <c r="CZ262" s="113">
        <f t="shared" ca="1" si="563"/>
        <v>17477919.696753647</v>
      </c>
      <c r="DA262" s="113">
        <f t="shared" ca="1" si="563"/>
        <v>17933720.409030393</v>
      </c>
      <c r="DB262" s="113">
        <f t="shared" ca="1" si="563"/>
        <v>18223626.83027821</v>
      </c>
      <c r="DC262" s="113">
        <f t="shared" ca="1" si="563"/>
        <v>18637619.899762899</v>
      </c>
      <c r="DD262" s="113">
        <f t="shared" ca="1" si="563"/>
        <v>19055682.03874778</v>
      </c>
      <c r="DE262" s="113">
        <f t="shared" ca="1" si="563"/>
        <v>19477795.4843807</v>
      </c>
      <c r="DF262" s="113">
        <f t="shared" ca="1" si="563"/>
        <v>19903942.285135113</v>
      </c>
      <c r="DG262" s="113">
        <f t="shared" ca="1" si="563"/>
        <v>20334104.296155479</v>
      </c>
      <c r="DH262" s="113">
        <f t="shared" ca="1" si="563"/>
        <v>20769189.100431204</v>
      </c>
      <c r="DI262" s="113">
        <f t="shared" ca="1" si="563"/>
        <v>21209178.152093779</v>
      </c>
      <c r="DJ262" s="113">
        <f t="shared" ca="1" si="563"/>
        <v>21654052.697390907</v>
      </c>
      <c r="DK262" s="113">
        <f t="shared" ca="1" si="563"/>
        <v>22103793.769632176</v>
      </c>
      <c r="DL262" s="113">
        <f t="shared" ca="1" si="563"/>
        <v>22558382.184030373</v>
      </c>
      <c r="DM262" s="113">
        <f t="shared" ca="1" si="563"/>
        <v>23017798.532436613</v>
      </c>
      <c r="DN262" s="113">
        <f t="shared" ca="1" si="563"/>
        <v>23259894.873735297</v>
      </c>
      <c r="DO262" s="113">
        <f t="shared" ca="1" si="563"/>
        <v>23661663.976877179</v>
      </c>
      <c r="DP262" s="113">
        <f t="shared" ca="1" si="563"/>
        <v>24067098.493983153</v>
      </c>
      <c r="DQ262" s="113">
        <f t="shared" ca="1" si="563"/>
        <v>24476190.95837215</v>
      </c>
      <c r="DR262" s="113">
        <f t="shared" ca="1" si="563"/>
        <v>24888933.782555778</v>
      </c>
      <c r="DS262" s="113">
        <f t="shared" ca="1" si="563"/>
        <v>25305319.256178308</v>
      </c>
      <c r="DT262" s="113">
        <f t="shared" ca="1" si="563"/>
        <v>25726543.247604877</v>
      </c>
      <c r="DU262" s="113">
        <f t="shared" ca="1" si="563"/>
        <v>26152597.794342358</v>
      </c>
      <c r="DV262" s="113">
        <f t="shared" ca="1" si="563"/>
        <v>26583474.804514296</v>
      </c>
      <c r="DW262" s="113">
        <f t="shared" ca="1" si="563"/>
        <v>27019166.054574244</v>
      </c>
      <c r="DX262" s="113">
        <f t="shared" ca="1" si="563"/>
        <v>27459663.186960373</v>
      </c>
      <c r="DY262" s="113">
        <f t="shared" ca="1" si="563"/>
        <v>27904957.707690459</v>
      </c>
    </row>
    <row r="263" spans="2:129" outlineLevel="1">
      <c r="C263" s="68" t="s">
        <v>115</v>
      </c>
      <c r="D263" s="56"/>
      <c r="E263" s="56"/>
      <c r="F263" s="56"/>
      <c r="G263" s="89"/>
      <c r="H263" s="89"/>
      <c r="I263" s="446"/>
      <c r="J263" s="90">
        <f ca="1">+J262+J261</f>
        <v>8313702.8241691757</v>
      </c>
      <c r="K263" s="90">
        <f t="shared" ref="K263:BV263" ca="1" si="564">+K262+K261</f>
        <v>8057732.4198232004</v>
      </c>
      <c r="L263" s="90">
        <f t="shared" ca="1" si="564"/>
        <v>7808574.7163570914</v>
      </c>
      <c r="M263" s="90">
        <f t="shared" ca="1" si="564"/>
        <v>7566584.5903739464</v>
      </c>
      <c r="N263" s="90">
        <f t="shared" ca="1" si="564"/>
        <v>7332121.4358427413</v>
      </c>
      <c r="O263" s="90">
        <f t="shared" ca="1" si="564"/>
        <v>7105549.2868129816</v>
      </c>
      <c r="P263" s="90">
        <f t="shared" ca="1" si="564"/>
        <v>6887236.9421505453</v>
      </c>
      <c r="Q263" s="90">
        <f t="shared" ca="1" si="564"/>
        <v>6677558.0923412954</v>
      </c>
      <c r="R263" s="90">
        <f t="shared" ca="1" si="564"/>
        <v>6476891.448409887</v>
      </c>
      <c r="S263" s="90">
        <f t="shared" ca="1" si="564"/>
        <v>6285620.873002029</v>
      </c>
      <c r="T263" s="90">
        <f t="shared" ca="1" si="564"/>
        <v>6104135.5136793731</v>
      </c>
      <c r="U263" s="90">
        <f t="shared" ca="1" si="564"/>
        <v>5932829.9384770626</v>
      </c>
      <c r="V263" s="90">
        <f t="shared" ca="1" si="564"/>
        <v>5789909.7753668623</v>
      </c>
      <c r="W263" s="90">
        <f t="shared" ca="1" si="564"/>
        <v>5661066.5385151524</v>
      </c>
      <c r="X263" s="90">
        <f t="shared" ca="1" si="564"/>
        <v>5546589.9201319255</v>
      </c>
      <c r="Y263" s="90">
        <f t="shared" ca="1" si="564"/>
        <v>5446774.1292336304</v>
      </c>
      <c r="Z263" s="90">
        <f t="shared" ca="1" si="564"/>
        <v>5361918.0002070935</v>
      </c>
      <c r="AA263" s="90">
        <f t="shared" ca="1" si="564"/>
        <v>5292325.1032715011</v>
      </c>
      <c r="AB263" s="90">
        <f t="shared" ca="1" si="564"/>
        <v>7034138.9808798358</v>
      </c>
      <c r="AC263" s="90">
        <f t="shared" ca="1" si="564"/>
        <v>6985045.2612874545</v>
      </c>
      <c r="AD263" s="90">
        <f t="shared" ca="1" si="564"/>
        <v>6945225.1357086003</v>
      </c>
      <c r="AE263" s="90">
        <f t="shared" ca="1" si="564"/>
        <v>6914862.7272957545</v>
      </c>
      <c r="AF263" s="90">
        <f t="shared" ca="1" si="564"/>
        <v>6894145.1596576087</v>
      </c>
      <c r="AG263" s="90">
        <f t="shared" ca="1" si="564"/>
        <v>6883262.6265992792</v>
      </c>
      <c r="AH263" s="90">
        <f t="shared" ca="1" si="564"/>
        <v>16233392.867058022</v>
      </c>
      <c r="AI263" s="90">
        <f t="shared" ca="1" si="564"/>
        <v>16099114.289474003</v>
      </c>
      <c r="AJ263" s="90">
        <f t="shared" ca="1" si="564"/>
        <v>15980717.58036318</v>
      </c>
      <c r="AK263" s="90">
        <f t="shared" ca="1" si="564"/>
        <v>15878498.315649398</v>
      </c>
      <c r="AL263" s="90">
        <f t="shared" ca="1" si="564"/>
        <v>15792757.072156401</v>
      </c>
      <c r="AM263" s="90">
        <f t="shared" ca="1" si="564"/>
        <v>15720475.217792073</v>
      </c>
      <c r="AN263" s="90">
        <f t="shared" ca="1" si="564"/>
        <v>15662060.976583196</v>
      </c>
      <c r="AO263" s="90">
        <f t="shared" ca="1" si="564"/>
        <v>15614946.962840192</v>
      </c>
      <c r="AP263" s="90">
        <f t="shared" ca="1" si="564"/>
        <v>15579287.383602519</v>
      </c>
      <c r="AQ263" s="90">
        <f t="shared" ca="1" si="564"/>
        <v>15555239.119050235</v>
      </c>
      <c r="AR263" s="90">
        <f t="shared" ca="1" si="564"/>
        <v>15542961.78249646</v>
      </c>
      <c r="AS263" s="90">
        <f t="shared" ca="1" si="564"/>
        <v>15542617.781474076</v>
      </c>
      <c r="AT263" s="90">
        <f t="shared" ca="1" si="564"/>
        <v>15611169.399851397</v>
      </c>
      <c r="AU263" s="90">
        <f t="shared" ca="1" si="564"/>
        <v>15690526.679668263</v>
      </c>
      <c r="AV263" s="90">
        <f t="shared" ca="1" si="564"/>
        <v>15780883.686426759</v>
      </c>
      <c r="AW263" s="90">
        <f t="shared" ca="1" si="564"/>
        <v>15882437.993200598</v>
      </c>
      <c r="AX263" s="90">
        <f t="shared" ca="1" si="564"/>
        <v>15995390.756711468</v>
      </c>
      <c r="AY263" s="90">
        <f t="shared" ca="1" si="564"/>
        <v>16119946.794831216</v>
      </c>
      <c r="AZ263" s="90">
        <f t="shared" ca="1" si="564"/>
        <v>16256314.665539937</v>
      </c>
      <c r="BA263" s="90">
        <f t="shared" ca="1" si="564"/>
        <v>16404706.747370601</v>
      </c>
      <c r="BB263" s="90">
        <f t="shared" ca="1" si="564"/>
        <v>16565339.321371496</v>
      </c>
      <c r="BC263" s="90">
        <f t="shared" ca="1" si="564"/>
        <v>16738432.654618321</v>
      </c>
      <c r="BD263" s="90">
        <f t="shared" ca="1" si="564"/>
        <v>16924211.085308366</v>
      </c>
      <c r="BE263" s="90">
        <f t="shared" ca="1" si="564"/>
        <v>17122903.109469887</v>
      </c>
      <c r="BF263" s="90">
        <f t="shared" ca="1" si="564"/>
        <v>17130901.780512415</v>
      </c>
      <c r="BG263" s="90">
        <f t="shared" ca="1" si="564"/>
        <v>17296161.657394901</v>
      </c>
      <c r="BH263" s="90">
        <f t="shared" ca="1" si="564"/>
        <v>17474921.410042983</v>
      </c>
      <c r="BI263" s="90">
        <f t="shared" ca="1" si="564"/>
        <v>17667424.177080076</v>
      </c>
      <c r="BJ263" s="90">
        <f t="shared" ca="1" si="564"/>
        <v>17873917.660036333</v>
      </c>
      <c r="BK263" s="90">
        <f t="shared" ca="1" si="564"/>
        <v>18094654.21936363</v>
      </c>
      <c r="BL263" s="90">
        <f t="shared" ca="1" si="564"/>
        <v>18331002.0834051</v>
      </c>
      <c r="BM263" s="90">
        <f t="shared" ca="1" si="564"/>
        <v>18583223.225912869</v>
      </c>
      <c r="BN263" s="90">
        <f t="shared" ca="1" si="564"/>
        <v>18851584.578819558</v>
      </c>
      <c r="BO263" s="90">
        <f t="shared" ca="1" si="564"/>
        <v>19136358.135858726</v>
      </c>
      <c r="BP263" s="90">
        <f t="shared" ca="1" si="564"/>
        <v>19437821.058185741</v>
      </c>
      <c r="BQ263" s="90">
        <f t="shared" ca="1" si="564"/>
        <v>19756255.782040283</v>
      </c>
      <c r="BR263" s="90">
        <f t="shared" ca="1" si="564"/>
        <v>19884088.546647921</v>
      </c>
      <c r="BS263" s="90">
        <f t="shared" ca="1" si="564"/>
        <v>20148364.444362067</v>
      </c>
      <c r="BT263" s="90">
        <f t="shared" ca="1" si="564"/>
        <v>20428522.951501612</v>
      </c>
      <c r="BU263" s="90">
        <f t="shared" ca="1" si="564"/>
        <v>20724000.454904806</v>
      </c>
      <c r="BV263" s="90">
        <f t="shared" ca="1" si="564"/>
        <v>21034230.110391151</v>
      </c>
      <c r="BW263" s="90">
        <f t="shared" ref="BW263:DY263" ca="1" si="565">+BW262+BW261</f>
        <v>21358641.69916562</v>
      </c>
      <c r="BX263" s="90">
        <f t="shared" ca="1" si="565"/>
        <v>21697587.408042736</v>
      </c>
      <c r="BY263" s="90">
        <f t="shared" ca="1" si="565"/>
        <v>22050489.829737354</v>
      </c>
      <c r="BZ263" s="90">
        <f t="shared" ca="1" si="565"/>
        <v>22416767.738727417</v>
      </c>
      <c r="CA263" s="90">
        <f t="shared" ca="1" si="565"/>
        <v>22795835.938933775</v>
      </c>
      <c r="CB263" s="90">
        <f t="shared" ca="1" si="565"/>
        <v>23187105.109090723</v>
      </c>
      <c r="CC263" s="90">
        <f t="shared" ca="1" si="565"/>
        <v>23589981.64575417</v>
      </c>
      <c r="CD263" s="90">
        <f t="shared" ca="1" si="565"/>
        <v>23832727.85710663</v>
      </c>
      <c r="CE263" s="90">
        <f t="shared" ca="1" si="565"/>
        <v>24205023.295036633</v>
      </c>
      <c r="CF263" s="90">
        <f t="shared" ca="1" si="565"/>
        <v>24586566.721126564</v>
      </c>
      <c r="CG263" s="90">
        <f t="shared" ca="1" si="565"/>
        <v>24977054.852379858</v>
      </c>
      <c r="CH263" s="90">
        <f t="shared" ca="1" si="565"/>
        <v>25376182.281722002</v>
      </c>
      <c r="CI263" s="90">
        <f t="shared" ca="1" si="565"/>
        <v>25783641.397277765</v>
      </c>
      <c r="CJ263" s="90">
        <f t="shared" ca="1" si="565"/>
        <v>26200048.226322714</v>
      </c>
      <c r="CK263" s="90">
        <f t="shared" ca="1" si="565"/>
        <v>26625090.500176966</v>
      </c>
      <c r="CL263" s="90">
        <f t="shared" ca="1" si="565"/>
        <v>27058453.495567963</v>
      </c>
      <c r="CM263" s="90">
        <f t="shared" ca="1" si="565"/>
        <v>27499819.948728979</v>
      </c>
      <c r="CN263" s="90">
        <f t="shared" ca="1" si="565"/>
        <v>27948869.968129486</v>
      </c>
      <c r="CO263" s="90">
        <f t="shared" ca="1" si="565"/>
        <v>28405280.945806645</v>
      </c>
      <c r="CP263" s="90">
        <f t="shared" ca="1" si="565"/>
        <v>28696101.930157989</v>
      </c>
      <c r="CQ263" s="90">
        <f t="shared" ca="1" si="565"/>
        <v>29111189.70507431</v>
      </c>
      <c r="CR263" s="90">
        <f t="shared" ca="1" si="565"/>
        <v>29530399.854781888</v>
      </c>
      <c r="CS263" s="90">
        <f t="shared" ca="1" si="565"/>
        <v>29953586.7215354</v>
      </c>
      <c r="CT263" s="90">
        <f t="shared" ca="1" si="565"/>
        <v>30380603.365291342</v>
      </c>
      <c r="CU263" s="90">
        <f t="shared" ca="1" si="565"/>
        <v>30811301.522713602</v>
      </c>
      <c r="CV263" s="90">
        <f t="shared" ca="1" si="565"/>
        <v>31246243.422849603</v>
      </c>
      <c r="CW263" s="90">
        <f t="shared" ca="1" si="565"/>
        <v>31685395.114355899</v>
      </c>
      <c r="CX263" s="90">
        <f t="shared" ca="1" si="565"/>
        <v>32128737.762228623</v>
      </c>
      <c r="CY263" s="90">
        <f t="shared" ca="1" si="565"/>
        <v>32576252.354334187</v>
      </c>
      <c r="CZ263" s="90">
        <f t="shared" ca="1" si="565"/>
        <v>33027919.696753647</v>
      </c>
      <c r="DA263" s="90">
        <f t="shared" ca="1" si="565"/>
        <v>33483720.409030393</v>
      </c>
      <c r="DB263" s="90">
        <f t="shared" ca="1" si="565"/>
        <v>33773626.83027821</v>
      </c>
      <c r="DC263" s="90">
        <f t="shared" ca="1" si="565"/>
        <v>34187619.899762899</v>
      </c>
      <c r="DD263" s="90">
        <f t="shared" ca="1" si="565"/>
        <v>34605682.03874778</v>
      </c>
      <c r="DE263" s="90">
        <f t="shared" ca="1" si="565"/>
        <v>35027795.4843807</v>
      </c>
      <c r="DF263" s="90">
        <f t="shared" ca="1" si="565"/>
        <v>35453942.285135113</v>
      </c>
      <c r="DG263" s="90">
        <f t="shared" ca="1" si="565"/>
        <v>35884104.296155483</v>
      </c>
      <c r="DH263" s="90">
        <f t="shared" ca="1" si="565"/>
        <v>36319189.100431204</v>
      </c>
      <c r="DI263" s="90">
        <f t="shared" ca="1" si="565"/>
        <v>36759178.152093783</v>
      </c>
      <c r="DJ263" s="90">
        <f t="shared" ca="1" si="565"/>
        <v>37204052.697390907</v>
      </c>
      <c r="DK263" s="90">
        <f t="shared" ca="1" si="565"/>
        <v>37653793.769632176</v>
      </c>
      <c r="DL263" s="90">
        <f t="shared" ca="1" si="565"/>
        <v>38108382.184030369</v>
      </c>
      <c r="DM263" s="90">
        <f t="shared" ca="1" si="565"/>
        <v>38567798.532436609</v>
      </c>
      <c r="DN263" s="90">
        <f t="shared" ca="1" si="565"/>
        <v>38809894.873735294</v>
      </c>
      <c r="DO263" s="90">
        <f t="shared" ca="1" si="565"/>
        <v>39211663.976877183</v>
      </c>
      <c r="DP263" s="90">
        <f t="shared" ca="1" si="565"/>
        <v>39617098.49398315</v>
      </c>
      <c r="DQ263" s="90">
        <f t="shared" ca="1" si="565"/>
        <v>40026190.958372146</v>
      </c>
      <c r="DR263" s="90">
        <f t="shared" ca="1" si="565"/>
        <v>40438933.782555774</v>
      </c>
      <c r="DS263" s="90">
        <f t="shared" ca="1" si="565"/>
        <v>40855319.256178305</v>
      </c>
      <c r="DT263" s="90">
        <f t="shared" ca="1" si="565"/>
        <v>41276543.247604877</v>
      </c>
      <c r="DU263" s="90">
        <f t="shared" ca="1" si="565"/>
        <v>41702597.794342354</v>
      </c>
      <c r="DV263" s="90">
        <f t="shared" ca="1" si="565"/>
        <v>42133474.804514296</v>
      </c>
      <c r="DW263" s="90">
        <f t="shared" ca="1" si="565"/>
        <v>42569166.054574244</v>
      </c>
      <c r="DX263" s="90">
        <f t="shared" ca="1" si="565"/>
        <v>43009663.186960369</v>
      </c>
      <c r="DY263" s="90">
        <f t="shared" ca="1" si="565"/>
        <v>43454957.707690462</v>
      </c>
    </row>
    <row r="264" spans="2:129" s="37" customFormat="1" outlineLevel="1">
      <c r="C264" s="68" t="s">
        <v>124</v>
      </c>
      <c r="D264" s="68"/>
      <c r="E264" s="68"/>
      <c r="F264" s="68"/>
      <c r="G264" s="64"/>
      <c r="H264" s="64"/>
      <c r="I264" s="442"/>
      <c r="J264" s="64">
        <f t="shared" ref="J264:AO264" ca="1" si="566">+J263+J258</f>
        <v>18813702.824169174</v>
      </c>
      <c r="K264" s="64">
        <f t="shared" ca="1" si="566"/>
        <v>18557732.4198232</v>
      </c>
      <c r="L264" s="64">
        <f t="shared" ca="1" si="566"/>
        <v>18308574.71635709</v>
      </c>
      <c r="M264" s="64">
        <f t="shared" ca="1" si="566"/>
        <v>18066584.590373948</v>
      </c>
      <c r="N264" s="64">
        <f t="shared" ca="1" si="566"/>
        <v>17832121.435842741</v>
      </c>
      <c r="O264" s="64">
        <f t="shared" ca="1" si="566"/>
        <v>17605549.286812983</v>
      </c>
      <c r="P264" s="64">
        <f t="shared" ca="1" si="566"/>
        <v>17387236.942150544</v>
      </c>
      <c r="Q264" s="64">
        <f t="shared" ca="1" si="566"/>
        <v>17177558.092341296</v>
      </c>
      <c r="R264" s="64">
        <f t="shared" ca="1" si="566"/>
        <v>16976891.448409885</v>
      </c>
      <c r="S264" s="64">
        <f t="shared" ca="1" si="566"/>
        <v>16785620.87300203</v>
      </c>
      <c r="T264" s="64">
        <f t="shared" ca="1" si="566"/>
        <v>16604135.513679374</v>
      </c>
      <c r="U264" s="64">
        <f t="shared" ca="1" si="566"/>
        <v>16432829.938477062</v>
      </c>
      <c r="V264" s="64">
        <f t="shared" ca="1" si="566"/>
        <v>15873243.108700197</v>
      </c>
      <c r="W264" s="64">
        <f t="shared" ca="1" si="566"/>
        <v>15327733.20518182</v>
      </c>
      <c r="X264" s="64">
        <f t="shared" ca="1" si="566"/>
        <v>14796589.920131927</v>
      </c>
      <c r="Y264" s="64">
        <f t="shared" ca="1" si="566"/>
        <v>14280107.462566966</v>
      </c>
      <c r="Z264" s="64">
        <f t="shared" ca="1" si="566"/>
        <v>13778584.666873764</v>
      </c>
      <c r="AA264" s="64">
        <f t="shared" ca="1" si="566"/>
        <v>13292325.103271503</v>
      </c>
      <c r="AB264" s="64">
        <f t="shared" ca="1" si="566"/>
        <v>14617472.314213172</v>
      </c>
      <c r="AC264" s="64">
        <f t="shared" ca="1" si="566"/>
        <v>14151711.927954122</v>
      </c>
      <c r="AD264" s="64">
        <f t="shared" ca="1" si="566"/>
        <v>13695225.135708602</v>
      </c>
      <c r="AE264" s="64">
        <f t="shared" ca="1" si="566"/>
        <v>13248196.060629088</v>
      </c>
      <c r="AF264" s="64">
        <f t="shared" ca="1" si="566"/>
        <v>12810811.826324277</v>
      </c>
      <c r="AG264" s="64">
        <f t="shared" ca="1" si="566"/>
        <v>12383262.62659928</v>
      </c>
      <c r="AH264" s="64">
        <f t="shared" ca="1" si="566"/>
        <v>46316726.200391352</v>
      </c>
      <c r="AI264" s="64">
        <f t="shared" ca="1" si="566"/>
        <v>45765780.956140667</v>
      </c>
      <c r="AJ264" s="64">
        <f t="shared" ca="1" si="566"/>
        <v>45230717.580363177</v>
      </c>
      <c r="AK264" s="64">
        <f t="shared" ca="1" si="566"/>
        <v>44711831.648982726</v>
      </c>
      <c r="AL264" s="64">
        <f t="shared" ca="1" si="566"/>
        <v>44209423.738823064</v>
      </c>
      <c r="AM264" s="64">
        <f t="shared" ca="1" si="566"/>
        <v>43720475.217792064</v>
      </c>
      <c r="AN264" s="64">
        <f t="shared" ca="1" si="566"/>
        <v>42782431.346953556</v>
      </c>
      <c r="AO264" s="64">
        <f t="shared" ca="1" si="566"/>
        <v>41855687.703580923</v>
      </c>
      <c r="AP264" s="64">
        <f t="shared" ref="AP264:BU264" ca="1" si="567">+AP263+AP258</f>
        <v>40940398.494713619</v>
      </c>
      <c r="AQ264" s="64">
        <f t="shared" ca="1" si="567"/>
        <v>40036720.600531705</v>
      </c>
      <c r="AR264" s="64">
        <f t="shared" ca="1" si="567"/>
        <v>39144813.634348303</v>
      </c>
      <c r="AS264" s="64">
        <f t="shared" ca="1" si="567"/>
        <v>38264840.003696285</v>
      </c>
      <c r="AT264" s="64">
        <f t="shared" ca="1" si="567"/>
        <v>37870428.659110643</v>
      </c>
      <c r="AU264" s="64">
        <f t="shared" ca="1" si="567"/>
        <v>37486822.975964546</v>
      </c>
      <c r="AV264" s="64">
        <f t="shared" ca="1" si="567"/>
        <v>37114217.01976008</v>
      </c>
      <c r="AW264" s="64">
        <f t="shared" ca="1" si="567"/>
        <v>36752808.363570958</v>
      </c>
      <c r="AX264" s="64">
        <f t="shared" ca="1" si="567"/>
        <v>36402798.164118864</v>
      </c>
      <c r="AY264" s="64">
        <f t="shared" ca="1" si="567"/>
        <v>36064391.239275649</v>
      </c>
      <c r="AZ264" s="64">
        <f t="shared" ca="1" si="567"/>
        <v>35737796.147021405</v>
      </c>
      <c r="BA264" s="64">
        <f t="shared" ca="1" si="567"/>
        <v>35423225.265889108</v>
      </c>
      <c r="BB264" s="64">
        <f t="shared" ca="1" si="567"/>
        <v>35120894.876927041</v>
      </c>
      <c r="BC264" s="64">
        <f t="shared" ca="1" si="567"/>
        <v>34831025.247210905</v>
      </c>
      <c r="BD264" s="64">
        <f t="shared" ca="1" si="567"/>
        <v>34553840.714937985</v>
      </c>
      <c r="BE264" s="64">
        <f t="shared" ca="1" si="567"/>
        <v>34289569.776136547</v>
      </c>
      <c r="BF264" s="64">
        <f t="shared" ca="1" si="567"/>
        <v>45834605.484216109</v>
      </c>
      <c r="BG264" s="64">
        <f t="shared" ca="1" si="567"/>
        <v>45536902.398135632</v>
      </c>
      <c r="BH264" s="64">
        <f t="shared" ca="1" si="567"/>
        <v>45252699.187820747</v>
      </c>
      <c r="BI264" s="64">
        <f t="shared" ca="1" si="567"/>
        <v>44982238.991894886</v>
      </c>
      <c r="BJ264" s="64">
        <f t="shared" ca="1" si="567"/>
        <v>44725769.511888176</v>
      </c>
      <c r="BK264" s="64">
        <f t="shared" ca="1" si="567"/>
        <v>44483543.10825251</v>
      </c>
      <c r="BL264" s="64">
        <f t="shared" ca="1" si="567"/>
        <v>44034705.787108794</v>
      </c>
      <c r="BM264" s="64">
        <f t="shared" ca="1" si="567"/>
        <v>43601741.744431376</v>
      </c>
      <c r="BN264" s="64">
        <f t="shared" ca="1" si="567"/>
        <v>43184917.912152879</v>
      </c>
      <c r="BO264" s="64">
        <f t="shared" ca="1" si="567"/>
        <v>42784506.284006864</v>
      </c>
      <c r="BP264" s="64">
        <f t="shared" ca="1" si="567"/>
        <v>42400784.021148689</v>
      </c>
      <c r="BQ264" s="64">
        <f t="shared" ca="1" si="567"/>
        <v>42034033.559818044</v>
      </c>
      <c r="BR264" s="64">
        <f t="shared" ca="1" si="567"/>
        <v>51476681.139240496</v>
      </c>
      <c r="BS264" s="64">
        <f t="shared" ca="1" si="567"/>
        <v>51055771.851769455</v>
      </c>
      <c r="BT264" s="64">
        <f t="shared" ca="1" si="567"/>
        <v>50650745.173723817</v>
      </c>
      <c r="BU264" s="64">
        <f t="shared" ca="1" si="567"/>
        <v>50261037.491941825</v>
      </c>
      <c r="BV264" s="64">
        <f t="shared" ref="BV264:DA264" ca="1" si="568">+BV263+BV258</f>
        <v>49886081.962242976</v>
      </c>
      <c r="BW264" s="64">
        <f t="shared" ca="1" si="568"/>
        <v>49525308.365832262</v>
      </c>
      <c r="BX264" s="64">
        <f t="shared" ca="1" si="568"/>
        <v>48993883.704339013</v>
      </c>
      <c r="BY264" s="64">
        <f t="shared" ca="1" si="568"/>
        <v>48476415.755663261</v>
      </c>
      <c r="BZ264" s="64">
        <f t="shared" ca="1" si="568"/>
        <v>47972323.29428295</v>
      </c>
      <c r="CA264" s="64">
        <f t="shared" ca="1" si="568"/>
        <v>47481021.124118939</v>
      </c>
      <c r="CB264" s="64">
        <f t="shared" ca="1" si="568"/>
        <v>47001919.923905522</v>
      </c>
      <c r="CC264" s="64">
        <f t="shared" ca="1" si="568"/>
        <v>46534426.090198591</v>
      </c>
      <c r="CD264" s="64">
        <f t="shared" ca="1" si="568"/>
        <v>55906801.931180686</v>
      </c>
      <c r="CE264" s="64">
        <f t="shared" ca="1" si="568"/>
        <v>55408726.998740315</v>
      </c>
      <c r="CF264" s="64">
        <f t="shared" ca="1" si="568"/>
        <v>54919900.054459885</v>
      </c>
      <c r="CG264" s="64">
        <f t="shared" ca="1" si="568"/>
        <v>54440017.815342806</v>
      </c>
      <c r="CH264" s="64">
        <f t="shared" ca="1" si="568"/>
        <v>53968774.874314576</v>
      </c>
      <c r="CI264" s="64">
        <f t="shared" ca="1" si="568"/>
        <v>53505863.619499974</v>
      </c>
      <c r="CJ264" s="64">
        <f t="shared" ca="1" si="568"/>
        <v>52866714.892989367</v>
      </c>
      <c r="CK264" s="64">
        <f t="shared" ca="1" si="568"/>
        <v>52236201.611288063</v>
      </c>
      <c r="CL264" s="64">
        <f t="shared" ca="1" si="568"/>
        <v>51614009.0511235</v>
      </c>
      <c r="CM264" s="64">
        <f t="shared" ca="1" si="568"/>
        <v>50999819.948728964</v>
      </c>
      <c r="CN264" s="64">
        <f t="shared" ca="1" si="568"/>
        <v>50393314.412573919</v>
      </c>
      <c r="CO264" s="64">
        <f t="shared" ca="1" si="568"/>
        <v>49794169.834695518</v>
      </c>
      <c r="CP264" s="64">
        <f t="shared" ca="1" si="568"/>
        <v>59492398.226454273</v>
      </c>
      <c r="CQ264" s="64">
        <f t="shared" ca="1" si="568"/>
        <v>59314893.408777997</v>
      </c>
      <c r="CR264" s="64">
        <f t="shared" ca="1" si="568"/>
        <v>59141510.965892985</v>
      </c>
      <c r="CS264" s="64">
        <f t="shared" ca="1" si="568"/>
        <v>58972105.2400539</v>
      </c>
      <c r="CT264" s="64">
        <f t="shared" ca="1" si="568"/>
        <v>58806529.291217253</v>
      </c>
      <c r="CU264" s="64">
        <f t="shared" ca="1" si="568"/>
        <v>58644634.856046915</v>
      </c>
      <c r="CV264" s="64">
        <f t="shared" ca="1" si="568"/>
        <v>58301798.97840514</v>
      </c>
      <c r="CW264" s="64">
        <f t="shared" ca="1" si="568"/>
        <v>57963172.892133661</v>
      </c>
      <c r="CX264" s="64">
        <f t="shared" ca="1" si="568"/>
        <v>57628737.762228608</v>
      </c>
      <c r="CY264" s="64">
        <f t="shared" ca="1" si="568"/>
        <v>57298474.576556399</v>
      </c>
      <c r="CZ264" s="64">
        <f t="shared" ca="1" si="568"/>
        <v>56972364.141198084</v>
      </c>
      <c r="DA264" s="64">
        <f t="shared" ca="1" si="568"/>
        <v>56650387.075697049</v>
      </c>
      <c r="DB264" s="64">
        <f t="shared" ref="DB264:DY264" ca="1" si="569">+DB263+DB258</f>
        <v>66162515.719167091</v>
      </c>
      <c r="DC264" s="64">
        <f t="shared" ca="1" si="569"/>
        <v>65798731.010874003</v>
      </c>
      <c r="DD264" s="64">
        <f t="shared" ca="1" si="569"/>
        <v>65439015.372081108</v>
      </c>
      <c r="DE264" s="64">
        <f t="shared" ca="1" si="569"/>
        <v>65083351.039936252</v>
      </c>
      <c r="DF264" s="64">
        <f t="shared" ca="1" si="569"/>
        <v>64731720.062912889</v>
      </c>
      <c r="DG264" s="64">
        <f t="shared" ca="1" si="569"/>
        <v>64384104.296155483</v>
      </c>
      <c r="DH264" s="64">
        <f t="shared" ca="1" si="569"/>
        <v>63856226.137468241</v>
      </c>
      <c r="DI264" s="64">
        <f t="shared" ca="1" si="569"/>
        <v>63333252.226167858</v>
      </c>
      <c r="DJ264" s="64">
        <f t="shared" ca="1" si="569"/>
        <v>62815163.808502018</v>
      </c>
      <c r="DK264" s="64">
        <f t="shared" ca="1" si="569"/>
        <v>62301941.917780325</v>
      </c>
      <c r="DL264" s="64">
        <f t="shared" ca="1" si="569"/>
        <v>61793567.369215555</v>
      </c>
      <c r="DM264" s="64">
        <f t="shared" ca="1" si="569"/>
        <v>61290020.754658833</v>
      </c>
      <c r="DN264" s="64">
        <f t="shared" ca="1" si="569"/>
        <v>73791376.355216771</v>
      </c>
      <c r="DO264" s="64">
        <f t="shared" ca="1" si="569"/>
        <v>73452404.717617929</v>
      </c>
      <c r="DP264" s="64">
        <f t="shared" ca="1" si="569"/>
        <v>73117098.49398315</v>
      </c>
      <c r="DQ264" s="64">
        <f t="shared" ca="1" si="569"/>
        <v>72785450.217631415</v>
      </c>
      <c r="DR264" s="64">
        <f t="shared" ca="1" si="569"/>
        <v>72457452.301074296</v>
      </c>
      <c r="DS264" s="64">
        <f t="shared" ca="1" si="569"/>
        <v>72133097.033956096</v>
      </c>
      <c r="DT264" s="64">
        <f t="shared" ca="1" si="569"/>
        <v>71572839.54390119</v>
      </c>
      <c r="DU264" s="64">
        <f t="shared" ca="1" si="569"/>
        <v>71017412.609157175</v>
      </c>
      <c r="DV264" s="64">
        <f t="shared" ca="1" si="569"/>
        <v>70466808.137847647</v>
      </c>
      <c r="DW264" s="64">
        <f t="shared" ca="1" si="569"/>
        <v>69921017.906426102</v>
      </c>
      <c r="DX264" s="64">
        <f t="shared" ca="1" si="569"/>
        <v>69380033.557330757</v>
      </c>
      <c r="DY264" s="64">
        <f t="shared" ca="1" si="569"/>
        <v>68843846.596579373</v>
      </c>
    </row>
    <row r="265" spans="2:129" outlineLevel="1">
      <c r="I265" s="443"/>
      <c r="J265" s="35"/>
      <c r="L265" s="5"/>
      <c r="N265" s="5"/>
      <c r="P265" s="5"/>
      <c r="Q265" s="5"/>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row>
    <row r="266" spans="2:129" outlineLevel="1">
      <c r="G266" s="201" t="s">
        <v>543</v>
      </c>
      <c r="H266" s="528">
        <f ca="1">SUM(J266:DY266)</f>
        <v>0</v>
      </c>
      <c r="I266" s="528"/>
      <c r="J266" s="528">
        <f t="shared" ref="J266:AO266" ca="1" si="570">IF(ABS(SUM(J264-J254))&lt;tolerance,0,1)</f>
        <v>0</v>
      </c>
      <c r="K266" s="528">
        <f t="shared" ca="1" si="570"/>
        <v>0</v>
      </c>
      <c r="L266" s="528">
        <f t="shared" ca="1" si="570"/>
        <v>0</v>
      </c>
      <c r="M266" s="528">
        <f t="shared" ca="1" si="570"/>
        <v>0</v>
      </c>
      <c r="N266" s="528">
        <f t="shared" ca="1" si="570"/>
        <v>0</v>
      </c>
      <c r="O266" s="528">
        <f t="shared" ca="1" si="570"/>
        <v>0</v>
      </c>
      <c r="P266" s="528">
        <f t="shared" ca="1" si="570"/>
        <v>0</v>
      </c>
      <c r="Q266" s="528">
        <f t="shared" ca="1" si="570"/>
        <v>0</v>
      </c>
      <c r="R266" s="528">
        <f t="shared" ca="1" si="570"/>
        <v>0</v>
      </c>
      <c r="S266" s="528">
        <f t="shared" ca="1" si="570"/>
        <v>0</v>
      </c>
      <c r="T266" s="528">
        <f t="shared" ca="1" si="570"/>
        <v>0</v>
      </c>
      <c r="U266" s="528">
        <f t="shared" ca="1" si="570"/>
        <v>0</v>
      </c>
      <c r="V266" s="528">
        <f t="shared" ca="1" si="570"/>
        <v>0</v>
      </c>
      <c r="W266" s="528">
        <f t="shared" ca="1" si="570"/>
        <v>0</v>
      </c>
      <c r="X266" s="528">
        <f t="shared" ca="1" si="570"/>
        <v>0</v>
      </c>
      <c r="Y266" s="528">
        <f t="shared" ca="1" si="570"/>
        <v>0</v>
      </c>
      <c r="Z266" s="528">
        <f t="shared" ca="1" si="570"/>
        <v>0</v>
      </c>
      <c r="AA266" s="528">
        <f t="shared" ca="1" si="570"/>
        <v>0</v>
      </c>
      <c r="AB266" s="528">
        <f t="shared" ca="1" si="570"/>
        <v>0</v>
      </c>
      <c r="AC266" s="528">
        <f t="shared" ca="1" si="570"/>
        <v>0</v>
      </c>
      <c r="AD266" s="528">
        <f t="shared" ca="1" si="570"/>
        <v>0</v>
      </c>
      <c r="AE266" s="528">
        <f t="shared" ca="1" si="570"/>
        <v>0</v>
      </c>
      <c r="AF266" s="528">
        <f t="shared" ca="1" si="570"/>
        <v>0</v>
      </c>
      <c r="AG266" s="528">
        <f t="shared" ca="1" si="570"/>
        <v>0</v>
      </c>
      <c r="AH266" s="528">
        <f t="shared" ca="1" si="570"/>
        <v>0</v>
      </c>
      <c r="AI266" s="528">
        <f t="shared" ca="1" si="570"/>
        <v>0</v>
      </c>
      <c r="AJ266" s="528">
        <f t="shared" ca="1" si="570"/>
        <v>0</v>
      </c>
      <c r="AK266" s="528">
        <f t="shared" ca="1" si="570"/>
        <v>0</v>
      </c>
      <c r="AL266" s="528">
        <f t="shared" ca="1" si="570"/>
        <v>0</v>
      </c>
      <c r="AM266" s="528">
        <f t="shared" ca="1" si="570"/>
        <v>0</v>
      </c>
      <c r="AN266" s="528">
        <f t="shared" ca="1" si="570"/>
        <v>0</v>
      </c>
      <c r="AO266" s="528">
        <f t="shared" ca="1" si="570"/>
        <v>0</v>
      </c>
      <c r="AP266" s="528">
        <f t="shared" ref="AP266:BU266" ca="1" si="571">IF(ABS(SUM(AP264-AP254))&lt;tolerance,0,1)</f>
        <v>0</v>
      </c>
      <c r="AQ266" s="528">
        <f t="shared" ca="1" si="571"/>
        <v>0</v>
      </c>
      <c r="AR266" s="528">
        <f t="shared" ca="1" si="571"/>
        <v>0</v>
      </c>
      <c r="AS266" s="528">
        <f t="shared" ca="1" si="571"/>
        <v>0</v>
      </c>
      <c r="AT266" s="528">
        <f t="shared" ca="1" si="571"/>
        <v>0</v>
      </c>
      <c r="AU266" s="528">
        <f t="shared" ca="1" si="571"/>
        <v>0</v>
      </c>
      <c r="AV266" s="528">
        <f t="shared" ca="1" si="571"/>
        <v>0</v>
      </c>
      <c r="AW266" s="528">
        <f t="shared" ca="1" si="571"/>
        <v>0</v>
      </c>
      <c r="AX266" s="528">
        <f t="shared" ca="1" si="571"/>
        <v>0</v>
      </c>
      <c r="AY266" s="528">
        <f t="shared" ca="1" si="571"/>
        <v>0</v>
      </c>
      <c r="AZ266" s="528">
        <f t="shared" ca="1" si="571"/>
        <v>0</v>
      </c>
      <c r="BA266" s="528">
        <f t="shared" ca="1" si="571"/>
        <v>0</v>
      </c>
      <c r="BB266" s="528">
        <f t="shared" ca="1" si="571"/>
        <v>0</v>
      </c>
      <c r="BC266" s="528">
        <f t="shared" ca="1" si="571"/>
        <v>0</v>
      </c>
      <c r="BD266" s="528">
        <f t="shared" ca="1" si="571"/>
        <v>0</v>
      </c>
      <c r="BE266" s="528">
        <f t="shared" ca="1" si="571"/>
        <v>0</v>
      </c>
      <c r="BF266" s="528">
        <f t="shared" ca="1" si="571"/>
        <v>0</v>
      </c>
      <c r="BG266" s="528">
        <f t="shared" ca="1" si="571"/>
        <v>0</v>
      </c>
      <c r="BH266" s="528">
        <f t="shared" ca="1" si="571"/>
        <v>0</v>
      </c>
      <c r="BI266" s="528">
        <f t="shared" ca="1" si="571"/>
        <v>0</v>
      </c>
      <c r="BJ266" s="528">
        <f t="shared" ca="1" si="571"/>
        <v>0</v>
      </c>
      <c r="BK266" s="528">
        <f t="shared" ca="1" si="571"/>
        <v>0</v>
      </c>
      <c r="BL266" s="528">
        <f t="shared" ca="1" si="571"/>
        <v>0</v>
      </c>
      <c r="BM266" s="528">
        <f t="shared" ca="1" si="571"/>
        <v>0</v>
      </c>
      <c r="BN266" s="528">
        <f t="shared" ca="1" si="571"/>
        <v>0</v>
      </c>
      <c r="BO266" s="528">
        <f t="shared" ca="1" si="571"/>
        <v>0</v>
      </c>
      <c r="BP266" s="528">
        <f t="shared" ca="1" si="571"/>
        <v>0</v>
      </c>
      <c r="BQ266" s="528">
        <f t="shared" ca="1" si="571"/>
        <v>0</v>
      </c>
      <c r="BR266" s="528">
        <f t="shared" ca="1" si="571"/>
        <v>0</v>
      </c>
      <c r="BS266" s="528">
        <f t="shared" ca="1" si="571"/>
        <v>0</v>
      </c>
      <c r="BT266" s="528">
        <f t="shared" ca="1" si="571"/>
        <v>0</v>
      </c>
      <c r="BU266" s="528">
        <f t="shared" ca="1" si="571"/>
        <v>0</v>
      </c>
      <c r="BV266" s="528">
        <f t="shared" ref="BV266:DA266" ca="1" si="572">IF(ABS(SUM(BV264-BV254))&lt;tolerance,0,1)</f>
        <v>0</v>
      </c>
      <c r="BW266" s="528">
        <f t="shared" ca="1" si="572"/>
        <v>0</v>
      </c>
      <c r="BX266" s="528">
        <f t="shared" ca="1" si="572"/>
        <v>0</v>
      </c>
      <c r="BY266" s="528">
        <f t="shared" ca="1" si="572"/>
        <v>0</v>
      </c>
      <c r="BZ266" s="528">
        <f t="shared" ca="1" si="572"/>
        <v>0</v>
      </c>
      <c r="CA266" s="528">
        <f t="shared" ca="1" si="572"/>
        <v>0</v>
      </c>
      <c r="CB266" s="528">
        <f t="shared" ca="1" si="572"/>
        <v>0</v>
      </c>
      <c r="CC266" s="528">
        <f t="shared" ca="1" si="572"/>
        <v>0</v>
      </c>
      <c r="CD266" s="528">
        <f t="shared" ca="1" si="572"/>
        <v>0</v>
      </c>
      <c r="CE266" s="528">
        <f t="shared" ca="1" si="572"/>
        <v>0</v>
      </c>
      <c r="CF266" s="528">
        <f t="shared" ca="1" si="572"/>
        <v>0</v>
      </c>
      <c r="CG266" s="528">
        <f t="shared" ca="1" si="572"/>
        <v>0</v>
      </c>
      <c r="CH266" s="528">
        <f t="shared" ca="1" si="572"/>
        <v>0</v>
      </c>
      <c r="CI266" s="528">
        <f t="shared" ca="1" si="572"/>
        <v>0</v>
      </c>
      <c r="CJ266" s="528">
        <f t="shared" ca="1" si="572"/>
        <v>0</v>
      </c>
      <c r="CK266" s="528">
        <f t="shared" ca="1" si="572"/>
        <v>0</v>
      </c>
      <c r="CL266" s="528">
        <f t="shared" ca="1" si="572"/>
        <v>0</v>
      </c>
      <c r="CM266" s="528">
        <f t="shared" ca="1" si="572"/>
        <v>0</v>
      </c>
      <c r="CN266" s="528">
        <f t="shared" ca="1" si="572"/>
        <v>0</v>
      </c>
      <c r="CO266" s="528">
        <f t="shared" ca="1" si="572"/>
        <v>0</v>
      </c>
      <c r="CP266" s="528">
        <f t="shared" ca="1" si="572"/>
        <v>0</v>
      </c>
      <c r="CQ266" s="528">
        <f t="shared" ca="1" si="572"/>
        <v>0</v>
      </c>
      <c r="CR266" s="528">
        <f t="shared" ca="1" si="572"/>
        <v>0</v>
      </c>
      <c r="CS266" s="528">
        <f t="shared" ca="1" si="572"/>
        <v>0</v>
      </c>
      <c r="CT266" s="528">
        <f t="shared" ca="1" si="572"/>
        <v>0</v>
      </c>
      <c r="CU266" s="528">
        <f t="shared" ca="1" si="572"/>
        <v>0</v>
      </c>
      <c r="CV266" s="528">
        <f t="shared" ca="1" si="572"/>
        <v>0</v>
      </c>
      <c r="CW266" s="528">
        <f t="shared" ca="1" si="572"/>
        <v>0</v>
      </c>
      <c r="CX266" s="528">
        <f t="shared" ca="1" si="572"/>
        <v>0</v>
      </c>
      <c r="CY266" s="528">
        <f t="shared" ca="1" si="572"/>
        <v>0</v>
      </c>
      <c r="CZ266" s="528">
        <f t="shared" ca="1" si="572"/>
        <v>0</v>
      </c>
      <c r="DA266" s="528">
        <f t="shared" ca="1" si="572"/>
        <v>0</v>
      </c>
      <c r="DB266" s="528">
        <f t="shared" ref="DB266:DY266" ca="1" si="573">IF(ABS(SUM(DB264-DB254))&lt;tolerance,0,1)</f>
        <v>0</v>
      </c>
      <c r="DC266" s="528">
        <f t="shared" ca="1" si="573"/>
        <v>0</v>
      </c>
      <c r="DD266" s="528">
        <f t="shared" ca="1" si="573"/>
        <v>0</v>
      </c>
      <c r="DE266" s="528">
        <f t="shared" ca="1" si="573"/>
        <v>0</v>
      </c>
      <c r="DF266" s="528">
        <f t="shared" ca="1" si="573"/>
        <v>0</v>
      </c>
      <c r="DG266" s="528">
        <f t="shared" ca="1" si="573"/>
        <v>0</v>
      </c>
      <c r="DH266" s="528">
        <f t="shared" ca="1" si="573"/>
        <v>0</v>
      </c>
      <c r="DI266" s="528">
        <f t="shared" ca="1" si="573"/>
        <v>0</v>
      </c>
      <c r="DJ266" s="528">
        <f t="shared" ca="1" si="573"/>
        <v>0</v>
      </c>
      <c r="DK266" s="528">
        <f t="shared" ca="1" si="573"/>
        <v>0</v>
      </c>
      <c r="DL266" s="528">
        <f t="shared" ca="1" si="573"/>
        <v>0</v>
      </c>
      <c r="DM266" s="528">
        <f t="shared" ca="1" si="573"/>
        <v>0</v>
      </c>
      <c r="DN266" s="528">
        <f t="shared" ca="1" si="573"/>
        <v>0</v>
      </c>
      <c r="DO266" s="528">
        <f t="shared" ca="1" si="573"/>
        <v>0</v>
      </c>
      <c r="DP266" s="528">
        <f t="shared" ca="1" si="573"/>
        <v>0</v>
      </c>
      <c r="DQ266" s="528">
        <f t="shared" ca="1" si="573"/>
        <v>0</v>
      </c>
      <c r="DR266" s="528">
        <f t="shared" ca="1" si="573"/>
        <v>0</v>
      </c>
      <c r="DS266" s="528">
        <f t="shared" ca="1" si="573"/>
        <v>0</v>
      </c>
      <c r="DT266" s="528">
        <f t="shared" ca="1" si="573"/>
        <v>0</v>
      </c>
      <c r="DU266" s="528">
        <f t="shared" ca="1" si="573"/>
        <v>0</v>
      </c>
      <c r="DV266" s="528">
        <f t="shared" ca="1" si="573"/>
        <v>0</v>
      </c>
      <c r="DW266" s="528">
        <f t="shared" ca="1" si="573"/>
        <v>0</v>
      </c>
      <c r="DX266" s="528">
        <f t="shared" ca="1" si="573"/>
        <v>0</v>
      </c>
      <c r="DY266" s="528">
        <f t="shared" ca="1" si="573"/>
        <v>0</v>
      </c>
    </row>
    <row r="267" spans="2:129" outlineLevel="1">
      <c r="G267" s="201" t="s">
        <v>542</v>
      </c>
      <c r="H267" s="528">
        <f ca="1">SUM(J267:DY267)</f>
        <v>0</v>
      </c>
      <c r="I267" s="528"/>
      <c r="J267" s="528">
        <f t="shared" ref="J267:AO267" ca="1" si="574">IF(ABS(J241-J249)&lt;tolerance,0,1)</f>
        <v>0</v>
      </c>
      <c r="K267" s="528">
        <f t="shared" ca="1" si="574"/>
        <v>0</v>
      </c>
      <c r="L267" s="528">
        <f t="shared" ca="1" si="574"/>
        <v>0</v>
      </c>
      <c r="M267" s="528">
        <f t="shared" ca="1" si="574"/>
        <v>0</v>
      </c>
      <c r="N267" s="528">
        <f t="shared" ca="1" si="574"/>
        <v>0</v>
      </c>
      <c r="O267" s="528">
        <f t="shared" ca="1" si="574"/>
        <v>0</v>
      </c>
      <c r="P267" s="528">
        <f t="shared" ca="1" si="574"/>
        <v>0</v>
      </c>
      <c r="Q267" s="528">
        <f t="shared" ca="1" si="574"/>
        <v>0</v>
      </c>
      <c r="R267" s="528">
        <f t="shared" ca="1" si="574"/>
        <v>0</v>
      </c>
      <c r="S267" s="528">
        <f t="shared" ca="1" si="574"/>
        <v>0</v>
      </c>
      <c r="T267" s="528">
        <f t="shared" ca="1" si="574"/>
        <v>0</v>
      </c>
      <c r="U267" s="528">
        <f t="shared" ca="1" si="574"/>
        <v>0</v>
      </c>
      <c r="V267" s="528">
        <f t="shared" ca="1" si="574"/>
        <v>0</v>
      </c>
      <c r="W267" s="528">
        <f t="shared" ca="1" si="574"/>
        <v>0</v>
      </c>
      <c r="X267" s="528">
        <f t="shared" ca="1" si="574"/>
        <v>0</v>
      </c>
      <c r="Y267" s="528">
        <f t="shared" ca="1" si="574"/>
        <v>0</v>
      </c>
      <c r="Z267" s="528">
        <f t="shared" ca="1" si="574"/>
        <v>0</v>
      </c>
      <c r="AA267" s="528">
        <f t="shared" ca="1" si="574"/>
        <v>0</v>
      </c>
      <c r="AB267" s="528">
        <f t="shared" ca="1" si="574"/>
        <v>0</v>
      </c>
      <c r="AC267" s="528">
        <f t="shared" ca="1" si="574"/>
        <v>0</v>
      </c>
      <c r="AD267" s="528">
        <f t="shared" ca="1" si="574"/>
        <v>0</v>
      </c>
      <c r="AE267" s="528">
        <f t="shared" ca="1" si="574"/>
        <v>0</v>
      </c>
      <c r="AF267" s="528">
        <f t="shared" ca="1" si="574"/>
        <v>0</v>
      </c>
      <c r="AG267" s="528">
        <f t="shared" ca="1" si="574"/>
        <v>0</v>
      </c>
      <c r="AH267" s="528">
        <f t="shared" ca="1" si="574"/>
        <v>0</v>
      </c>
      <c r="AI267" s="528">
        <f t="shared" ca="1" si="574"/>
        <v>0</v>
      </c>
      <c r="AJ267" s="528">
        <f t="shared" ca="1" si="574"/>
        <v>0</v>
      </c>
      <c r="AK267" s="528">
        <f t="shared" ca="1" si="574"/>
        <v>0</v>
      </c>
      <c r="AL267" s="528">
        <f t="shared" ca="1" si="574"/>
        <v>0</v>
      </c>
      <c r="AM267" s="528">
        <f t="shared" ca="1" si="574"/>
        <v>0</v>
      </c>
      <c r="AN267" s="528">
        <f t="shared" ca="1" si="574"/>
        <v>0</v>
      </c>
      <c r="AO267" s="528">
        <f t="shared" ca="1" si="574"/>
        <v>0</v>
      </c>
      <c r="AP267" s="528">
        <f t="shared" ref="AP267:BU267" ca="1" si="575">IF(ABS(AP241-AP249)&lt;tolerance,0,1)</f>
        <v>0</v>
      </c>
      <c r="AQ267" s="528">
        <f t="shared" ca="1" si="575"/>
        <v>0</v>
      </c>
      <c r="AR267" s="528">
        <f t="shared" ca="1" si="575"/>
        <v>0</v>
      </c>
      <c r="AS267" s="528">
        <f t="shared" ca="1" si="575"/>
        <v>0</v>
      </c>
      <c r="AT267" s="528">
        <f t="shared" ca="1" si="575"/>
        <v>0</v>
      </c>
      <c r="AU267" s="528">
        <f t="shared" ca="1" si="575"/>
        <v>0</v>
      </c>
      <c r="AV267" s="528">
        <f t="shared" ca="1" si="575"/>
        <v>0</v>
      </c>
      <c r="AW267" s="528">
        <f t="shared" ca="1" si="575"/>
        <v>0</v>
      </c>
      <c r="AX267" s="528">
        <f t="shared" ca="1" si="575"/>
        <v>0</v>
      </c>
      <c r="AY267" s="528">
        <f t="shared" ca="1" si="575"/>
        <v>0</v>
      </c>
      <c r="AZ267" s="528">
        <f t="shared" ca="1" si="575"/>
        <v>0</v>
      </c>
      <c r="BA267" s="528">
        <f t="shared" ca="1" si="575"/>
        <v>0</v>
      </c>
      <c r="BB267" s="528">
        <f t="shared" ca="1" si="575"/>
        <v>0</v>
      </c>
      <c r="BC267" s="528">
        <f t="shared" ca="1" si="575"/>
        <v>0</v>
      </c>
      <c r="BD267" s="528">
        <f t="shared" ca="1" si="575"/>
        <v>0</v>
      </c>
      <c r="BE267" s="528">
        <f t="shared" ca="1" si="575"/>
        <v>0</v>
      </c>
      <c r="BF267" s="528">
        <f t="shared" ca="1" si="575"/>
        <v>0</v>
      </c>
      <c r="BG267" s="528">
        <f t="shared" ca="1" si="575"/>
        <v>0</v>
      </c>
      <c r="BH267" s="528">
        <f t="shared" ca="1" si="575"/>
        <v>0</v>
      </c>
      <c r="BI267" s="528">
        <f t="shared" ca="1" si="575"/>
        <v>0</v>
      </c>
      <c r="BJ267" s="528">
        <f t="shared" ca="1" si="575"/>
        <v>0</v>
      </c>
      <c r="BK267" s="528">
        <f t="shared" ca="1" si="575"/>
        <v>0</v>
      </c>
      <c r="BL267" s="528">
        <f t="shared" ca="1" si="575"/>
        <v>0</v>
      </c>
      <c r="BM267" s="528">
        <f t="shared" ca="1" si="575"/>
        <v>0</v>
      </c>
      <c r="BN267" s="528">
        <f t="shared" ca="1" si="575"/>
        <v>0</v>
      </c>
      <c r="BO267" s="528">
        <f t="shared" ca="1" si="575"/>
        <v>0</v>
      </c>
      <c r="BP267" s="528">
        <f t="shared" ca="1" si="575"/>
        <v>0</v>
      </c>
      <c r="BQ267" s="528">
        <f t="shared" ca="1" si="575"/>
        <v>0</v>
      </c>
      <c r="BR267" s="528">
        <f t="shared" ca="1" si="575"/>
        <v>0</v>
      </c>
      <c r="BS267" s="528">
        <f t="shared" ca="1" si="575"/>
        <v>0</v>
      </c>
      <c r="BT267" s="528">
        <f t="shared" ca="1" si="575"/>
        <v>0</v>
      </c>
      <c r="BU267" s="528">
        <f t="shared" ca="1" si="575"/>
        <v>0</v>
      </c>
      <c r="BV267" s="528">
        <f t="shared" ref="BV267:DA267" ca="1" si="576">IF(ABS(BV241-BV249)&lt;tolerance,0,1)</f>
        <v>0</v>
      </c>
      <c r="BW267" s="528">
        <f t="shared" ca="1" si="576"/>
        <v>0</v>
      </c>
      <c r="BX267" s="528">
        <f t="shared" ca="1" si="576"/>
        <v>0</v>
      </c>
      <c r="BY267" s="528">
        <f t="shared" ca="1" si="576"/>
        <v>0</v>
      </c>
      <c r="BZ267" s="528">
        <f t="shared" ca="1" si="576"/>
        <v>0</v>
      </c>
      <c r="CA267" s="528">
        <f t="shared" ca="1" si="576"/>
        <v>0</v>
      </c>
      <c r="CB267" s="528">
        <f t="shared" ca="1" si="576"/>
        <v>0</v>
      </c>
      <c r="CC267" s="528">
        <f t="shared" ca="1" si="576"/>
        <v>0</v>
      </c>
      <c r="CD267" s="528">
        <f t="shared" ca="1" si="576"/>
        <v>0</v>
      </c>
      <c r="CE267" s="528">
        <f t="shared" ca="1" si="576"/>
        <v>0</v>
      </c>
      <c r="CF267" s="528">
        <f t="shared" ca="1" si="576"/>
        <v>0</v>
      </c>
      <c r="CG267" s="528">
        <f t="shared" ca="1" si="576"/>
        <v>0</v>
      </c>
      <c r="CH267" s="528">
        <f t="shared" ca="1" si="576"/>
        <v>0</v>
      </c>
      <c r="CI267" s="528">
        <f t="shared" ca="1" si="576"/>
        <v>0</v>
      </c>
      <c r="CJ267" s="528">
        <f t="shared" ca="1" si="576"/>
        <v>0</v>
      </c>
      <c r="CK267" s="528">
        <f t="shared" ca="1" si="576"/>
        <v>0</v>
      </c>
      <c r="CL267" s="528">
        <f t="shared" ca="1" si="576"/>
        <v>0</v>
      </c>
      <c r="CM267" s="528">
        <f t="shared" ca="1" si="576"/>
        <v>0</v>
      </c>
      <c r="CN267" s="528">
        <f t="shared" ca="1" si="576"/>
        <v>0</v>
      </c>
      <c r="CO267" s="528">
        <f t="shared" ca="1" si="576"/>
        <v>0</v>
      </c>
      <c r="CP267" s="528">
        <f t="shared" ca="1" si="576"/>
        <v>0</v>
      </c>
      <c r="CQ267" s="528">
        <f t="shared" ca="1" si="576"/>
        <v>0</v>
      </c>
      <c r="CR267" s="528">
        <f t="shared" ca="1" si="576"/>
        <v>0</v>
      </c>
      <c r="CS267" s="528">
        <f t="shared" ca="1" si="576"/>
        <v>0</v>
      </c>
      <c r="CT267" s="528">
        <f t="shared" ca="1" si="576"/>
        <v>0</v>
      </c>
      <c r="CU267" s="528">
        <f t="shared" ca="1" si="576"/>
        <v>0</v>
      </c>
      <c r="CV267" s="528">
        <f t="shared" ca="1" si="576"/>
        <v>0</v>
      </c>
      <c r="CW267" s="528">
        <f t="shared" ca="1" si="576"/>
        <v>0</v>
      </c>
      <c r="CX267" s="528">
        <f t="shared" ca="1" si="576"/>
        <v>0</v>
      </c>
      <c r="CY267" s="528">
        <f t="shared" ca="1" si="576"/>
        <v>0</v>
      </c>
      <c r="CZ267" s="528">
        <f t="shared" ca="1" si="576"/>
        <v>0</v>
      </c>
      <c r="DA267" s="528">
        <f t="shared" ca="1" si="576"/>
        <v>0</v>
      </c>
      <c r="DB267" s="528">
        <f t="shared" ref="DB267:DY267" ca="1" si="577">IF(ABS(DB241-DB249)&lt;tolerance,0,1)</f>
        <v>0</v>
      </c>
      <c r="DC267" s="528">
        <f t="shared" ca="1" si="577"/>
        <v>0</v>
      </c>
      <c r="DD267" s="528">
        <f t="shared" ca="1" si="577"/>
        <v>0</v>
      </c>
      <c r="DE267" s="528">
        <f t="shared" ca="1" si="577"/>
        <v>0</v>
      </c>
      <c r="DF267" s="528">
        <f t="shared" ca="1" si="577"/>
        <v>0</v>
      </c>
      <c r="DG267" s="528">
        <f t="shared" ca="1" si="577"/>
        <v>0</v>
      </c>
      <c r="DH267" s="528">
        <f t="shared" ca="1" si="577"/>
        <v>0</v>
      </c>
      <c r="DI267" s="528">
        <f t="shared" ca="1" si="577"/>
        <v>0</v>
      </c>
      <c r="DJ267" s="528">
        <f t="shared" ca="1" si="577"/>
        <v>0</v>
      </c>
      <c r="DK267" s="528">
        <f t="shared" ca="1" si="577"/>
        <v>0</v>
      </c>
      <c r="DL267" s="528">
        <f t="shared" ca="1" si="577"/>
        <v>0</v>
      </c>
      <c r="DM267" s="528">
        <f t="shared" ca="1" si="577"/>
        <v>0</v>
      </c>
      <c r="DN267" s="528">
        <f t="shared" ca="1" si="577"/>
        <v>0</v>
      </c>
      <c r="DO267" s="528">
        <f t="shared" ca="1" si="577"/>
        <v>0</v>
      </c>
      <c r="DP267" s="528">
        <f t="shared" ca="1" si="577"/>
        <v>0</v>
      </c>
      <c r="DQ267" s="528">
        <f t="shared" ca="1" si="577"/>
        <v>0</v>
      </c>
      <c r="DR267" s="528">
        <f t="shared" ca="1" si="577"/>
        <v>0</v>
      </c>
      <c r="DS267" s="528">
        <f t="shared" ca="1" si="577"/>
        <v>0</v>
      </c>
      <c r="DT267" s="528">
        <f t="shared" ca="1" si="577"/>
        <v>0</v>
      </c>
      <c r="DU267" s="528">
        <f t="shared" ca="1" si="577"/>
        <v>0</v>
      </c>
      <c r="DV267" s="528">
        <f t="shared" ca="1" si="577"/>
        <v>0</v>
      </c>
      <c r="DW267" s="528">
        <f t="shared" ca="1" si="577"/>
        <v>0</v>
      </c>
      <c r="DX267" s="528">
        <f t="shared" ca="1" si="577"/>
        <v>0</v>
      </c>
      <c r="DY267" s="528">
        <f t="shared" ca="1" si="577"/>
        <v>0</v>
      </c>
    </row>
    <row r="268" spans="2:129" outlineLevel="1">
      <c r="G268" s="201" t="s">
        <v>645</v>
      </c>
      <c r="H268" s="528">
        <f ca="1">SUM(J268:DY268)</f>
        <v>0</v>
      </c>
      <c r="I268" s="528"/>
      <c r="J268" s="528">
        <f t="shared" ref="J268:AO268" ca="1" si="578">IF(J250&gt;0,0,1)</f>
        <v>0</v>
      </c>
      <c r="K268" s="528">
        <f t="shared" ca="1" si="578"/>
        <v>0</v>
      </c>
      <c r="L268" s="528">
        <f t="shared" ca="1" si="578"/>
        <v>0</v>
      </c>
      <c r="M268" s="528">
        <f t="shared" ca="1" si="578"/>
        <v>0</v>
      </c>
      <c r="N268" s="528">
        <f t="shared" ca="1" si="578"/>
        <v>0</v>
      </c>
      <c r="O268" s="528">
        <f t="shared" ca="1" si="578"/>
        <v>0</v>
      </c>
      <c r="P268" s="528">
        <f t="shared" ca="1" si="578"/>
        <v>0</v>
      </c>
      <c r="Q268" s="528">
        <f t="shared" ca="1" si="578"/>
        <v>0</v>
      </c>
      <c r="R268" s="528">
        <f t="shared" ca="1" si="578"/>
        <v>0</v>
      </c>
      <c r="S268" s="528">
        <f t="shared" ca="1" si="578"/>
        <v>0</v>
      </c>
      <c r="T268" s="528">
        <f t="shared" ca="1" si="578"/>
        <v>0</v>
      </c>
      <c r="U268" s="528">
        <f t="shared" ca="1" si="578"/>
        <v>0</v>
      </c>
      <c r="V268" s="528">
        <f t="shared" ca="1" si="578"/>
        <v>0</v>
      </c>
      <c r="W268" s="528">
        <f t="shared" ca="1" si="578"/>
        <v>0</v>
      </c>
      <c r="X268" s="528">
        <f t="shared" ca="1" si="578"/>
        <v>0</v>
      </c>
      <c r="Y268" s="528">
        <f t="shared" ca="1" si="578"/>
        <v>0</v>
      </c>
      <c r="Z268" s="528">
        <f t="shared" ca="1" si="578"/>
        <v>0</v>
      </c>
      <c r="AA268" s="528">
        <f t="shared" ca="1" si="578"/>
        <v>0</v>
      </c>
      <c r="AB268" s="528">
        <f t="shared" ca="1" si="578"/>
        <v>0</v>
      </c>
      <c r="AC268" s="528">
        <f t="shared" ca="1" si="578"/>
        <v>0</v>
      </c>
      <c r="AD268" s="528">
        <f t="shared" ca="1" si="578"/>
        <v>0</v>
      </c>
      <c r="AE268" s="528">
        <f t="shared" ca="1" si="578"/>
        <v>0</v>
      </c>
      <c r="AF268" s="528">
        <f t="shared" ca="1" si="578"/>
        <v>0</v>
      </c>
      <c r="AG268" s="528">
        <f t="shared" ca="1" si="578"/>
        <v>0</v>
      </c>
      <c r="AH268" s="528">
        <f t="shared" ca="1" si="578"/>
        <v>0</v>
      </c>
      <c r="AI268" s="528">
        <f t="shared" ca="1" si="578"/>
        <v>0</v>
      </c>
      <c r="AJ268" s="528">
        <f t="shared" ca="1" si="578"/>
        <v>0</v>
      </c>
      <c r="AK268" s="528">
        <f t="shared" ca="1" si="578"/>
        <v>0</v>
      </c>
      <c r="AL268" s="528">
        <f t="shared" ca="1" si="578"/>
        <v>0</v>
      </c>
      <c r="AM268" s="528">
        <f t="shared" ca="1" si="578"/>
        <v>0</v>
      </c>
      <c r="AN268" s="528">
        <f t="shared" ca="1" si="578"/>
        <v>0</v>
      </c>
      <c r="AO268" s="528">
        <f t="shared" ca="1" si="578"/>
        <v>0</v>
      </c>
      <c r="AP268" s="528">
        <f t="shared" ref="AP268:BU268" ca="1" si="579">IF(AP250&gt;0,0,1)</f>
        <v>0</v>
      </c>
      <c r="AQ268" s="528">
        <f t="shared" ca="1" si="579"/>
        <v>0</v>
      </c>
      <c r="AR268" s="528">
        <f t="shared" ca="1" si="579"/>
        <v>0</v>
      </c>
      <c r="AS268" s="528">
        <f t="shared" ca="1" si="579"/>
        <v>0</v>
      </c>
      <c r="AT268" s="528">
        <f t="shared" ca="1" si="579"/>
        <v>0</v>
      </c>
      <c r="AU268" s="528">
        <f t="shared" ca="1" si="579"/>
        <v>0</v>
      </c>
      <c r="AV268" s="528">
        <f t="shared" ca="1" si="579"/>
        <v>0</v>
      </c>
      <c r="AW268" s="528">
        <f t="shared" ca="1" si="579"/>
        <v>0</v>
      </c>
      <c r="AX268" s="528">
        <f t="shared" ca="1" si="579"/>
        <v>0</v>
      </c>
      <c r="AY268" s="528">
        <f t="shared" ca="1" si="579"/>
        <v>0</v>
      </c>
      <c r="AZ268" s="528">
        <f t="shared" ca="1" si="579"/>
        <v>0</v>
      </c>
      <c r="BA268" s="528">
        <f t="shared" ca="1" si="579"/>
        <v>0</v>
      </c>
      <c r="BB268" s="528">
        <f t="shared" ca="1" si="579"/>
        <v>0</v>
      </c>
      <c r="BC268" s="528">
        <f t="shared" ca="1" si="579"/>
        <v>0</v>
      </c>
      <c r="BD268" s="528">
        <f t="shared" ca="1" si="579"/>
        <v>0</v>
      </c>
      <c r="BE268" s="528">
        <f t="shared" ca="1" si="579"/>
        <v>0</v>
      </c>
      <c r="BF268" s="528">
        <f t="shared" ca="1" si="579"/>
        <v>0</v>
      </c>
      <c r="BG268" s="528">
        <f t="shared" ca="1" si="579"/>
        <v>0</v>
      </c>
      <c r="BH268" s="528">
        <f t="shared" ca="1" si="579"/>
        <v>0</v>
      </c>
      <c r="BI268" s="528">
        <f t="shared" ca="1" si="579"/>
        <v>0</v>
      </c>
      <c r="BJ268" s="528">
        <f t="shared" ca="1" si="579"/>
        <v>0</v>
      </c>
      <c r="BK268" s="528">
        <f t="shared" ca="1" si="579"/>
        <v>0</v>
      </c>
      <c r="BL268" s="528">
        <f t="shared" ca="1" si="579"/>
        <v>0</v>
      </c>
      <c r="BM268" s="528">
        <f t="shared" ca="1" si="579"/>
        <v>0</v>
      </c>
      <c r="BN268" s="528">
        <f t="shared" ca="1" si="579"/>
        <v>0</v>
      </c>
      <c r="BO268" s="528">
        <f t="shared" ca="1" si="579"/>
        <v>0</v>
      </c>
      <c r="BP268" s="528">
        <f t="shared" ca="1" si="579"/>
        <v>0</v>
      </c>
      <c r="BQ268" s="528">
        <f t="shared" ca="1" si="579"/>
        <v>0</v>
      </c>
      <c r="BR268" s="528">
        <f t="shared" ca="1" si="579"/>
        <v>0</v>
      </c>
      <c r="BS268" s="528">
        <f t="shared" ca="1" si="579"/>
        <v>0</v>
      </c>
      <c r="BT268" s="528">
        <f t="shared" ca="1" si="579"/>
        <v>0</v>
      </c>
      <c r="BU268" s="528">
        <f t="shared" ca="1" si="579"/>
        <v>0</v>
      </c>
      <c r="BV268" s="528">
        <f t="shared" ref="BV268:DA268" ca="1" si="580">IF(BV250&gt;0,0,1)</f>
        <v>0</v>
      </c>
      <c r="BW268" s="528">
        <f t="shared" ca="1" si="580"/>
        <v>0</v>
      </c>
      <c r="BX268" s="528">
        <f t="shared" ca="1" si="580"/>
        <v>0</v>
      </c>
      <c r="BY268" s="528">
        <f t="shared" ca="1" si="580"/>
        <v>0</v>
      </c>
      <c r="BZ268" s="528">
        <f t="shared" ca="1" si="580"/>
        <v>0</v>
      </c>
      <c r="CA268" s="528">
        <f t="shared" ca="1" si="580"/>
        <v>0</v>
      </c>
      <c r="CB268" s="528">
        <f t="shared" ca="1" si="580"/>
        <v>0</v>
      </c>
      <c r="CC268" s="528">
        <f t="shared" ca="1" si="580"/>
        <v>0</v>
      </c>
      <c r="CD268" s="528">
        <f t="shared" ca="1" si="580"/>
        <v>0</v>
      </c>
      <c r="CE268" s="528">
        <f t="shared" ca="1" si="580"/>
        <v>0</v>
      </c>
      <c r="CF268" s="528">
        <f t="shared" ca="1" si="580"/>
        <v>0</v>
      </c>
      <c r="CG268" s="528">
        <f t="shared" ca="1" si="580"/>
        <v>0</v>
      </c>
      <c r="CH268" s="528">
        <f t="shared" ca="1" si="580"/>
        <v>0</v>
      </c>
      <c r="CI268" s="528">
        <f t="shared" ca="1" si="580"/>
        <v>0</v>
      </c>
      <c r="CJ268" s="528">
        <f t="shared" ca="1" si="580"/>
        <v>0</v>
      </c>
      <c r="CK268" s="528">
        <f t="shared" ca="1" si="580"/>
        <v>0</v>
      </c>
      <c r="CL268" s="528">
        <f t="shared" ca="1" si="580"/>
        <v>0</v>
      </c>
      <c r="CM268" s="528">
        <f t="shared" ca="1" si="580"/>
        <v>0</v>
      </c>
      <c r="CN268" s="528">
        <f t="shared" ca="1" si="580"/>
        <v>0</v>
      </c>
      <c r="CO268" s="528">
        <f t="shared" ca="1" si="580"/>
        <v>0</v>
      </c>
      <c r="CP268" s="528">
        <f t="shared" ca="1" si="580"/>
        <v>0</v>
      </c>
      <c r="CQ268" s="528">
        <f t="shared" ca="1" si="580"/>
        <v>0</v>
      </c>
      <c r="CR268" s="528">
        <f t="shared" ca="1" si="580"/>
        <v>0</v>
      </c>
      <c r="CS268" s="528">
        <f t="shared" ca="1" si="580"/>
        <v>0</v>
      </c>
      <c r="CT268" s="528">
        <f t="shared" ca="1" si="580"/>
        <v>0</v>
      </c>
      <c r="CU268" s="528">
        <f t="shared" ca="1" si="580"/>
        <v>0</v>
      </c>
      <c r="CV268" s="528">
        <f t="shared" ca="1" si="580"/>
        <v>0</v>
      </c>
      <c r="CW268" s="528">
        <f t="shared" ca="1" si="580"/>
        <v>0</v>
      </c>
      <c r="CX268" s="528">
        <f t="shared" ca="1" si="580"/>
        <v>0</v>
      </c>
      <c r="CY268" s="528">
        <f t="shared" ca="1" si="580"/>
        <v>0</v>
      </c>
      <c r="CZ268" s="528">
        <f t="shared" ca="1" si="580"/>
        <v>0</v>
      </c>
      <c r="DA268" s="528">
        <f t="shared" ca="1" si="580"/>
        <v>0</v>
      </c>
      <c r="DB268" s="528">
        <f t="shared" ref="DB268:DY268" ca="1" si="581">IF(DB250&gt;0,0,1)</f>
        <v>0</v>
      </c>
      <c r="DC268" s="528">
        <f t="shared" ca="1" si="581"/>
        <v>0</v>
      </c>
      <c r="DD268" s="528">
        <f t="shared" ca="1" si="581"/>
        <v>0</v>
      </c>
      <c r="DE268" s="528">
        <f t="shared" ca="1" si="581"/>
        <v>0</v>
      </c>
      <c r="DF268" s="528">
        <f t="shared" ca="1" si="581"/>
        <v>0</v>
      </c>
      <c r="DG268" s="528">
        <f t="shared" ca="1" si="581"/>
        <v>0</v>
      </c>
      <c r="DH268" s="528">
        <f t="shared" ca="1" si="581"/>
        <v>0</v>
      </c>
      <c r="DI268" s="528">
        <f t="shared" ca="1" si="581"/>
        <v>0</v>
      </c>
      <c r="DJ268" s="528">
        <f t="shared" ca="1" si="581"/>
        <v>0</v>
      </c>
      <c r="DK268" s="528">
        <f t="shared" ca="1" si="581"/>
        <v>0</v>
      </c>
      <c r="DL268" s="528">
        <f t="shared" ca="1" si="581"/>
        <v>0</v>
      </c>
      <c r="DM268" s="528">
        <f t="shared" ca="1" si="581"/>
        <v>0</v>
      </c>
      <c r="DN268" s="528">
        <f t="shared" ca="1" si="581"/>
        <v>0</v>
      </c>
      <c r="DO268" s="528">
        <f t="shared" ca="1" si="581"/>
        <v>0</v>
      </c>
      <c r="DP268" s="528">
        <f t="shared" ca="1" si="581"/>
        <v>0</v>
      </c>
      <c r="DQ268" s="528">
        <f t="shared" ca="1" si="581"/>
        <v>0</v>
      </c>
      <c r="DR268" s="528">
        <f t="shared" ca="1" si="581"/>
        <v>0</v>
      </c>
      <c r="DS268" s="528">
        <f t="shared" ca="1" si="581"/>
        <v>0</v>
      </c>
      <c r="DT268" s="528">
        <f t="shared" ca="1" si="581"/>
        <v>0</v>
      </c>
      <c r="DU268" s="528">
        <f t="shared" ca="1" si="581"/>
        <v>0</v>
      </c>
      <c r="DV268" s="528">
        <f t="shared" ca="1" si="581"/>
        <v>0</v>
      </c>
      <c r="DW268" s="528">
        <f t="shared" ca="1" si="581"/>
        <v>0</v>
      </c>
      <c r="DX268" s="528">
        <f t="shared" ca="1" si="581"/>
        <v>0</v>
      </c>
      <c r="DY268" s="528">
        <f t="shared" ca="1" si="581"/>
        <v>0</v>
      </c>
    </row>
    <row r="269" spans="2:129">
      <c r="G269" s="201"/>
      <c r="H269" s="528"/>
      <c r="I269" s="528"/>
      <c r="J269" s="528"/>
      <c r="K269" s="528"/>
      <c r="L269" s="528"/>
      <c r="M269" s="528"/>
      <c r="N269" s="528"/>
      <c r="O269" s="528"/>
      <c r="P269" s="528"/>
      <c r="Q269" s="528"/>
      <c r="R269" s="528"/>
      <c r="S269" s="528"/>
      <c r="T269" s="528"/>
      <c r="U269" s="528"/>
      <c r="V269" s="528"/>
      <c r="W269" s="528"/>
      <c r="X269" s="528"/>
      <c r="Y269" s="528"/>
      <c r="Z269" s="528"/>
      <c r="AA269" s="528"/>
      <c r="AB269" s="528"/>
      <c r="AC269" s="528"/>
      <c r="AD269" s="528"/>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c r="CB269" s="528"/>
      <c r="CC269" s="528"/>
      <c r="CD269" s="528"/>
      <c r="CE269" s="528"/>
      <c r="CF269" s="528"/>
      <c r="CG269" s="528"/>
      <c r="CH269" s="528"/>
      <c r="CI269" s="528"/>
      <c r="CJ269" s="528"/>
      <c r="CK269" s="528"/>
      <c r="CL269" s="528"/>
      <c r="CM269" s="528"/>
      <c r="CN269" s="528"/>
      <c r="CO269" s="528"/>
      <c r="CP269" s="528"/>
      <c r="CQ269" s="528"/>
      <c r="CR269" s="528"/>
      <c r="CS269" s="528"/>
      <c r="CT269" s="528"/>
      <c r="CU269" s="528"/>
      <c r="CV269" s="528"/>
      <c r="CW269" s="528"/>
      <c r="CX269" s="528"/>
      <c r="CY269" s="528"/>
      <c r="CZ269" s="528"/>
      <c r="DA269" s="528"/>
      <c r="DB269" s="528"/>
      <c r="DC269" s="528"/>
      <c r="DD269" s="528"/>
      <c r="DE269" s="528"/>
      <c r="DF269" s="528"/>
      <c r="DG269" s="528"/>
      <c r="DH269" s="528"/>
      <c r="DI269" s="528"/>
      <c r="DJ269" s="528"/>
      <c r="DK269" s="528"/>
      <c r="DL269" s="528"/>
      <c r="DM269" s="528"/>
      <c r="DN269" s="528"/>
      <c r="DO269" s="528"/>
      <c r="DP269" s="528"/>
      <c r="DQ269" s="528"/>
      <c r="DR269" s="528"/>
      <c r="DS269" s="528"/>
      <c r="DT269" s="528"/>
      <c r="DU269" s="528"/>
      <c r="DV269" s="528"/>
      <c r="DW269" s="528"/>
      <c r="DX269" s="528"/>
      <c r="DY269" s="528"/>
    </row>
    <row r="270" spans="2:129" ht="15.6">
      <c r="B270" s="402" t="s">
        <v>476</v>
      </c>
      <c r="C270" s="395"/>
      <c r="D270" s="396"/>
      <c r="E270" s="396"/>
      <c r="F270" s="396"/>
      <c r="G270" s="396"/>
      <c r="H270" s="396"/>
      <c r="I270" s="447"/>
      <c r="J270" s="396"/>
      <c r="K270" s="397"/>
      <c r="L270" s="397"/>
      <c r="M270" s="397"/>
      <c r="N270" s="397"/>
      <c r="O270" s="397"/>
      <c r="P270" s="397"/>
      <c r="Q270" s="396"/>
      <c r="R270" s="398"/>
      <c r="S270" s="398"/>
      <c r="T270" s="398"/>
      <c r="U270" s="398"/>
      <c r="V270" s="398"/>
      <c r="W270" s="398"/>
      <c r="X270" s="398"/>
      <c r="Y270" s="398"/>
      <c r="Z270" s="398"/>
      <c r="AA270" s="398"/>
      <c r="AB270" s="398"/>
      <c r="AC270" s="398"/>
      <c r="AD270" s="398"/>
      <c r="AE270" s="398"/>
      <c r="AF270" s="398"/>
      <c r="AG270" s="398"/>
      <c r="AH270" s="398"/>
      <c r="AI270" s="398"/>
      <c r="AJ270" s="398"/>
      <c r="AK270" s="398"/>
      <c r="AL270" s="398"/>
      <c r="AM270" s="398"/>
      <c r="AN270" s="398"/>
      <c r="AO270" s="398"/>
      <c r="AP270" s="398"/>
      <c r="AQ270" s="398"/>
      <c r="AR270" s="398"/>
      <c r="AS270" s="398"/>
      <c r="AT270" s="398"/>
      <c r="AU270" s="398"/>
      <c r="AV270" s="398"/>
      <c r="AW270" s="398"/>
      <c r="AX270" s="398"/>
      <c r="AY270" s="398"/>
      <c r="AZ270" s="398"/>
      <c r="BA270" s="398"/>
      <c r="BB270" s="398"/>
      <c r="BC270" s="398"/>
      <c r="BD270" s="398"/>
      <c r="BE270" s="398"/>
      <c r="BF270" s="398"/>
      <c r="BG270" s="398"/>
      <c r="BH270" s="398"/>
      <c r="BI270" s="398"/>
      <c r="BJ270" s="398"/>
      <c r="BK270" s="398"/>
      <c r="BL270" s="398"/>
      <c r="BM270" s="398"/>
      <c r="BN270" s="398"/>
      <c r="BO270" s="398"/>
      <c r="BP270" s="398"/>
      <c r="BQ270" s="398"/>
      <c r="BR270" s="398"/>
      <c r="BS270" s="398"/>
      <c r="BT270" s="398"/>
      <c r="BU270" s="398"/>
      <c r="BV270" s="398"/>
      <c r="BW270" s="398"/>
      <c r="BX270" s="398"/>
      <c r="BY270" s="398"/>
      <c r="BZ270" s="398"/>
      <c r="CA270" s="398"/>
      <c r="CB270" s="398"/>
      <c r="CC270" s="398"/>
      <c r="CD270" s="398"/>
      <c r="CE270" s="398"/>
      <c r="CF270" s="398"/>
      <c r="CG270" s="398"/>
      <c r="CH270" s="398"/>
      <c r="CI270" s="398"/>
      <c r="CJ270" s="398"/>
      <c r="CK270" s="398"/>
      <c r="CL270" s="398"/>
      <c r="CM270" s="398"/>
      <c r="CN270" s="398"/>
      <c r="CO270" s="398"/>
      <c r="CP270" s="398"/>
      <c r="CQ270" s="398"/>
      <c r="CR270" s="398"/>
      <c r="CS270" s="398"/>
      <c r="CT270" s="398"/>
      <c r="CU270" s="398"/>
      <c r="CV270" s="398"/>
      <c r="CW270" s="398"/>
      <c r="CX270" s="398"/>
      <c r="CY270" s="398"/>
      <c r="CZ270" s="398"/>
      <c r="DA270" s="398"/>
      <c r="DB270" s="398"/>
      <c r="DC270" s="398"/>
      <c r="DD270" s="398"/>
      <c r="DE270" s="398"/>
      <c r="DF270" s="398"/>
      <c r="DG270" s="398"/>
      <c r="DH270" s="398"/>
      <c r="DI270" s="398"/>
      <c r="DJ270" s="398"/>
      <c r="DK270" s="398"/>
      <c r="DL270" s="398"/>
      <c r="DM270" s="398"/>
      <c r="DN270" s="398"/>
      <c r="DO270" s="398"/>
      <c r="DP270" s="398"/>
      <c r="DQ270" s="398"/>
      <c r="DR270" s="398"/>
      <c r="DS270" s="398"/>
      <c r="DT270" s="398"/>
      <c r="DU270" s="398"/>
      <c r="DV270" s="398"/>
      <c r="DW270" s="398"/>
      <c r="DX270" s="398"/>
      <c r="DY270" s="398"/>
    </row>
    <row r="271" spans="2:129" outlineLevel="1">
      <c r="B271" s="399"/>
      <c r="C271" s="399"/>
      <c r="D271" s="399"/>
      <c r="E271" s="399"/>
      <c r="F271" s="399"/>
      <c r="G271" s="399"/>
      <c r="H271" s="399"/>
      <c r="I271" s="448"/>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c r="AG271" s="399"/>
      <c r="AH271" s="399"/>
      <c r="AI271" s="399"/>
      <c r="AJ271" s="399"/>
      <c r="AK271" s="399"/>
      <c r="AL271" s="399"/>
      <c r="AM271" s="399"/>
      <c r="AN271" s="399"/>
      <c r="AO271" s="399"/>
      <c r="AP271" s="399"/>
      <c r="AQ271" s="399"/>
      <c r="AR271" s="399"/>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c r="CV271" s="399"/>
      <c r="CW271" s="399"/>
      <c r="CX271" s="399"/>
      <c r="CY271" s="399"/>
      <c r="CZ271" s="399"/>
      <c r="DA271" s="399"/>
      <c r="DB271" s="399"/>
      <c r="DC271" s="399"/>
      <c r="DD271" s="399"/>
      <c r="DE271" s="399"/>
      <c r="DF271" s="399"/>
      <c r="DG271" s="399"/>
      <c r="DH271" s="399"/>
      <c r="DI271" s="399"/>
      <c r="DJ271" s="399"/>
      <c r="DK271" s="399"/>
      <c r="DL271" s="399"/>
      <c r="DM271" s="399"/>
      <c r="DN271" s="399"/>
      <c r="DO271" s="399"/>
      <c r="DP271" s="399"/>
      <c r="DQ271" s="399"/>
      <c r="DR271" s="399"/>
      <c r="DS271" s="399"/>
      <c r="DT271" s="399"/>
      <c r="DU271" s="399"/>
      <c r="DV271" s="399"/>
      <c r="DW271" s="399"/>
      <c r="DX271" s="399"/>
      <c r="DY271" s="399"/>
    </row>
    <row r="272" spans="2:129" outlineLevel="1">
      <c r="B272" s="399"/>
      <c r="C272" s="403" t="s">
        <v>111</v>
      </c>
      <c r="D272" s="399"/>
      <c r="E272" s="399"/>
      <c r="F272" s="399"/>
      <c r="G272" s="399"/>
      <c r="H272" s="399"/>
      <c r="I272" s="448"/>
      <c r="J272" s="400"/>
      <c r="K272" s="400"/>
      <c r="L272" s="400"/>
      <c r="M272" s="400"/>
      <c r="N272" s="400"/>
      <c r="O272" s="400"/>
      <c r="P272" s="400"/>
      <c r="Q272" s="400"/>
      <c r="R272" s="400"/>
      <c r="S272" s="400"/>
      <c r="T272" s="400"/>
      <c r="U272" s="401"/>
      <c r="V272" s="399"/>
      <c r="W272" s="399"/>
      <c r="X272" s="399"/>
      <c r="Y272" s="399"/>
      <c r="Z272" s="399"/>
      <c r="AA272" s="399"/>
      <c r="AB272" s="399"/>
      <c r="AC272" s="399"/>
      <c r="AD272" s="399"/>
      <c r="AE272" s="399"/>
      <c r="AF272" s="399"/>
      <c r="AG272" s="399"/>
      <c r="AH272" s="399"/>
      <c r="AI272" s="399"/>
      <c r="AJ272" s="399"/>
      <c r="AK272" s="399"/>
      <c r="AL272" s="399"/>
      <c r="AM272" s="399"/>
      <c r="AN272" s="399"/>
      <c r="AO272" s="399"/>
      <c r="AP272" s="399"/>
      <c r="AQ272" s="399"/>
      <c r="AR272" s="399"/>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c r="CV272" s="399"/>
      <c r="CW272" s="399"/>
      <c r="CX272" s="399"/>
      <c r="CY272" s="399"/>
      <c r="CZ272" s="399"/>
      <c r="DA272" s="399"/>
      <c r="DB272" s="399"/>
      <c r="DC272" s="399"/>
      <c r="DD272" s="399"/>
      <c r="DE272" s="399"/>
      <c r="DF272" s="399"/>
      <c r="DG272" s="399"/>
      <c r="DH272" s="399"/>
      <c r="DI272" s="399"/>
      <c r="DJ272" s="399"/>
      <c r="DK272" s="399"/>
      <c r="DL272" s="399"/>
      <c r="DM272" s="399"/>
      <c r="DN272" s="399"/>
      <c r="DO272" s="399"/>
      <c r="DP272" s="399"/>
      <c r="DQ272" s="399"/>
      <c r="DR272" s="399"/>
      <c r="DS272" s="399"/>
      <c r="DT272" s="399"/>
      <c r="DU272" s="399"/>
      <c r="DV272" s="399"/>
      <c r="DW272" s="399"/>
      <c r="DX272" s="399"/>
      <c r="DY272" s="399"/>
    </row>
    <row r="273" spans="2:129" s="404" customFormat="1" outlineLevel="1">
      <c r="B273" s="403"/>
      <c r="C273" s="403"/>
      <c r="D273" s="404" t="s">
        <v>95</v>
      </c>
      <c r="E273" s="403"/>
      <c r="F273" s="404" t="s">
        <v>163</v>
      </c>
      <c r="G273" s="429"/>
      <c r="H273" s="429"/>
      <c r="I273" s="449">
        <f>'Model Assumptions'!F118</f>
        <v>300000</v>
      </c>
      <c r="J273" s="411">
        <f t="shared" ref="J273:AO273" ca="1" si="582">J249</f>
        <v>17607626.924219817</v>
      </c>
      <c r="K273" s="411">
        <f t="shared" ca="1" si="582"/>
        <v>16899007.183608737</v>
      </c>
      <c r="L273" s="411">
        <f t="shared" ca="1" si="582"/>
        <v>16201122.101979539</v>
      </c>
      <c r="M273" s="411">
        <f t="shared" ca="1" si="582"/>
        <v>15514827.990227271</v>
      </c>
      <c r="N273" s="411">
        <f t="shared" ca="1" si="582"/>
        <v>14840991.869287739</v>
      </c>
      <c r="O273" s="411">
        <f t="shared" ca="1" si="582"/>
        <v>14180491.748500083</v>
      </c>
      <c r="P273" s="411">
        <f t="shared" ca="1" si="582"/>
        <v>13534216.908894992</v>
      </c>
      <c r="Q273" s="411">
        <f t="shared" ca="1" si="582"/>
        <v>12903068.191513494</v>
      </c>
      <c r="R273" s="411">
        <f t="shared" ca="1" si="582"/>
        <v>12287958.290863262</v>
      </c>
      <c r="S273" s="411">
        <f t="shared" ca="1" si="582"/>
        <v>11680744.520900516</v>
      </c>
      <c r="T273" s="411">
        <f t="shared" ca="1" si="582"/>
        <v>11090721.717652993</v>
      </c>
      <c r="U273" s="411">
        <f t="shared" ca="1" si="582"/>
        <v>10518825.749797752</v>
      </c>
      <c r="V273" s="411">
        <f t="shared" ca="1" si="582"/>
        <v>9554523.4321791083</v>
      </c>
      <c r="W273" s="411">
        <f t="shared" ca="1" si="582"/>
        <v>8605647.8952071648</v>
      </c>
      <c r="X273" s="411">
        <f t="shared" ca="1" si="582"/>
        <v>7672559.8056339389</v>
      </c>
      <c r="Y273" s="411">
        <f t="shared" ca="1" si="582"/>
        <v>6755625.6541795386</v>
      </c>
      <c r="Z273" s="411">
        <f t="shared" ca="1" si="582"/>
        <v>5855217.8859051932</v>
      </c>
      <c r="AA273" s="411">
        <f t="shared" ca="1" si="582"/>
        <v>4971715.0330548175</v>
      </c>
      <c r="AB273" s="411">
        <f t="shared" ca="1" si="582"/>
        <v>5901336.9744150648</v>
      </c>
      <c r="AC273" s="411">
        <f t="shared" ca="1" si="582"/>
        <v>5041847.0724303182</v>
      </c>
      <c r="AD273" s="411">
        <f t="shared" ca="1" si="582"/>
        <v>4193505.6745024417</v>
      </c>
      <c r="AE273" s="411">
        <f t="shared" ca="1" si="582"/>
        <v>3343892.6371037676</v>
      </c>
      <c r="AF273" s="411">
        <f t="shared" ca="1" si="582"/>
        <v>2505510.2198921102</v>
      </c>
      <c r="AG273" s="411">
        <f t="shared" ca="1" si="582"/>
        <v>1678623.1536511304</v>
      </c>
      <c r="AH273" s="411">
        <f t="shared" ca="1" si="582"/>
        <v>35201204.617801942</v>
      </c>
      <c r="AI273" s="411">
        <f t="shared" ca="1" si="582"/>
        <v>34235484.34189941</v>
      </c>
      <c r="AJ273" s="411">
        <f t="shared" ca="1" si="582"/>
        <v>33281674.473440137</v>
      </c>
      <c r="AK273" s="411">
        <f t="shared" ca="1" si="582"/>
        <v>32332580.484912273</v>
      </c>
      <c r="AL273" s="411">
        <f t="shared" ca="1" si="582"/>
        <v>31395544.726072658</v>
      </c>
      <c r="AM273" s="411">
        <f t="shared" ca="1" si="582"/>
        <v>30467460.290282235</v>
      </c>
      <c r="AN273" s="411">
        <f t="shared" ca="1" si="582"/>
        <v>29083459.571408153</v>
      </c>
      <c r="AO273" s="411">
        <f t="shared" ca="1" si="582"/>
        <v>27703622.780623794</v>
      </c>
      <c r="AP273" s="411">
        <f t="shared" ref="AP273:BU273" ca="1" si="583">AP249</f>
        <v>26327941.543778371</v>
      </c>
      <c r="AQ273" s="411">
        <f t="shared" ca="1" si="583"/>
        <v>24956336.107132427</v>
      </c>
      <c r="AR273" s="411">
        <f t="shared" ca="1" si="583"/>
        <v>23588863.47924605</v>
      </c>
      <c r="AS273" s="411">
        <f t="shared" ca="1" si="583"/>
        <v>22225514.746453498</v>
      </c>
      <c r="AT273" s="411">
        <f t="shared" ca="1" si="583"/>
        <v>21329119.064522371</v>
      </c>
      <c r="AU273" s="411">
        <f t="shared" ca="1" si="583"/>
        <v>20435100.105017051</v>
      </c>
      <c r="AV273" s="411">
        <f t="shared" ca="1" si="583"/>
        <v>19543463.27873183</v>
      </c>
      <c r="AW273" s="411">
        <f t="shared" ca="1" si="583"/>
        <v>18654214.150452279</v>
      </c>
      <c r="AX273" s="411">
        <f t="shared" ca="1" si="583"/>
        <v>17767358.440118954</v>
      </c>
      <c r="AY273" s="411">
        <f t="shared" ca="1" si="583"/>
        <v>16882902.024057858</v>
      </c>
      <c r="AZ273" s="411">
        <f t="shared" ca="1" si="583"/>
        <v>16000850.93627812</v>
      </c>
      <c r="BA273" s="411">
        <f t="shared" ca="1" si="583"/>
        <v>15121211.369837444</v>
      </c>
      <c r="BB273" s="411">
        <f t="shared" ca="1" si="583"/>
        <v>14243989.678275837</v>
      </c>
      <c r="BC273" s="411">
        <f t="shared" ca="1" si="583"/>
        <v>13368252.587387424</v>
      </c>
      <c r="BD273" s="411">
        <f t="shared" ca="1" si="583"/>
        <v>12494915.518447712</v>
      </c>
      <c r="BE273" s="411">
        <f t="shared" ca="1" si="583"/>
        <v>11623984.694787113</v>
      </c>
      <c r="BF273" s="411">
        <f t="shared" ca="1" si="583"/>
        <v>22551272.016240992</v>
      </c>
      <c r="BG273" s="411">
        <f t="shared" ca="1" si="583"/>
        <v>21624476.300602809</v>
      </c>
      <c r="BH273" s="411">
        <f t="shared" ca="1" si="583"/>
        <v>20699592.579034459</v>
      </c>
      <c r="BI273" s="411">
        <f t="shared" ca="1" si="583"/>
        <v>19776615.824958865</v>
      </c>
      <c r="BJ273" s="411">
        <f t="shared" ca="1" si="583"/>
        <v>18855540.951296818</v>
      </c>
      <c r="BK273" s="411">
        <f t="shared" ca="1" si="583"/>
        <v>17936362.807684507</v>
      </c>
      <c r="BL273" s="411">
        <f t="shared" ca="1" si="583"/>
        <v>16797965.066559564</v>
      </c>
      <c r="BM273" s="411">
        <f t="shared" ca="1" si="583"/>
        <v>15662564.664781176</v>
      </c>
      <c r="BN273" s="411">
        <f t="shared" ca="1" si="583"/>
        <v>14530156.245227613</v>
      </c>
      <c r="BO273" s="411">
        <f t="shared" ca="1" si="583"/>
        <v>13454973.150973296</v>
      </c>
      <c r="BP273" s="411">
        <f t="shared" ca="1" si="583"/>
        <v>12438633.022063976</v>
      </c>
      <c r="BQ273" s="411">
        <f t="shared" ca="1" si="583"/>
        <v>11482247.507261034</v>
      </c>
      <c r="BR273" s="411">
        <f t="shared" ca="1" si="583"/>
        <v>20375091.679375935</v>
      </c>
      <c r="BS273" s="411">
        <f t="shared" ca="1" si="583"/>
        <v>19441679.505604107</v>
      </c>
      <c r="BT273" s="411">
        <f t="shared" ca="1" si="583"/>
        <v>18558911.831532046</v>
      </c>
      <c r="BU273" s="411">
        <f t="shared" ca="1" si="583"/>
        <v>17723668.633204605</v>
      </c>
      <c r="BV273" s="411">
        <f t="shared" ref="BV273:DA273" ca="1" si="584">BV249</f>
        <v>16932808.18762438</v>
      </c>
      <c r="BW273" s="411">
        <f t="shared" ca="1" si="584"/>
        <v>16183166.230798498</v>
      </c>
      <c r="BX273" s="411">
        <f t="shared" ca="1" si="584"/>
        <v>15287295.843782693</v>
      </c>
      <c r="BY273" s="411">
        <f t="shared" ca="1" si="584"/>
        <v>14427170.288648926</v>
      </c>
      <c r="BZ273" s="411">
        <f t="shared" ca="1" si="584"/>
        <v>13599552.497778608</v>
      </c>
      <c r="CA273" s="411">
        <f t="shared" ca="1" si="584"/>
        <v>12803389.827099532</v>
      </c>
      <c r="CB273" s="411">
        <f t="shared" ca="1" si="584"/>
        <v>12035508.88524298</v>
      </c>
      <c r="CC273" s="411">
        <f t="shared" ca="1" si="584"/>
        <v>11292638.28908148</v>
      </c>
      <c r="CD273" s="411">
        <f t="shared" ca="1" si="584"/>
        <v>20402024.481087077</v>
      </c>
      <c r="CE273" s="411">
        <f t="shared" ca="1" si="584"/>
        <v>19652390.769063395</v>
      </c>
      <c r="CF273" s="411">
        <f t="shared" ca="1" si="584"/>
        <v>18922474.011138454</v>
      </c>
      <c r="CG273" s="411">
        <f t="shared" ca="1" si="584"/>
        <v>18211001.80745019</v>
      </c>
      <c r="CH273" s="411">
        <f t="shared" ca="1" si="584"/>
        <v>17516692.154141854</v>
      </c>
      <c r="CI273" s="411">
        <f t="shared" ca="1" si="584"/>
        <v>16838253.092059039</v>
      </c>
      <c r="CJ273" s="411">
        <f t="shared" ca="1" si="584"/>
        <v>15990123.090766646</v>
      </c>
      <c r="CK273" s="411">
        <f t="shared" ca="1" si="584"/>
        <v>15156174.389983414</v>
      </c>
      <c r="CL273" s="411">
        <f t="shared" ca="1" si="584"/>
        <v>14335083.002010543</v>
      </c>
      <c r="CM273" s="411">
        <f t="shared" ca="1" si="584"/>
        <v>13526966.85012388</v>
      </c>
      <c r="CN273" s="411">
        <f t="shared" ca="1" si="584"/>
        <v>12730507.805675907</v>
      </c>
      <c r="CO273" s="411">
        <f t="shared" ca="1" si="584"/>
        <v>11944376.135893069</v>
      </c>
      <c r="CP273" s="411">
        <f t="shared" ca="1" si="584"/>
        <v>21458188.463417921</v>
      </c>
      <c r="CQ273" s="411">
        <f t="shared" ca="1" si="584"/>
        <v>21098466.123817451</v>
      </c>
      <c r="CR273" s="411">
        <f t="shared" ca="1" si="584"/>
        <v>20744689.104670681</v>
      </c>
      <c r="CS273" s="411">
        <f t="shared" ca="1" si="584"/>
        <v>20397216.641729295</v>
      </c>
      <c r="CT273" s="411">
        <f t="shared" ca="1" si="584"/>
        <v>20055577.110836323</v>
      </c>
      <c r="CU273" s="411">
        <f t="shared" ca="1" si="584"/>
        <v>19719255.490976769</v>
      </c>
      <c r="CV273" s="411">
        <f t="shared" ca="1" si="584"/>
        <v>19203524.006850842</v>
      </c>
      <c r="CW273" s="411">
        <f t="shared" ca="1" si="584"/>
        <v>18693456.285631124</v>
      </c>
      <c r="CX273" s="411">
        <f t="shared" ca="1" si="584"/>
        <v>18188956.221778341</v>
      </c>
      <c r="CY273" s="411">
        <f t="shared" ca="1" si="584"/>
        <v>17689939.320078131</v>
      </c>
      <c r="CZ273" s="411">
        <f t="shared" ca="1" si="584"/>
        <v>17196314.240808185</v>
      </c>
      <c r="DA273" s="411">
        <f t="shared" ca="1" si="584"/>
        <v>16707983.451476036</v>
      </c>
      <c r="DB273" s="411">
        <f t="shared" ref="DB273:DY273" ca="1" si="585">DB249</f>
        <v>26054851.986047857</v>
      </c>
      <c r="DC273" s="411">
        <f t="shared" ca="1" si="585"/>
        <v>25526835.473172262</v>
      </c>
      <c r="DD273" s="411">
        <f t="shared" ca="1" si="585"/>
        <v>25003850.772671398</v>
      </c>
      <c r="DE273" s="411">
        <f t="shared" ca="1" si="585"/>
        <v>24485814.190098368</v>
      </c>
      <c r="DF273" s="411">
        <f t="shared" ca="1" si="585"/>
        <v>23972641.454034489</v>
      </c>
      <c r="DG273" s="411">
        <f t="shared" ca="1" si="585"/>
        <v>23464247.693057548</v>
      </c>
      <c r="DH273" s="411">
        <f t="shared" ca="1" si="585"/>
        <v>22776288.153113823</v>
      </c>
      <c r="DI273" s="411">
        <f t="shared" ca="1" si="585"/>
        <v>22093861.877507936</v>
      </c>
      <c r="DJ273" s="411">
        <f t="shared" ca="1" si="585"/>
        <v>21416882.053205993</v>
      </c>
      <c r="DK273" s="411">
        <f t="shared" ca="1" si="585"/>
        <v>20745361.04207259</v>
      </c>
      <c r="DL273" s="411">
        <f t="shared" ca="1" si="585"/>
        <v>20079212.612551853</v>
      </c>
      <c r="DM273" s="411">
        <f t="shared" ca="1" si="585"/>
        <v>19418349.827443976</v>
      </c>
      <c r="DN273" s="411">
        <f t="shared" ca="1" si="585"/>
        <v>31762816.985016771</v>
      </c>
      <c r="DO273" s="411">
        <f t="shared" ca="1" si="585"/>
        <v>31267356.30602112</v>
      </c>
      <c r="DP273" s="411">
        <f t="shared" ca="1" si="585"/>
        <v>30775931.985216778</v>
      </c>
      <c r="DQ273" s="411">
        <f t="shared" ca="1" si="585"/>
        <v>30288507.959092878</v>
      </c>
      <c r="DR273" s="411">
        <f t="shared" ca="1" si="585"/>
        <v>29805047.895689417</v>
      </c>
      <c r="DS273" s="411">
        <f t="shared" ca="1" si="585"/>
        <v>29325515.184272416</v>
      </c>
      <c r="DT273" s="411">
        <f t="shared" ca="1" si="585"/>
        <v>28610335.88782233</v>
      </c>
      <c r="DU273" s="411">
        <f t="shared" ca="1" si="585"/>
        <v>27900213.547220763</v>
      </c>
      <c r="DV273" s="411">
        <f t="shared" ca="1" si="585"/>
        <v>27195110.651946638</v>
      </c>
      <c r="DW273" s="411">
        <f t="shared" ca="1" si="585"/>
        <v>26495067.066345721</v>
      </c>
      <c r="DX273" s="411">
        <f t="shared" ca="1" si="585"/>
        <v>25800046.179498501</v>
      </c>
      <c r="DY273" s="411">
        <f t="shared" ca="1" si="585"/>
        <v>25110011.067564227</v>
      </c>
    </row>
    <row r="274" spans="2:129" s="404" customFormat="1" outlineLevel="1">
      <c r="B274" s="403"/>
      <c r="C274" s="403"/>
      <c r="D274" s="404" t="s">
        <v>96</v>
      </c>
      <c r="E274" s="403"/>
      <c r="F274" s="404" t="s">
        <v>164</v>
      </c>
      <c r="G274" s="405"/>
      <c r="H274" s="406"/>
      <c r="I274" s="450">
        <f>'Model Assumptions'!H119</f>
        <v>500000</v>
      </c>
      <c r="J274" s="406">
        <f ca="1">+I274-_cfStockExpenses+_TotalCOGSAcc</f>
        <v>563501.6607860002</v>
      </c>
      <c r="K274" s="406">
        <f ca="1">+J274-_cfStockExpenses+_TotalCOGSAcc</f>
        <v>628459.70380926167</v>
      </c>
      <c r="L274" s="406">
        <f ca="1">+K274-_cfStockExpenses+_TotalCOGSAcc</f>
        <v>694911.05331188382</v>
      </c>
      <c r="M274" s="406">
        <f t="shared" ref="M274:AO274" ca="1" si="586">+L274-_cfStockExpenses+_TotalCOGSAcc</f>
        <v>762893.29405483394</v>
      </c>
      <c r="N274" s="406">
        <f t="shared" ca="1" si="586"/>
        <v>832444.68530798482</v>
      </c>
      <c r="O274" s="406">
        <f t="shared" ca="1" si="586"/>
        <v>903604.17511215678</v>
      </c>
      <c r="P274" s="406">
        <f t="shared" ca="1" si="586"/>
        <v>976411.41481867956</v>
      </c>
      <c r="Q274" s="406">
        <f t="shared" ca="1" si="586"/>
        <v>1050906.7739121062</v>
      </c>
      <c r="R274" s="406">
        <f ca="1">+Q274-_cfStockExpenses+_TotalCOGSAcc</f>
        <v>1127131.3551218165</v>
      </c>
      <c r="S274" s="406">
        <f ca="1">+R274-_cfStockExpenses+_TotalCOGSAcc</f>
        <v>1214194.5425493419</v>
      </c>
      <c r="T274" s="406">
        <f t="shared" ca="1" si="586"/>
        <v>1303781.4188130351</v>
      </c>
      <c r="U274" s="406">
        <f t="shared" ca="1" si="586"/>
        <v>1395949.5800157739</v>
      </c>
      <c r="V274" s="406">
        <f t="shared" ca="1" si="586"/>
        <v>1490420.2243843672</v>
      </c>
      <c r="W274" s="406">
        <f t="shared" ca="1" si="586"/>
        <v>1587045.7828538436</v>
      </c>
      <c r="X274" s="406">
        <f t="shared" ca="1" si="586"/>
        <v>1685872.6247125119</v>
      </c>
      <c r="Y274" s="406">
        <f t="shared" ca="1" si="586"/>
        <v>1786948.0139243843</v>
      </c>
      <c r="Z274" s="406">
        <f t="shared" ca="1" si="586"/>
        <v>1890320.1273497907</v>
      </c>
      <c r="AA274" s="406">
        <f t="shared" ca="1" si="586"/>
        <v>1996038.0733271353</v>
      </c>
      <c r="AB274" s="406">
        <f t="shared" ca="1" si="586"/>
        <v>2104151.9106230494</v>
      </c>
      <c r="AC274" s="406">
        <f t="shared" ca="1" si="586"/>
        <v>2214712.6677583391</v>
      </c>
      <c r="AD274" s="406">
        <f t="shared" ca="1" si="586"/>
        <v>2327772.3627172853</v>
      </c>
      <c r="AE274" s="406">
        <f t="shared" ca="1" si="586"/>
        <v>2456068.892663613</v>
      </c>
      <c r="AF274" s="406">
        <f t="shared" ca="1" si="586"/>
        <v>2587423.2542074919</v>
      </c>
      <c r="AG274" s="406">
        <f t="shared" ca="1" si="586"/>
        <v>2721899.5921015358</v>
      </c>
      <c r="AH274" s="406">
        <f t="shared" ca="1" si="586"/>
        <v>2859211.7566211997</v>
      </c>
      <c r="AI274" s="406">
        <f t="shared" ca="1" si="586"/>
        <v>2999399.7243054933</v>
      </c>
      <c r="AJ274" s="406">
        <f t="shared" ca="1" si="586"/>
        <v>3142523.3377744667</v>
      </c>
      <c r="AK274" s="406">
        <f t="shared" ca="1" si="586"/>
        <v>3296053.8813148318</v>
      </c>
      <c r="AL274" s="406">
        <f t="shared" ca="1" si="586"/>
        <v>3452930.630667456</v>
      </c>
      <c r="AM274" s="406">
        <f t="shared" ca="1" si="586"/>
        <v>3613222.7674042801</v>
      </c>
      <c r="AN274" s="406">
        <f t="shared" ca="1" si="586"/>
        <v>3769590.5660742964</v>
      </c>
      <c r="AO274" s="406">
        <f t="shared" ca="1" si="586"/>
        <v>3929068.8337768065</v>
      </c>
      <c r="AP274" s="406">
        <f t="shared" ref="AP274:BU274" ca="1" si="587">+AO274-_cfStockExpenses+_TotalCOGSAcc</f>
        <v>4091720.5658182101</v>
      </c>
      <c r="AQ274" s="406">
        <f t="shared" ca="1" si="587"/>
        <v>4257681.2511742786</v>
      </c>
      <c r="AR274" s="406">
        <f t="shared" ca="1" si="587"/>
        <v>4426950.7510538436</v>
      </c>
      <c r="AS274" s="406">
        <f t="shared" ca="1" si="587"/>
        <v>4599596.0043303473</v>
      </c>
      <c r="AT274" s="406">
        <f t="shared" ca="1" si="587"/>
        <v>4791472.0867813174</v>
      </c>
      <c r="AU274" s="406">
        <f t="shared" ca="1" si="587"/>
        <v>4987168.4077135539</v>
      </c>
      <c r="AV274" s="406">
        <f t="shared" ca="1" si="587"/>
        <v>5186762.2039048485</v>
      </c>
      <c r="AW274" s="406">
        <f t="shared" ca="1" si="587"/>
        <v>5390332.2485484658</v>
      </c>
      <c r="AX274" s="406">
        <f t="shared" ca="1" si="587"/>
        <v>5597958.8820646554</v>
      </c>
      <c r="AY274" s="406">
        <f t="shared" ca="1" si="587"/>
        <v>5809724.0435275603</v>
      </c>
      <c r="AZ274" s="406">
        <f t="shared" ca="1" si="587"/>
        <v>6025711.3027198389</v>
      </c>
      <c r="BA274" s="406">
        <f t="shared" ca="1" si="587"/>
        <v>6246005.8928275667</v>
      </c>
      <c r="BB274" s="406">
        <f t="shared" ca="1" si="587"/>
        <v>6470694.7437882237</v>
      </c>
      <c r="BC274" s="406">
        <f t="shared" ca="1" si="587"/>
        <v>6700806.3060356705</v>
      </c>
      <c r="BD274" s="406">
        <f t="shared" ca="1" si="587"/>
        <v>6935522.2635386027</v>
      </c>
      <c r="BE274" s="406">
        <f t="shared" ca="1" si="587"/>
        <v>7174935.4642559383</v>
      </c>
      <c r="BF274" s="406">
        <f t="shared" ca="1" si="587"/>
        <v>7418200.8157744166</v>
      </c>
      <c r="BG274" s="406">
        <f t="shared" ca="1" si="587"/>
        <v>7666298.2697042283</v>
      </c>
      <c r="BH274" s="406">
        <f t="shared" ca="1" si="587"/>
        <v>7919325.1285192277</v>
      </c>
      <c r="BI274" s="406">
        <f t="shared" ca="1" si="587"/>
        <v>8177380.6341384863</v>
      </c>
      <c r="BJ274" s="406">
        <f t="shared" ca="1" si="587"/>
        <v>8440566.0067812465</v>
      </c>
      <c r="BK274" s="406">
        <f t="shared" ca="1" si="587"/>
        <v>8708984.4845983032</v>
      </c>
      <c r="BL274" s="406">
        <f t="shared" ca="1" si="587"/>
        <v>8982741.3640953656</v>
      </c>
      <c r="BM274" s="406">
        <f t="shared" ca="1" si="587"/>
        <v>9261944.0413642321</v>
      </c>
      <c r="BN274" s="406">
        <f t="shared" ca="1" si="587"/>
        <v>9546702.0541379582</v>
      </c>
      <c r="BO274" s="406">
        <f t="shared" ca="1" si="587"/>
        <v>9782888.3498610687</v>
      </c>
      <c r="BP274" s="406">
        <f t="shared" ca="1" si="587"/>
        <v>9968993.7297719195</v>
      </c>
      <c r="BQ274" s="406">
        <f t="shared" ca="1" si="587"/>
        <v>10104017.17886447</v>
      </c>
      <c r="BR274" s="406">
        <f t="shared" ca="1" si="587"/>
        <v>10241176.430624863</v>
      </c>
      <c r="BS274" s="406">
        <f t="shared" ca="1" si="587"/>
        <v>10380875.805035632</v>
      </c>
      <c r="BT274" s="406">
        <f t="shared" ca="1" si="587"/>
        <v>10523005.638446311</v>
      </c>
      <c r="BU274" s="406">
        <f t="shared" ca="1" si="587"/>
        <v>10667455.678594459</v>
      </c>
      <c r="BV274" s="406">
        <f t="shared" ref="BV274:CC274" ca="1" si="588">+BU274-_cfStockExpenses+_TotalCOGSAcc</f>
        <v>10814115.056786817</v>
      </c>
      <c r="BW274" s="406">
        <f t="shared" ca="1" si="588"/>
        <v>10962872.259684537</v>
      </c>
      <c r="BX274" s="406">
        <f t="shared" ca="1" si="588"/>
        <v>11113615.100682991</v>
      </c>
      <c r="BY274" s="406">
        <f t="shared" ca="1" si="588"/>
        <v>11266230.690876447</v>
      </c>
      <c r="BZ274" s="406">
        <f t="shared" ca="1" si="588"/>
        <v>11420605.409597736</v>
      </c>
      <c r="CA274" s="406">
        <f t="shared" ca="1" si="588"/>
        <v>11574414.41174568</v>
      </c>
      <c r="CB274" s="406">
        <f t="shared" ca="1" si="588"/>
        <v>11727425.85960062</v>
      </c>
      <c r="CC274" s="406">
        <f t="shared" ca="1" si="588"/>
        <v>11879477.213523537</v>
      </c>
      <c r="CD274" s="406">
        <f t="shared" ref="CD274:DY274" ca="1" si="589">+CC274-_cfStockExpenses+_TotalCOGSAcc</f>
        <v>12032614.611745343</v>
      </c>
      <c r="CE274" s="406">
        <f t="shared" ca="1" si="589"/>
        <v>12186848.240348628</v>
      </c>
      <c r="CF274" s="406">
        <f t="shared" ca="1" si="589"/>
        <v>12342118.831146363</v>
      </c>
      <c r="CG274" s="406">
        <f t="shared" ca="1" si="589"/>
        <v>12498366.742515732</v>
      </c>
      <c r="CH274" s="406">
        <f t="shared" ca="1" si="589"/>
        <v>12655531.94381012</v>
      </c>
      <c r="CI274" s="406">
        <f t="shared" ca="1" si="589"/>
        <v>12813553.999540567</v>
      </c>
      <c r="CJ274" s="406">
        <f t="shared" ca="1" si="589"/>
        <v>12972372.053321209</v>
      </c>
      <c r="CK274" s="406">
        <f t="shared" ca="1" si="589"/>
        <v>13131924.811573204</v>
      </c>
      <c r="CL274" s="406">
        <f t="shared" ca="1" si="589"/>
        <v>13292150.526981538</v>
      </c>
      <c r="CM274" s="406">
        <f t="shared" ca="1" si="589"/>
        <v>13451533.654748401</v>
      </c>
      <c r="CN274" s="406">
        <f t="shared" ca="1" si="589"/>
        <v>13609982.418759182</v>
      </c>
      <c r="CO274" s="406">
        <f t="shared" ca="1" si="589"/>
        <v>13767403.960720472</v>
      </c>
      <c r="CP274" s="406">
        <f t="shared" ca="1" si="589"/>
        <v>13925157.63383371</v>
      </c>
      <c r="CQ274" s="406">
        <f t="shared" ca="1" si="589"/>
        <v>14083216.629675858</v>
      </c>
      <c r="CR274" s="406">
        <f t="shared" ca="1" si="589"/>
        <v>14241553.934177823</v>
      </c>
      <c r="CS274" s="406">
        <f t="shared" ca="1" si="589"/>
        <v>14399258.615424413</v>
      </c>
      <c r="CT274" s="406">
        <f t="shared" ca="1" si="589"/>
        <v>14556245.774982717</v>
      </c>
      <c r="CU274" s="406">
        <f t="shared" ca="1" si="589"/>
        <v>14712468.925607968</v>
      </c>
      <c r="CV274" s="406">
        <f t="shared" ca="1" si="589"/>
        <v>14868764.680448569</v>
      </c>
      <c r="CW274" s="406">
        <f t="shared" ca="1" si="589"/>
        <v>15025166.638979705</v>
      </c>
      <c r="CX274" s="406">
        <f t="shared" ca="1" si="589"/>
        <v>15181670.43867768</v>
      </c>
      <c r="CY274" s="406">
        <f t="shared" ca="1" si="589"/>
        <v>15338259.513535572</v>
      </c>
      <c r="CZ274" s="406">
        <f t="shared" ca="1" si="589"/>
        <v>15494923.522282455</v>
      </c>
      <c r="DA274" s="406">
        <f t="shared" ca="1" si="589"/>
        <v>15651657.669657039</v>
      </c>
      <c r="DB274" s="406">
        <f t="shared" ca="1" si="589"/>
        <v>15808469.308530916</v>
      </c>
      <c r="DC274" s="406">
        <f t="shared" ca="1" si="589"/>
        <v>15965359.838193966</v>
      </c>
      <c r="DD274" s="406">
        <f t="shared" ca="1" si="589"/>
        <v>16122325.20866996</v>
      </c>
      <c r="DE274" s="406">
        <f t="shared" ca="1" si="589"/>
        <v>16279361.345261082</v>
      </c>
      <c r="DF274" s="406">
        <f t="shared" ca="1" si="589"/>
        <v>16436464.14749069</v>
      </c>
      <c r="DG274" s="406">
        <f t="shared" ca="1" si="589"/>
        <v>16593629.488030601</v>
      </c>
      <c r="DH274" s="406">
        <f t="shared" ca="1" si="589"/>
        <v>16750853.211612482</v>
      </c>
      <c r="DI274" s="406">
        <f t="shared" ca="1" si="589"/>
        <v>16908131.133922968</v>
      </c>
      <c r="DJ274" s="406">
        <f t="shared" ca="1" si="589"/>
        <v>17065459.040482178</v>
      </c>
      <c r="DK274" s="406">
        <f t="shared" ca="1" si="589"/>
        <v>17222732.815024324</v>
      </c>
      <c r="DL274" s="406">
        <f t="shared" ca="1" si="589"/>
        <v>17379946.181861319</v>
      </c>
      <c r="DM274" s="406">
        <f t="shared" ca="1" si="589"/>
        <v>17537092.791753992</v>
      </c>
      <c r="DN274" s="406">
        <f t="shared" ca="1" si="589"/>
        <v>17694266.090370107</v>
      </c>
      <c r="DO274" s="406">
        <f t="shared" ca="1" si="589"/>
        <v>17851464.269242182</v>
      </c>
      <c r="DP274" s="406">
        <f t="shared" ca="1" si="589"/>
        <v>18008685.507124472</v>
      </c>
      <c r="DQ274" s="406">
        <f t="shared" ca="1" si="589"/>
        <v>18165927.969534833</v>
      </c>
      <c r="DR274" s="406">
        <f t="shared" ca="1" si="589"/>
        <v>18323189.808258098</v>
      </c>
      <c r="DS274" s="406">
        <f t="shared" ca="1" si="589"/>
        <v>18480469.160841852</v>
      </c>
      <c r="DT274" s="406">
        <f t="shared" ca="1" si="589"/>
        <v>18637764.150084425</v>
      </c>
      <c r="DU274" s="406">
        <f t="shared" ca="1" si="589"/>
        <v>18795072.883514889</v>
      </c>
      <c r="DV274" s="406">
        <f t="shared" ca="1" si="589"/>
        <v>18952393.452864949</v>
      </c>
      <c r="DW274" s="406">
        <f t="shared" ca="1" si="589"/>
        <v>19109646.237057295</v>
      </c>
      <c r="DX274" s="406">
        <f t="shared" ca="1" si="589"/>
        <v>19266827.74068144</v>
      </c>
      <c r="DY274" s="406">
        <f t="shared" ca="1" si="589"/>
        <v>19423934.419815768</v>
      </c>
    </row>
    <row r="275" spans="2:129" s="404" customFormat="1" outlineLevel="1">
      <c r="B275" s="403"/>
      <c r="C275" s="403"/>
      <c r="D275" s="404" t="s">
        <v>97</v>
      </c>
      <c r="E275" s="403"/>
      <c r="F275" s="404" t="s">
        <v>165</v>
      </c>
      <c r="G275" s="405"/>
      <c r="H275" s="406"/>
      <c r="I275" s="450">
        <f>'Model Assumptions'!H120</f>
        <v>800000</v>
      </c>
      <c r="J275" s="406">
        <f t="shared" ref="J275:AO275" ca="1" si="590">I275+_TotalRevenueAcc+_receivablewriteoffs-_TotalRevenueCash</f>
        <v>1790983.8907174054</v>
      </c>
      <c r="K275" s="406">
        <f t="shared" ca="1" si="590"/>
        <v>2778232.8564123148</v>
      </c>
      <c r="L275" s="406">
        <f t="shared" ca="1" si="590"/>
        <v>3760521.520334952</v>
      </c>
      <c r="M275" s="406">
        <f t="shared" ca="1" si="590"/>
        <v>4736611.5049830414</v>
      </c>
      <c r="N275" s="406">
        <f t="shared" ca="1" si="590"/>
        <v>5705251.0570189254</v>
      </c>
      <c r="O275" s="406">
        <f t="shared" ca="1" si="590"/>
        <v>6665174.6658357196</v>
      </c>
      <c r="P275" s="406">
        <f t="shared" ca="1" si="590"/>
        <v>7615102.6756339483</v>
      </c>
      <c r="Q275" s="406">
        <f t="shared" ca="1" si="590"/>
        <v>8553740.8908674959</v>
      </c>
      <c r="R275" s="406">
        <f t="shared" ca="1" si="590"/>
        <v>9479780.1749149766</v>
      </c>
      <c r="S275" s="406">
        <f t="shared" ca="1" si="590"/>
        <v>10391896.041829888</v>
      </c>
      <c r="T275" s="406">
        <f t="shared" ca="1" si="590"/>
        <v>11288748.24102002</v>
      </c>
      <c r="U275" s="406">
        <f t="shared" ca="1" si="590"/>
        <v>12168980.334703812</v>
      </c>
      <c r="V275" s="406">
        <f t="shared" ca="1" si="590"/>
        <v>13094441.790486103</v>
      </c>
      <c r="W275" s="406">
        <f t="shared" ca="1" si="590"/>
        <v>14019254.023975573</v>
      </c>
      <c r="X275" s="406">
        <f t="shared" ca="1" si="590"/>
        <v>14943149.146094207</v>
      </c>
      <c r="Y275" s="406">
        <f t="shared" ca="1" si="590"/>
        <v>15865856.459028747</v>
      </c>
      <c r="Z275" s="406">
        <f t="shared" ca="1" si="590"/>
        <v>16787102.374565534</v>
      </c>
      <c r="AA275" s="406">
        <f t="shared" ca="1" si="590"/>
        <v>17706610.331046935</v>
      </c>
      <c r="AB275" s="406">
        <f t="shared" ca="1" si="590"/>
        <v>18624100.708919257</v>
      </c>
      <c r="AC275" s="406">
        <f t="shared" ca="1" si="590"/>
        <v>19539290.74484146</v>
      </c>
      <c r="AD275" s="406">
        <f t="shared" ca="1" si="590"/>
        <v>20451894.444323376</v>
      </c>
      <c r="AE275" s="406">
        <f t="shared" ca="1" si="590"/>
        <v>21361622.492861539</v>
      </c>
      <c r="AF275" s="406">
        <f t="shared" ca="1" si="590"/>
        <v>22268182.165540159</v>
      </c>
      <c r="AG275" s="406">
        <f t="shared" ca="1" si="590"/>
        <v>23171277.235064108</v>
      </c>
      <c r="AH275" s="406">
        <f t="shared" ca="1" si="590"/>
        <v>24166264.931060508</v>
      </c>
      <c r="AI275" s="406">
        <f t="shared" ca="1" si="590"/>
        <v>25174670.479568087</v>
      </c>
      <c r="AJ275" s="406">
        <f t="shared" ca="1" si="590"/>
        <v>26196642.508359689</v>
      </c>
      <c r="AK275" s="406">
        <f t="shared" ca="1" si="590"/>
        <v>27232333.815056391</v>
      </c>
      <c r="AL275" s="406">
        <f t="shared" ca="1" si="590"/>
        <v>28281901.438551534</v>
      </c>
      <c r="AM275" s="406">
        <f t="shared" ca="1" si="590"/>
        <v>29345506.731982976</v>
      </c>
      <c r="AN275" s="406">
        <f t="shared" ca="1" si="590"/>
        <v>30446665.589441903</v>
      </c>
      <c r="AO275" s="406">
        <f t="shared" ca="1" si="590"/>
        <v>31570864.465736374</v>
      </c>
      <c r="AP275" s="406">
        <f t="shared" ref="AP275:BU275" ca="1" si="591">AO275+_TotalRevenueAcc+_receivablewriteoffs-_TotalRevenueCash</f>
        <v>32718519.538384244</v>
      </c>
      <c r="AQ275" s="406">
        <f t="shared" ca="1" si="591"/>
        <v>33890055.75468231</v>
      </c>
      <c r="AR275" s="406">
        <f t="shared" ca="1" si="591"/>
        <v>35085907.002639599</v>
      </c>
      <c r="AS275" s="406">
        <f t="shared" ca="1" si="591"/>
        <v>36306516.285373963</v>
      </c>
      <c r="AT275" s="406">
        <f t="shared" ca="1" si="591"/>
        <v>37627789.414701425</v>
      </c>
      <c r="AU275" s="406">
        <f t="shared" ca="1" si="591"/>
        <v>38976358.657793462</v>
      </c>
      <c r="AV275" s="406">
        <f t="shared" ca="1" si="591"/>
        <v>40352734.568166204</v>
      </c>
      <c r="AW275" s="406">
        <f t="shared" ca="1" si="591"/>
        <v>41757438.264093675</v>
      </c>
      <c r="AX275" s="406">
        <f t="shared" ca="1" si="591"/>
        <v>43191001.636366121</v>
      </c>
      <c r="AY275" s="406">
        <f t="shared" ca="1" si="591"/>
        <v>44653967.560238779</v>
      </c>
      <c r="AZ275" s="406">
        <f t="shared" ca="1" si="591"/>
        <v>46146890.111654729</v>
      </c>
      <c r="BA275" s="406">
        <f t="shared" ca="1" si="591"/>
        <v>47670334.787826769</v>
      </c>
      <c r="BB275" s="406">
        <f t="shared" ca="1" si="591"/>
        <v>49224878.732265361</v>
      </c>
      <c r="BC275" s="406">
        <f t="shared" ca="1" si="591"/>
        <v>50811110.96434103</v>
      </c>
      <c r="BD275" s="406">
        <f t="shared" ca="1" si="591"/>
        <v>52429632.613471627</v>
      </c>
      <c r="BE275" s="406">
        <f t="shared" ca="1" si="591"/>
        <v>54081057.158026733</v>
      </c>
      <c r="BF275" s="406">
        <f t="shared" ca="1" si="591"/>
        <v>55768796.234818444</v>
      </c>
      <c r="BG275" s="406">
        <f t="shared" ca="1" si="591"/>
        <v>57491813.237635918</v>
      </c>
      <c r="BH275" s="406">
        <f t="shared" ca="1" si="591"/>
        <v>59250785.634949446</v>
      </c>
      <c r="BI275" s="406">
        <f t="shared" ca="1" si="591"/>
        <v>61046404.72549922</v>
      </c>
      <c r="BJ275" s="406">
        <f t="shared" ca="1" si="591"/>
        <v>62879375.912091725</v>
      </c>
      <c r="BK275" s="406">
        <f t="shared" ca="1" si="591"/>
        <v>64750418.980900191</v>
      </c>
      <c r="BL275" s="406">
        <f t="shared" ca="1" si="591"/>
        <v>66660268.38637875</v>
      </c>
      <c r="BM275" s="406">
        <f t="shared" ca="1" si="591"/>
        <v>68609673.541902527</v>
      </c>
      <c r="BN275" s="406">
        <f t="shared" ca="1" si="591"/>
        <v>70599399.116247758</v>
      </c>
      <c r="BO275" s="406">
        <f t="shared" ca="1" si="591"/>
        <v>72630225.336028427</v>
      </c>
      <c r="BP275" s="406">
        <f t="shared" ca="1" si="591"/>
        <v>74702948.294208407</v>
      </c>
      <c r="BQ275" s="406">
        <f t="shared" ca="1" si="591"/>
        <v>76818380.264810339</v>
      </c>
      <c r="BR275" s="406">
        <f t="shared" ca="1" si="591"/>
        <v>78829463.600120097</v>
      </c>
      <c r="BS275" s="406">
        <f t="shared" ca="1" si="591"/>
        <v>80741050.987650752</v>
      </c>
      <c r="BT275" s="406">
        <f t="shared" ca="1" si="591"/>
        <v>82559152.953650936</v>
      </c>
      <c r="BU275" s="406">
        <f t="shared" ca="1" si="591"/>
        <v>84289820.230442196</v>
      </c>
      <c r="BV275" s="406">
        <f t="shared" ref="BV275:DA275" ca="1" si="592">BU275+_TotalRevenueAcc+_receivablewriteoffs-_TotalRevenueCash</f>
        <v>85939145.360584974</v>
      </c>
      <c r="BW275" s="406">
        <f t="shared" ca="1" si="592"/>
        <v>87513264.325127512</v>
      </c>
      <c r="BX275" s="406">
        <f t="shared" ca="1" si="592"/>
        <v>89018358.196499169</v>
      </c>
      <c r="BY275" s="406">
        <f t="shared" ca="1" si="592"/>
        <v>90460654.816620514</v>
      </c>
      <c r="BZ275" s="406">
        <f t="shared" ca="1" si="592"/>
        <v>91846430.500812665</v>
      </c>
      <c r="CA275" s="406">
        <f t="shared" ca="1" si="592"/>
        <v>93182011.768099695</v>
      </c>
      <c r="CB275" s="406">
        <f t="shared" ca="1" si="592"/>
        <v>94473777.098508731</v>
      </c>
      <c r="CC275" s="406">
        <f t="shared" ca="1" si="592"/>
        <v>95728158.717983827</v>
      </c>
      <c r="CD275" s="406">
        <f t="shared" ca="1" si="592"/>
        <v>96946278.324016318</v>
      </c>
      <c r="CE275" s="406">
        <f t="shared" ca="1" si="592"/>
        <v>98130627.066271737</v>
      </c>
      <c r="CF275" s="406">
        <f t="shared" ca="1" si="592"/>
        <v>99283848.35228838</v>
      </c>
      <c r="CG275" s="406">
        <f t="shared" ca="1" si="592"/>
        <v>100408605.2695072</v>
      </c>
      <c r="CH275" s="406">
        <f t="shared" ca="1" si="592"/>
        <v>101507581.31075227</v>
      </c>
      <c r="CI275" s="406">
        <f t="shared" ca="1" si="592"/>
        <v>102583481.11090216</v>
      </c>
      <c r="CJ275" s="406">
        <f t="shared" ca="1" si="592"/>
        <v>103639031.19500901</v>
      </c>
      <c r="CK275" s="406">
        <f t="shared" ca="1" si="592"/>
        <v>104676980.73812728</v>
      </c>
      <c r="CL275" s="406">
        <f t="shared" ca="1" si="592"/>
        <v>105700102.33711879</v>
      </c>
      <c r="CM275" s="406">
        <f t="shared" ca="1" si="592"/>
        <v>106711192.79470575</v>
      </c>
      <c r="CN275" s="406">
        <f t="shared" ca="1" si="592"/>
        <v>107713073.91604877</v>
      </c>
      <c r="CO275" s="406">
        <f t="shared" ca="1" si="592"/>
        <v>108708593.31813177</v>
      </c>
      <c r="CP275" s="406">
        <f t="shared" ca="1" si="592"/>
        <v>109696418.23762828</v>
      </c>
      <c r="CQ275" s="406">
        <f t="shared" ca="1" si="592"/>
        <v>110677678.18398696</v>
      </c>
      <c r="CR275" s="406">
        <f t="shared" ca="1" si="592"/>
        <v>111653512.42596796</v>
      </c>
      <c r="CS275" s="406">
        <f t="shared" ca="1" si="592"/>
        <v>112625070.31202435</v>
      </c>
      <c r="CT275" s="406">
        <f t="shared" ca="1" si="592"/>
        <v>113593511.59895289</v>
      </c>
      <c r="CU275" s="406">
        <f t="shared" ca="1" si="592"/>
        <v>114560006.7858471</v>
      </c>
      <c r="CV275" s="406">
        <f t="shared" ca="1" si="592"/>
        <v>115522952.83974105</v>
      </c>
      <c r="CW275" s="406">
        <f t="shared" ca="1" si="592"/>
        <v>116482461.23801996</v>
      </c>
      <c r="CX275" s="406">
        <f t="shared" ca="1" si="592"/>
        <v>117438727.43327768</v>
      </c>
      <c r="CY275" s="406">
        <f t="shared" ca="1" si="592"/>
        <v>118391948.14510292</v>
      </c>
      <c r="CZ275" s="406">
        <f t="shared" ca="1" si="592"/>
        <v>119342321.41183965</v>
      </c>
      <c r="DA275" s="406">
        <f t="shared" ca="1" si="592"/>
        <v>120290046.64311859</v>
      </c>
      <c r="DB275" s="406">
        <f t="shared" ref="DB275:DY275" ca="1" si="593">DA275+_TotalRevenueAcc+_receivablewriteoffs-_TotalRevenueCash</f>
        <v>121235297.90274808</v>
      </c>
      <c r="DC275" s="406">
        <f t="shared" ca="1" si="593"/>
        <v>122178236.36401042</v>
      </c>
      <c r="DD275" s="406">
        <f t="shared" ca="1" si="593"/>
        <v>123119034.88977447</v>
      </c>
      <c r="DE275" s="406">
        <f t="shared" ca="1" si="593"/>
        <v>124057867.60897811</v>
      </c>
      <c r="DF275" s="406">
        <f t="shared" ca="1" si="593"/>
        <v>124994909.96386147</v>
      </c>
      <c r="DG275" s="406">
        <f t="shared" ca="1" si="593"/>
        <v>125930338.75792579</v>
      </c>
      <c r="DH275" s="406">
        <f t="shared" ca="1" si="593"/>
        <v>126864332.20463447</v>
      </c>
      <c r="DI275" s="406">
        <f t="shared" ca="1" si="593"/>
        <v>127797069.97687337</v>
      </c>
      <c r="DJ275" s="406">
        <f t="shared" ca="1" si="593"/>
        <v>128728733.25718775</v>
      </c>
      <c r="DK275" s="406">
        <f t="shared" ca="1" si="593"/>
        <v>129659504.78881337</v>
      </c>
      <c r="DL275" s="406">
        <f t="shared" ca="1" si="593"/>
        <v>130589568.92752004</v>
      </c>
      <c r="DM275" s="406">
        <f t="shared" ca="1" si="593"/>
        <v>131519111.69428547</v>
      </c>
      <c r="DN275" s="406">
        <f t="shared" ca="1" si="593"/>
        <v>132448025.29012908</v>
      </c>
      <c r="DO275" s="406">
        <f t="shared" ca="1" si="593"/>
        <v>133376384.57534483</v>
      </c>
      <c r="DP275" s="406">
        <f t="shared" ca="1" si="593"/>
        <v>134304265.0330199</v>
      </c>
      <c r="DQ275" s="406">
        <f t="shared" ca="1" si="593"/>
        <v>135231742.79021016</v>
      </c>
      <c r="DR275" s="406">
        <f t="shared" ca="1" si="593"/>
        <v>136158894.6394766</v>
      </c>
      <c r="DS275" s="406">
        <f t="shared" ca="1" si="593"/>
        <v>137085798.06076571</v>
      </c>
      <c r="DT275" s="406">
        <f t="shared" ca="1" si="593"/>
        <v>138012531.24364179</v>
      </c>
      <c r="DU275" s="406">
        <f t="shared" ca="1" si="593"/>
        <v>138939173.10987934</v>
      </c>
      <c r="DV275" s="406">
        <f t="shared" ca="1" si="593"/>
        <v>139865803.33642274</v>
      </c>
      <c r="DW275" s="406">
        <f t="shared" ca="1" si="593"/>
        <v>140792502.37872264</v>
      </c>
      <c r="DX275" s="406">
        <f t="shared" ca="1" si="593"/>
        <v>141719351.49445617</v>
      </c>
      <c r="DY275" s="406">
        <f t="shared" ca="1" si="593"/>
        <v>142646432.76764041</v>
      </c>
    </row>
    <row r="276" spans="2:129" s="404" customFormat="1" outlineLevel="1">
      <c r="C276" s="407" t="s">
        <v>112</v>
      </c>
      <c r="D276" s="408"/>
      <c r="E276" s="408"/>
      <c r="F276" s="408" t="s">
        <v>168</v>
      </c>
      <c r="G276" s="409"/>
      <c r="H276" s="409"/>
      <c r="I276" s="441"/>
      <c r="J276" s="409">
        <f ca="1">SUM(J273:J275)</f>
        <v>19962112.475723222</v>
      </c>
      <c r="K276" s="409">
        <f t="shared" ref="K276:AO276" ca="1" si="594">SUM(K273:K275)</f>
        <v>20305699.743830312</v>
      </c>
      <c r="L276" s="409">
        <f t="shared" ca="1" si="594"/>
        <v>20656554.675626375</v>
      </c>
      <c r="M276" s="409">
        <f t="shared" ca="1" si="594"/>
        <v>21014332.789265148</v>
      </c>
      <c r="N276" s="409">
        <f t="shared" ca="1" si="594"/>
        <v>21378687.611614648</v>
      </c>
      <c r="O276" s="409">
        <f t="shared" ca="1" si="594"/>
        <v>21749270.58944796</v>
      </c>
      <c r="P276" s="409">
        <f t="shared" ca="1" si="594"/>
        <v>22125730.99934762</v>
      </c>
      <c r="Q276" s="409">
        <f t="shared" ca="1" si="594"/>
        <v>22507715.856293097</v>
      </c>
      <c r="R276" s="409">
        <f t="shared" ca="1" si="594"/>
        <v>22894869.820900053</v>
      </c>
      <c r="S276" s="409">
        <f t="shared" ca="1" si="594"/>
        <v>23286835.105279744</v>
      </c>
      <c r="T276" s="409">
        <f t="shared" ca="1" si="594"/>
        <v>23683251.37748605</v>
      </c>
      <c r="U276" s="409">
        <f t="shared" ca="1" si="594"/>
        <v>24083755.664517336</v>
      </c>
      <c r="V276" s="409">
        <f ca="1">SUM(V273:V275)</f>
        <v>24139385.447049581</v>
      </c>
      <c r="W276" s="409">
        <f t="shared" ca="1" si="594"/>
        <v>24211947.702036582</v>
      </c>
      <c r="X276" s="409">
        <f t="shared" ca="1" si="594"/>
        <v>24301581.576440658</v>
      </c>
      <c r="Y276" s="409">
        <f t="shared" ca="1" si="594"/>
        <v>24408430.127132669</v>
      </c>
      <c r="Z276" s="409">
        <f t="shared" ca="1" si="594"/>
        <v>24532640.38782052</v>
      </c>
      <c r="AA276" s="409">
        <f t="shared" ca="1" si="594"/>
        <v>24674363.437428888</v>
      </c>
      <c r="AB276" s="409">
        <f t="shared" ca="1" si="594"/>
        <v>26629589.593957372</v>
      </c>
      <c r="AC276" s="409">
        <f t="shared" ca="1" si="594"/>
        <v>26795850.485030118</v>
      </c>
      <c r="AD276" s="409">
        <f t="shared" ca="1" si="594"/>
        <v>26973172.481543101</v>
      </c>
      <c r="AE276" s="409">
        <f t="shared" ca="1" si="594"/>
        <v>27161584.022628918</v>
      </c>
      <c r="AF276" s="409">
        <f t="shared" ca="1" si="594"/>
        <v>27361115.639639761</v>
      </c>
      <c r="AG276" s="409">
        <f t="shared" ca="1" si="594"/>
        <v>27571799.980816774</v>
      </c>
      <c r="AH276" s="409">
        <f t="shared" ca="1" si="594"/>
        <v>62226681.305483647</v>
      </c>
      <c r="AI276" s="409">
        <f t="shared" ca="1" si="594"/>
        <v>62409554.545772992</v>
      </c>
      <c r="AJ276" s="409">
        <f t="shared" ca="1" si="594"/>
        <v>62620840.319574296</v>
      </c>
      <c r="AK276" s="409">
        <f t="shared" ca="1" si="594"/>
        <v>62860968.181283496</v>
      </c>
      <c r="AL276" s="409">
        <f t="shared" ca="1" si="594"/>
        <v>63130376.795291647</v>
      </c>
      <c r="AM276" s="409">
        <f t="shared" ca="1" si="594"/>
        <v>63426189.789669491</v>
      </c>
      <c r="AN276" s="409">
        <f t="shared" ca="1" si="594"/>
        <v>63299715.726924352</v>
      </c>
      <c r="AO276" s="409">
        <f t="shared" ca="1" si="594"/>
        <v>63203556.08013697</v>
      </c>
      <c r="AP276" s="409">
        <f t="shared" ref="AP276:CC276" ca="1" si="595">SUM(AP273:AP275)</f>
        <v>63138181.647980824</v>
      </c>
      <c r="AQ276" s="409">
        <f t="shared" ca="1" si="595"/>
        <v>63104073.112989016</v>
      </c>
      <c r="AR276" s="409">
        <f t="shared" ca="1" si="595"/>
        <v>63101721.232939497</v>
      </c>
      <c r="AS276" s="409">
        <f t="shared" ca="1" si="595"/>
        <v>63131627.036157809</v>
      </c>
      <c r="AT276" s="409">
        <f t="shared" ca="1" si="595"/>
        <v>63748380.566005111</v>
      </c>
      <c r="AU276" s="409">
        <f t="shared" ca="1" si="595"/>
        <v>64398627.170524068</v>
      </c>
      <c r="AV276" s="409">
        <f t="shared" ca="1" si="595"/>
        <v>65082960.050802886</v>
      </c>
      <c r="AW276" s="409">
        <f t="shared" ca="1" si="595"/>
        <v>65801984.663094416</v>
      </c>
      <c r="AX276" s="409">
        <f t="shared" ca="1" si="595"/>
        <v>66556318.95854973</v>
      </c>
      <c r="AY276" s="409">
        <f t="shared" ca="1" si="595"/>
        <v>67346593.627824187</v>
      </c>
      <c r="AZ276" s="409">
        <f t="shared" ca="1" si="595"/>
        <v>68173452.350652695</v>
      </c>
      <c r="BA276" s="409">
        <f t="shared" ca="1" si="595"/>
        <v>69037552.05049178</v>
      </c>
      <c r="BB276" s="409">
        <f t="shared" ca="1" si="595"/>
        <v>69939563.154329419</v>
      </c>
      <c r="BC276" s="409">
        <f t="shared" ca="1" si="595"/>
        <v>70880169.857764125</v>
      </c>
      <c r="BD276" s="409">
        <f t="shared" ca="1" si="595"/>
        <v>71860070.395457938</v>
      </c>
      <c r="BE276" s="409">
        <f t="shared" ca="1" si="595"/>
        <v>72879977.317069784</v>
      </c>
      <c r="BF276" s="409">
        <f t="shared" ca="1" si="595"/>
        <v>85738269.066833854</v>
      </c>
      <c r="BG276" s="409">
        <f t="shared" ca="1" si="595"/>
        <v>86782587.807942957</v>
      </c>
      <c r="BH276" s="409">
        <f t="shared" ca="1" si="595"/>
        <v>87869703.34250313</v>
      </c>
      <c r="BI276" s="409">
        <f t="shared" ca="1" si="595"/>
        <v>89000401.184596568</v>
      </c>
      <c r="BJ276" s="409">
        <f t="shared" ca="1" si="595"/>
        <v>90175482.870169789</v>
      </c>
      <c r="BK276" s="409">
        <f t="shared" ca="1" si="595"/>
        <v>91395766.273183003</v>
      </c>
      <c r="BL276" s="409">
        <f t="shared" ca="1" si="595"/>
        <v>92440974.817033678</v>
      </c>
      <c r="BM276" s="409">
        <f t="shared" ca="1" si="595"/>
        <v>93534182.248047933</v>
      </c>
      <c r="BN276" s="409">
        <f t="shared" ca="1" si="595"/>
        <v>94676257.415613323</v>
      </c>
      <c r="BO276" s="409">
        <f t="shared" ca="1" si="595"/>
        <v>95868086.836862788</v>
      </c>
      <c r="BP276" s="409">
        <f t="shared" ca="1" si="595"/>
        <v>97110575.046044305</v>
      </c>
      <c r="BQ276" s="409">
        <f t="shared" ca="1" si="595"/>
        <v>98404644.950935841</v>
      </c>
      <c r="BR276" s="409">
        <f t="shared" ca="1" si="595"/>
        <v>109445731.71012089</v>
      </c>
      <c r="BS276" s="409">
        <f t="shared" ca="1" si="595"/>
        <v>110563606.29829049</v>
      </c>
      <c r="BT276" s="409">
        <f t="shared" ca="1" si="595"/>
        <v>111641070.42362928</v>
      </c>
      <c r="BU276" s="409">
        <f t="shared" ca="1" si="595"/>
        <v>112680944.54224126</v>
      </c>
      <c r="BV276" s="409">
        <f t="shared" ca="1" si="595"/>
        <v>113686068.60499617</v>
      </c>
      <c r="BW276" s="409">
        <f t="shared" ca="1" si="595"/>
        <v>114659302.81561054</v>
      </c>
      <c r="BX276" s="409">
        <f t="shared" ca="1" si="595"/>
        <v>115419269.14096485</v>
      </c>
      <c r="BY276" s="409">
        <f t="shared" ca="1" si="595"/>
        <v>116154055.79614589</v>
      </c>
      <c r="BZ276" s="409">
        <f t="shared" ca="1" si="595"/>
        <v>116866588.408189</v>
      </c>
      <c r="CA276" s="409">
        <f t="shared" ca="1" si="595"/>
        <v>117559816.00694491</v>
      </c>
      <c r="CB276" s="409">
        <f t="shared" ca="1" si="595"/>
        <v>118236711.84335233</v>
      </c>
      <c r="CC276" s="409">
        <f t="shared" ca="1" si="595"/>
        <v>118900274.22058885</v>
      </c>
      <c r="CD276" s="409">
        <f t="shared" ref="CD276:DY276" ca="1" si="596">SUM(CD273:CD275)</f>
        <v>129380917.41684873</v>
      </c>
      <c r="CE276" s="409">
        <f t="shared" ca="1" si="596"/>
        <v>129969866.07568376</v>
      </c>
      <c r="CF276" s="409">
        <f t="shared" ca="1" si="596"/>
        <v>130548441.19457319</v>
      </c>
      <c r="CG276" s="409">
        <f t="shared" ca="1" si="596"/>
        <v>131117973.81947312</v>
      </c>
      <c r="CH276" s="409">
        <f t="shared" ca="1" si="596"/>
        <v>131679805.40870425</v>
      </c>
      <c r="CI276" s="409">
        <f t="shared" ca="1" si="596"/>
        <v>132235288.20250177</v>
      </c>
      <c r="CJ276" s="409">
        <f t="shared" ca="1" si="596"/>
        <v>132601526.33909686</v>
      </c>
      <c r="CK276" s="409">
        <f t="shared" ca="1" si="596"/>
        <v>132965079.93968388</v>
      </c>
      <c r="CL276" s="409">
        <f t="shared" ca="1" si="596"/>
        <v>133327335.86611086</v>
      </c>
      <c r="CM276" s="409">
        <f t="shared" ca="1" si="596"/>
        <v>133689693.29957803</v>
      </c>
      <c r="CN276" s="409">
        <f t="shared" ca="1" si="596"/>
        <v>134053564.14048386</v>
      </c>
      <c r="CO276" s="409">
        <f t="shared" ca="1" si="596"/>
        <v>134420373.41474533</v>
      </c>
      <c r="CP276" s="409">
        <f t="shared" ca="1" si="596"/>
        <v>145079764.3348799</v>
      </c>
      <c r="CQ276" s="409">
        <f t="shared" ca="1" si="596"/>
        <v>145859360.93748027</v>
      </c>
      <c r="CR276" s="409">
        <f t="shared" ca="1" si="596"/>
        <v>146639755.46481645</v>
      </c>
      <c r="CS276" s="409">
        <f t="shared" ca="1" si="596"/>
        <v>147421545.56917804</v>
      </c>
      <c r="CT276" s="409">
        <f t="shared" ca="1" si="596"/>
        <v>148205334.48477194</v>
      </c>
      <c r="CU276" s="409">
        <f t="shared" ca="1" si="596"/>
        <v>148991731.20243183</v>
      </c>
      <c r="CV276" s="409">
        <f t="shared" ca="1" si="596"/>
        <v>149595241.52704048</v>
      </c>
      <c r="CW276" s="409">
        <f t="shared" ca="1" si="596"/>
        <v>150201084.1626308</v>
      </c>
      <c r="CX276" s="409">
        <f t="shared" ca="1" si="596"/>
        <v>150809354.0937337</v>
      </c>
      <c r="CY276" s="409">
        <f t="shared" ca="1" si="596"/>
        <v>151420146.97871661</v>
      </c>
      <c r="CZ276" s="409">
        <f t="shared" ca="1" si="596"/>
        <v>152033559.17493027</v>
      </c>
      <c r="DA276" s="409">
        <f t="shared" ca="1" si="596"/>
        <v>152649687.76425165</v>
      </c>
      <c r="DB276" s="409">
        <f t="shared" ca="1" si="596"/>
        <v>163098619.19732684</v>
      </c>
      <c r="DC276" s="409">
        <f t="shared" ca="1" si="596"/>
        <v>163670431.67537665</v>
      </c>
      <c r="DD276" s="409">
        <f t="shared" ca="1" si="596"/>
        <v>164245210.87111583</v>
      </c>
      <c r="DE276" s="409">
        <f t="shared" ca="1" si="596"/>
        <v>164823043.14433756</v>
      </c>
      <c r="DF276" s="409">
        <f t="shared" ca="1" si="596"/>
        <v>165404015.56538665</v>
      </c>
      <c r="DG276" s="409">
        <f t="shared" ca="1" si="596"/>
        <v>165988215.93901396</v>
      </c>
      <c r="DH276" s="409">
        <f t="shared" ca="1" si="596"/>
        <v>166391473.56936079</v>
      </c>
      <c r="DI276" s="409">
        <f t="shared" ca="1" si="596"/>
        <v>166799062.98830426</v>
      </c>
      <c r="DJ276" s="409">
        <f t="shared" ca="1" si="596"/>
        <v>167211074.35087591</v>
      </c>
      <c r="DK276" s="409">
        <f t="shared" ca="1" si="596"/>
        <v>167627598.64591026</v>
      </c>
      <c r="DL276" s="409">
        <f t="shared" ca="1" si="596"/>
        <v>168048727.72193322</v>
      </c>
      <c r="DM276" s="409">
        <f t="shared" ca="1" si="596"/>
        <v>168474554.31348342</v>
      </c>
      <c r="DN276" s="409">
        <f t="shared" ca="1" si="596"/>
        <v>181905108.36551595</v>
      </c>
      <c r="DO276" s="409">
        <f t="shared" ca="1" si="596"/>
        <v>182495205.15060812</v>
      </c>
      <c r="DP276" s="409">
        <f t="shared" ca="1" si="596"/>
        <v>183088882.52536115</v>
      </c>
      <c r="DQ276" s="409">
        <f t="shared" ca="1" si="596"/>
        <v>183686178.71883786</v>
      </c>
      <c r="DR276" s="409">
        <f t="shared" ca="1" si="596"/>
        <v>184287132.34342411</v>
      </c>
      <c r="DS276" s="409">
        <f t="shared" ca="1" si="596"/>
        <v>184891782.40587997</v>
      </c>
      <c r="DT276" s="409">
        <f t="shared" ca="1" si="596"/>
        <v>185260631.28154856</v>
      </c>
      <c r="DU276" s="409">
        <f t="shared" ca="1" si="596"/>
        <v>185634459.54061499</v>
      </c>
      <c r="DV276" s="409">
        <f t="shared" ca="1" si="596"/>
        <v>186013307.44123432</v>
      </c>
      <c r="DW276" s="409">
        <f t="shared" ca="1" si="596"/>
        <v>186397215.68212566</v>
      </c>
      <c r="DX276" s="409">
        <f t="shared" ca="1" si="596"/>
        <v>186786225.41463611</v>
      </c>
      <c r="DY276" s="409">
        <f t="shared" ca="1" si="596"/>
        <v>187180378.25502041</v>
      </c>
    </row>
    <row r="277" spans="2:129" s="404" customFormat="1" outlineLevel="1">
      <c r="C277" s="410" t="s">
        <v>113</v>
      </c>
      <c r="F277" s="404" t="s">
        <v>166</v>
      </c>
      <c r="H277" s="411"/>
      <c r="I277" s="440">
        <f>'Model Assumptions'!F121</f>
        <v>100000</v>
      </c>
      <c r="J277" s="412">
        <f t="shared" ref="J277:AO277" si="597">+I277-_cfCapex+_Depreciation</f>
        <v>198333.33333333334</v>
      </c>
      <c r="K277" s="412">
        <f t="shared" si="597"/>
        <v>295027.77777777781</v>
      </c>
      <c r="L277" s="412">
        <f t="shared" si="597"/>
        <v>390110.6481481482</v>
      </c>
      <c r="M277" s="412">
        <f t="shared" si="597"/>
        <v>483608.80401234573</v>
      </c>
      <c r="N277" s="412">
        <f t="shared" si="597"/>
        <v>575548.65727880667</v>
      </c>
      <c r="O277" s="412">
        <f t="shared" si="597"/>
        <v>665956.17965749325</v>
      </c>
      <c r="P277" s="412">
        <f t="shared" si="597"/>
        <v>754856.90999653505</v>
      </c>
      <c r="Q277" s="412">
        <f t="shared" si="597"/>
        <v>842275.96149659285</v>
      </c>
      <c r="R277" s="412">
        <f t="shared" si="597"/>
        <v>928238.02880498301</v>
      </c>
      <c r="S277" s="412">
        <f t="shared" si="597"/>
        <v>1012767.3949915667</v>
      </c>
      <c r="T277" s="412">
        <f t="shared" si="597"/>
        <v>1095887.9384083739</v>
      </c>
      <c r="U277" s="412">
        <f t="shared" si="597"/>
        <v>1177623.1394349011</v>
      </c>
      <c r="V277" s="412">
        <f t="shared" si="597"/>
        <v>1257996.087110986</v>
      </c>
      <c r="W277" s="412">
        <f t="shared" si="597"/>
        <v>1337029.4856591362</v>
      </c>
      <c r="X277" s="412">
        <f t="shared" si="597"/>
        <v>1414745.6608981506</v>
      </c>
      <c r="Y277" s="412">
        <f t="shared" si="597"/>
        <v>1491166.5665498481</v>
      </c>
      <c r="Z277" s="412">
        <f t="shared" si="597"/>
        <v>1566313.790440684</v>
      </c>
      <c r="AA277" s="412">
        <f t="shared" si="597"/>
        <v>1640208.5606000058</v>
      </c>
      <c r="AB277" s="412">
        <f t="shared" si="597"/>
        <v>1712871.7512566724</v>
      </c>
      <c r="AC277" s="412">
        <f t="shared" si="597"/>
        <v>1784323.8887357279</v>
      </c>
      <c r="AD277" s="412">
        <f t="shared" si="597"/>
        <v>1854585.1572567991</v>
      </c>
      <c r="AE277" s="412">
        <f t="shared" si="597"/>
        <v>1923675.4046358524</v>
      </c>
      <c r="AF277" s="412">
        <f t="shared" si="597"/>
        <v>1991614.1478919215</v>
      </c>
      <c r="AG277" s="412">
        <f t="shared" si="597"/>
        <v>2058420.5787603895</v>
      </c>
      <c r="AH277" s="412">
        <f t="shared" si="597"/>
        <v>2124113.5691143828</v>
      </c>
      <c r="AI277" s="412">
        <f t="shared" si="597"/>
        <v>2188711.6762958099</v>
      </c>
      <c r="AJ277" s="412">
        <f t="shared" si="597"/>
        <v>2252233.1483575464</v>
      </c>
      <c r="AK277" s="412">
        <f t="shared" si="597"/>
        <v>2314695.9292182541</v>
      </c>
      <c r="AL277" s="412">
        <f t="shared" si="597"/>
        <v>2376117.663731283</v>
      </c>
      <c r="AM277" s="412">
        <f t="shared" si="597"/>
        <v>2436515.7026690948</v>
      </c>
      <c r="AN277" s="412">
        <f t="shared" si="597"/>
        <v>2495907.10762461</v>
      </c>
      <c r="AO277" s="412">
        <f t="shared" si="597"/>
        <v>2554308.6558308667</v>
      </c>
      <c r="AP277" s="412">
        <f t="shared" ref="AP277:BU277" si="598">+AO277-_cfCapex+_Depreciation</f>
        <v>2611736.8449003524</v>
      </c>
      <c r="AQ277" s="412">
        <f t="shared" si="598"/>
        <v>2668207.8974853465</v>
      </c>
      <c r="AR277" s="412">
        <f t="shared" si="598"/>
        <v>2723737.7658605906</v>
      </c>
      <c r="AS277" s="412">
        <f t="shared" si="598"/>
        <v>2778342.1364295809</v>
      </c>
      <c r="AT277" s="412">
        <f t="shared" si="598"/>
        <v>2832036.4341557547</v>
      </c>
      <c r="AU277" s="412">
        <f t="shared" si="598"/>
        <v>2884835.8269198253</v>
      </c>
      <c r="AV277" s="412">
        <f t="shared" si="598"/>
        <v>2936755.2298044949</v>
      </c>
      <c r="AW277" s="412">
        <f t="shared" si="598"/>
        <v>2987809.3093077531</v>
      </c>
      <c r="AX277" s="412">
        <f t="shared" si="598"/>
        <v>3038012.4874859573</v>
      </c>
      <c r="AY277" s="412">
        <f t="shared" si="598"/>
        <v>3087378.9460278582</v>
      </c>
      <c r="AZ277" s="412">
        <f t="shared" si="598"/>
        <v>3135922.6302607274</v>
      </c>
      <c r="BA277" s="412">
        <f t="shared" si="598"/>
        <v>3183657.2530897153</v>
      </c>
      <c r="BB277" s="412">
        <f t="shared" si="598"/>
        <v>3230596.2988715535</v>
      </c>
      <c r="BC277" s="412">
        <f t="shared" si="598"/>
        <v>3276753.0272236941</v>
      </c>
      <c r="BD277" s="412">
        <f t="shared" si="598"/>
        <v>3322140.4767699661</v>
      </c>
      <c r="BE277" s="412">
        <f t="shared" si="598"/>
        <v>3366771.4688237999</v>
      </c>
      <c r="BF277" s="412">
        <f t="shared" si="598"/>
        <v>3410658.61101007</v>
      </c>
      <c r="BG277" s="412">
        <f t="shared" si="598"/>
        <v>3453814.3008265686</v>
      </c>
      <c r="BH277" s="412">
        <f t="shared" si="598"/>
        <v>3496250.7291461257</v>
      </c>
      <c r="BI277" s="412">
        <f t="shared" si="598"/>
        <v>3537979.883660357</v>
      </c>
      <c r="BJ277" s="412">
        <f t="shared" si="598"/>
        <v>3579013.5522660175</v>
      </c>
      <c r="BK277" s="412">
        <f t="shared" si="598"/>
        <v>3619363.3263949174</v>
      </c>
      <c r="BL277" s="412">
        <f t="shared" si="598"/>
        <v>3659040.6042883354</v>
      </c>
      <c r="BM277" s="412">
        <f t="shared" si="598"/>
        <v>3698056.5942168632</v>
      </c>
      <c r="BN277" s="412">
        <f t="shared" si="598"/>
        <v>3736422.3176465821</v>
      </c>
      <c r="BO277" s="412">
        <f t="shared" si="598"/>
        <v>3774148.6123524723</v>
      </c>
      <c r="BP277" s="412">
        <f t="shared" si="598"/>
        <v>3811246.1354799313</v>
      </c>
      <c r="BQ277" s="412">
        <f t="shared" si="598"/>
        <v>3847725.3665552656</v>
      </c>
      <c r="BR277" s="412">
        <f t="shared" si="598"/>
        <v>3883596.6104460112</v>
      </c>
      <c r="BS277" s="412">
        <f t="shared" si="598"/>
        <v>3918870.0002719108</v>
      </c>
      <c r="BT277" s="412">
        <f t="shared" si="598"/>
        <v>3953555.500267379</v>
      </c>
      <c r="BU277" s="412">
        <f t="shared" si="598"/>
        <v>3987662.9085962558</v>
      </c>
      <c r="BV277" s="412">
        <f t="shared" ref="BV277:DA277" si="599">+BU277-_cfCapex+_Depreciation</f>
        <v>4021201.8601196515</v>
      </c>
      <c r="BW277" s="412">
        <f t="shared" si="599"/>
        <v>4054181.8291176572</v>
      </c>
      <c r="BX277" s="412">
        <f t="shared" si="599"/>
        <v>4086612.1319656963</v>
      </c>
      <c r="BY277" s="412">
        <f t="shared" si="599"/>
        <v>4118501.929766268</v>
      </c>
      <c r="BZ277" s="412">
        <f t="shared" si="599"/>
        <v>4149860.2309368299</v>
      </c>
      <c r="CA277" s="412">
        <f t="shared" si="599"/>
        <v>4180695.8937545493</v>
      </c>
      <c r="CB277" s="412">
        <f t="shared" si="599"/>
        <v>4211017.6288586399</v>
      </c>
      <c r="CC277" s="412">
        <f t="shared" si="599"/>
        <v>4240834.001710996</v>
      </c>
      <c r="CD277" s="412">
        <f t="shared" si="599"/>
        <v>4270153.4350158125</v>
      </c>
      <c r="CE277" s="412">
        <f t="shared" si="599"/>
        <v>4298984.2110988824</v>
      </c>
      <c r="CF277" s="412">
        <f t="shared" si="599"/>
        <v>4327334.4742472339</v>
      </c>
      <c r="CG277" s="412">
        <f t="shared" si="599"/>
        <v>4355212.2330097798</v>
      </c>
      <c r="CH277" s="412">
        <f t="shared" si="599"/>
        <v>4382625.3624596167</v>
      </c>
      <c r="CI277" s="412">
        <f t="shared" si="599"/>
        <v>4409581.6064186227</v>
      </c>
      <c r="CJ277" s="412">
        <f t="shared" si="599"/>
        <v>4436088.579644979</v>
      </c>
      <c r="CK277" s="412">
        <f t="shared" si="599"/>
        <v>4462153.7699842295</v>
      </c>
      <c r="CL277" s="412">
        <f t="shared" si="599"/>
        <v>4487784.5404844927</v>
      </c>
      <c r="CM277" s="412">
        <f t="shared" si="599"/>
        <v>4512988.1314764181</v>
      </c>
      <c r="CN277" s="412">
        <f t="shared" si="599"/>
        <v>4537771.6626184778</v>
      </c>
      <c r="CO277" s="412">
        <f t="shared" si="599"/>
        <v>4562142.1349081695</v>
      </c>
      <c r="CP277" s="412">
        <f t="shared" si="599"/>
        <v>4586106.4326596996</v>
      </c>
      <c r="CQ277" s="412">
        <f t="shared" si="599"/>
        <v>4609671.3254487049</v>
      </c>
      <c r="CR277" s="412">
        <f t="shared" si="599"/>
        <v>4632843.4700245596</v>
      </c>
      <c r="CS277" s="412">
        <f t="shared" si="599"/>
        <v>4655629.4121908173</v>
      </c>
      <c r="CT277" s="412">
        <f t="shared" si="599"/>
        <v>4678035.5886543039</v>
      </c>
      <c r="CU277" s="412">
        <f t="shared" si="599"/>
        <v>4700068.328843399</v>
      </c>
      <c r="CV277" s="412">
        <f t="shared" si="599"/>
        <v>4721733.8566960087</v>
      </c>
      <c r="CW277" s="412">
        <f t="shared" si="599"/>
        <v>4743038.2924177423</v>
      </c>
      <c r="CX277" s="412">
        <f t="shared" si="599"/>
        <v>4763987.6542107798</v>
      </c>
      <c r="CY277" s="412">
        <f t="shared" si="599"/>
        <v>4784587.8599739335</v>
      </c>
      <c r="CZ277" s="412">
        <f t="shared" si="599"/>
        <v>4804844.7289743684</v>
      </c>
      <c r="DA277" s="412">
        <f t="shared" si="599"/>
        <v>4824763.9834914627</v>
      </c>
      <c r="DB277" s="412">
        <f t="shared" ref="DB277:DY277" si="600">+DA277-_cfCapex+_Depreciation</f>
        <v>4844351.2504332718</v>
      </c>
      <c r="DC277" s="412">
        <f t="shared" si="600"/>
        <v>4863612.0629260503</v>
      </c>
      <c r="DD277" s="412">
        <f t="shared" si="600"/>
        <v>4882551.8618772831</v>
      </c>
      <c r="DE277" s="412">
        <f t="shared" si="600"/>
        <v>4901175.9975126619</v>
      </c>
      <c r="DF277" s="412">
        <f t="shared" si="600"/>
        <v>4919489.7308874512</v>
      </c>
      <c r="DG277" s="412">
        <f t="shared" si="600"/>
        <v>4937498.2353726607</v>
      </c>
      <c r="DH277" s="412">
        <f t="shared" si="600"/>
        <v>4955206.59811645</v>
      </c>
      <c r="DI277" s="412">
        <f t="shared" si="600"/>
        <v>4972619.8214811757</v>
      </c>
      <c r="DJ277" s="412">
        <f t="shared" si="600"/>
        <v>4989742.8244564896</v>
      </c>
      <c r="DK277" s="412">
        <f t="shared" si="600"/>
        <v>5006580.4440488815</v>
      </c>
      <c r="DL277" s="412">
        <f t="shared" si="600"/>
        <v>5023137.4366480671</v>
      </c>
      <c r="DM277" s="412">
        <f t="shared" si="600"/>
        <v>5039418.4793705996</v>
      </c>
      <c r="DN277" s="412">
        <f t="shared" si="600"/>
        <v>5055428.1713810898</v>
      </c>
      <c r="DO277" s="412">
        <f t="shared" si="600"/>
        <v>5071171.0351914046</v>
      </c>
      <c r="DP277" s="412">
        <f t="shared" si="600"/>
        <v>5086651.5179382144</v>
      </c>
      <c r="DQ277" s="412">
        <f t="shared" si="600"/>
        <v>5101873.9926392445</v>
      </c>
      <c r="DR277" s="412">
        <f t="shared" si="600"/>
        <v>5116842.7594285905</v>
      </c>
      <c r="DS277" s="412">
        <f t="shared" si="600"/>
        <v>5131562.0467714472</v>
      </c>
      <c r="DT277" s="412">
        <f t="shared" si="600"/>
        <v>5146036.0126585895</v>
      </c>
      <c r="DU277" s="412">
        <f t="shared" si="600"/>
        <v>5160268.7457809467</v>
      </c>
      <c r="DV277" s="412">
        <f t="shared" si="600"/>
        <v>5174264.2666845974</v>
      </c>
      <c r="DW277" s="412">
        <f t="shared" si="600"/>
        <v>5188026.5289065205</v>
      </c>
      <c r="DX277" s="412">
        <f t="shared" si="600"/>
        <v>5201559.420091412</v>
      </c>
      <c r="DY277" s="412">
        <f t="shared" si="600"/>
        <v>5214866.7630898887</v>
      </c>
    </row>
    <row r="278" spans="2:129" s="404" customFormat="1" outlineLevel="1">
      <c r="B278" s="410"/>
      <c r="C278" s="413" t="s">
        <v>98</v>
      </c>
      <c r="D278" s="413"/>
      <c r="E278" s="413"/>
      <c r="F278" s="414" t="s">
        <v>167</v>
      </c>
      <c r="G278" s="415"/>
      <c r="H278" s="415"/>
      <c r="I278" s="442">
        <f>SUM(I273:I277)</f>
        <v>1700000</v>
      </c>
      <c r="J278" s="415">
        <f ca="1">SUM(J276:J277)</f>
        <v>20160445.809056554</v>
      </c>
      <c r="K278" s="415">
        <f t="shared" ref="K278:BV278" ca="1" si="601">SUM(K276:K277)</f>
        <v>20600727.521608088</v>
      </c>
      <c r="L278" s="415">
        <f t="shared" ca="1" si="601"/>
        <v>21046665.323774524</v>
      </c>
      <c r="M278" s="415">
        <f t="shared" ca="1" si="601"/>
        <v>21497941.593277495</v>
      </c>
      <c r="N278" s="415">
        <f t="shared" ca="1" si="601"/>
        <v>21954236.268893454</v>
      </c>
      <c r="O278" s="415">
        <f t="shared" ca="1" si="601"/>
        <v>22415226.769105453</v>
      </c>
      <c r="P278" s="415">
        <f t="shared" ca="1" si="601"/>
        <v>22880587.909344155</v>
      </c>
      <c r="Q278" s="415">
        <f t="shared" ca="1" si="601"/>
        <v>23349991.817789689</v>
      </c>
      <c r="R278" s="415">
        <f t="shared" ca="1" si="601"/>
        <v>23823107.849705037</v>
      </c>
      <c r="S278" s="415">
        <f t="shared" ca="1" si="601"/>
        <v>24299602.500271309</v>
      </c>
      <c r="T278" s="415">
        <f t="shared" ca="1" si="601"/>
        <v>24779139.315894425</v>
      </c>
      <c r="U278" s="415">
        <f t="shared" ca="1" si="601"/>
        <v>25261378.803952236</v>
      </c>
      <c r="V278" s="415">
        <f t="shared" ca="1" si="601"/>
        <v>25397381.534160566</v>
      </c>
      <c r="W278" s="415">
        <f t="shared" ca="1" si="601"/>
        <v>25548977.187695719</v>
      </c>
      <c r="X278" s="415">
        <f t="shared" ca="1" si="601"/>
        <v>25716327.237338807</v>
      </c>
      <c r="Y278" s="415">
        <f t="shared" ca="1" si="601"/>
        <v>25899596.693682518</v>
      </c>
      <c r="Z278" s="415">
        <f t="shared" ca="1" si="601"/>
        <v>26098954.178261202</v>
      </c>
      <c r="AA278" s="415">
        <f t="shared" ca="1" si="601"/>
        <v>26314571.998028893</v>
      </c>
      <c r="AB278" s="415">
        <f t="shared" ca="1" si="601"/>
        <v>28342461.345214043</v>
      </c>
      <c r="AC278" s="415">
        <f t="shared" ca="1" si="601"/>
        <v>28580174.373765845</v>
      </c>
      <c r="AD278" s="415">
        <f t="shared" ca="1" si="601"/>
        <v>28827757.638799902</v>
      </c>
      <c r="AE278" s="415">
        <f t="shared" ca="1" si="601"/>
        <v>29085259.427264772</v>
      </c>
      <c r="AF278" s="415">
        <f t="shared" ca="1" si="601"/>
        <v>29352729.787531681</v>
      </c>
      <c r="AG278" s="415">
        <f t="shared" ca="1" si="601"/>
        <v>29630220.559577163</v>
      </c>
      <c r="AH278" s="415">
        <f t="shared" ca="1" si="601"/>
        <v>64350794.874598026</v>
      </c>
      <c r="AI278" s="415">
        <f t="shared" ca="1" si="601"/>
        <v>64598266.222068802</v>
      </c>
      <c r="AJ278" s="415">
        <f t="shared" ca="1" si="601"/>
        <v>64873073.467931844</v>
      </c>
      <c r="AK278" s="415">
        <f t="shared" ca="1" si="601"/>
        <v>65175664.110501751</v>
      </c>
      <c r="AL278" s="415">
        <f t="shared" ca="1" si="601"/>
        <v>65506494.459022932</v>
      </c>
      <c r="AM278" s="415">
        <f t="shared" ca="1" si="601"/>
        <v>65862705.492338583</v>
      </c>
      <c r="AN278" s="415">
        <f t="shared" ca="1" si="601"/>
        <v>65795622.834548965</v>
      </c>
      <c r="AO278" s="415">
        <f t="shared" ca="1" si="601"/>
        <v>65757864.735967837</v>
      </c>
      <c r="AP278" s="415">
        <f t="shared" ca="1" si="601"/>
        <v>65749918.492881179</v>
      </c>
      <c r="AQ278" s="415">
        <f t="shared" ca="1" si="601"/>
        <v>65772281.010474361</v>
      </c>
      <c r="AR278" s="415">
        <f t="shared" ca="1" si="601"/>
        <v>65825458.998800084</v>
      </c>
      <c r="AS278" s="415">
        <f t="shared" ca="1" si="601"/>
        <v>65909969.172587387</v>
      </c>
      <c r="AT278" s="415">
        <f t="shared" ca="1" si="601"/>
        <v>66580417.000160865</v>
      </c>
      <c r="AU278" s="415">
        <f t="shared" ca="1" si="601"/>
        <v>67283462.9974439</v>
      </c>
      <c r="AV278" s="415">
        <f t="shared" ca="1" si="601"/>
        <v>68019715.280607387</v>
      </c>
      <c r="AW278" s="415">
        <f t="shared" ca="1" si="601"/>
        <v>68789793.97240217</v>
      </c>
      <c r="AX278" s="415">
        <f t="shared" ca="1" si="601"/>
        <v>69594331.446035683</v>
      </c>
      <c r="AY278" s="415">
        <f t="shared" ca="1" si="601"/>
        <v>70433972.573852047</v>
      </c>
      <c r="AZ278" s="415">
        <f t="shared" ca="1" si="601"/>
        <v>71309374.980913416</v>
      </c>
      <c r="BA278" s="415">
        <f t="shared" ca="1" si="601"/>
        <v>72221209.303581491</v>
      </c>
      <c r="BB278" s="415">
        <f t="shared" ca="1" si="601"/>
        <v>73170159.453200966</v>
      </c>
      <c r="BC278" s="415">
        <f t="shared" ca="1" si="601"/>
        <v>74156922.884987816</v>
      </c>
      <c r="BD278" s="415">
        <f t="shared" ca="1" si="601"/>
        <v>75182210.872227907</v>
      </c>
      <c r="BE278" s="415">
        <f t="shared" ca="1" si="601"/>
        <v>76246748.785893589</v>
      </c>
      <c r="BF278" s="415">
        <f t="shared" ca="1" si="601"/>
        <v>89148927.677843928</v>
      </c>
      <c r="BG278" s="415">
        <f t="shared" ca="1" si="601"/>
        <v>90236402.108769521</v>
      </c>
      <c r="BH278" s="415">
        <f t="shared" ca="1" si="601"/>
        <v>91365954.071649253</v>
      </c>
      <c r="BI278" s="415">
        <f t="shared" ca="1" si="601"/>
        <v>92538381.06825693</v>
      </c>
      <c r="BJ278" s="415">
        <f t="shared" ca="1" si="601"/>
        <v>93754496.422435805</v>
      </c>
      <c r="BK278" s="415">
        <f t="shared" ca="1" si="601"/>
        <v>95015129.599577919</v>
      </c>
      <c r="BL278" s="415">
        <f t="shared" ca="1" si="601"/>
        <v>96100015.421322018</v>
      </c>
      <c r="BM278" s="415">
        <f t="shared" ca="1" si="601"/>
        <v>97232238.842264801</v>
      </c>
      <c r="BN278" s="415">
        <f t="shared" ca="1" si="601"/>
        <v>98412679.733259901</v>
      </c>
      <c r="BO278" s="415">
        <f t="shared" ca="1" si="601"/>
        <v>99642235.449215263</v>
      </c>
      <c r="BP278" s="415">
        <f t="shared" ca="1" si="601"/>
        <v>100921821.18152423</v>
      </c>
      <c r="BQ278" s="415">
        <f t="shared" ca="1" si="601"/>
        <v>102252370.3174911</v>
      </c>
      <c r="BR278" s="415">
        <f t="shared" ca="1" si="601"/>
        <v>113329328.32056689</v>
      </c>
      <c r="BS278" s="415">
        <f t="shared" ca="1" si="601"/>
        <v>114482476.29856241</v>
      </c>
      <c r="BT278" s="415">
        <f t="shared" ca="1" si="601"/>
        <v>115594625.92389667</v>
      </c>
      <c r="BU278" s="415">
        <f t="shared" ca="1" si="601"/>
        <v>116668607.45083752</v>
      </c>
      <c r="BV278" s="415">
        <f t="shared" ca="1" si="601"/>
        <v>117707270.46511583</v>
      </c>
      <c r="BW278" s="415">
        <f t="shared" ref="BW278:CC278" ca="1" si="602">SUM(BW276:BW277)</f>
        <v>118713484.6447282</v>
      </c>
      <c r="BX278" s="415">
        <f t="shared" ca="1" si="602"/>
        <v>119505881.27293055</v>
      </c>
      <c r="BY278" s="415">
        <f t="shared" ca="1" si="602"/>
        <v>120272557.72591215</v>
      </c>
      <c r="BZ278" s="415">
        <f t="shared" ca="1" si="602"/>
        <v>121016448.63912582</v>
      </c>
      <c r="CA278" s="415">
        <f t="shared" ca="1" si="602"/>
        <v>121740511.90069947</v>
      </c>
      <c r="CB278" s="415">
        <f t="shared" ca="1" si="602"/>
        <v>122447729.47221097</v>
      </c>
      <c r="CC278" s="415">
        <f t="shared" ca="1" si="602"/>
        <v>123141108.22229984</v>
      </c>
      <c r="CD278" s="415">
        <f t="shared" ref="CD278:DY278" ca="1" si="603">SUM(CD276:CD277)</f>
        <v>133651070.85186455</v>
      </c>
      <c r="CE278" s="415">
        <f t="shared" ca="1" si="603"/>
        <v>134268850.28678265</v>
      </c>
      <c r="CF278" s="415">
        <f t="shared" ca="1" si="603"/>
        <v>134875775.66882044</v>
      </c>
      <c r="CG278" s="415">
        <f t="shared" ca="1" si="603"/>
        <v>135473186.0524829</v>
      </c>
      <c r="CH278" s="415">
        <f t="shared" ca="1" si="603"/>
        <v>136062430.77116388</v>
      </c>
      <c r="CI278" s="415">
        <f t="shared" ca="1" si="603"/>
        <v>136644869.80892038</v>
      </c>
      <c r="CJ278" s="415">
        <f t="shared" ca="1" si="603"/>
        <v>137037614.91874185</v>
      </c>
      <c r="CK278" s="415">
        <f t="shared" ca="1" si="603"/>
        <v>137427233.7096681</v>
      </c>
      <c r="CL278" s="415">
        <f t="shared" ca="1" si="603"/>
        <v>137815120.40659535</v>
      </c>
      <c r="CM278" s="415">
        <f t="shared" ca="1" si="603"/>
        <v>138202681.43105444</v>
      </c>
      <c r="CN278" s="415">
        <f t="shared" ca="1" si="603"/>
        <v>138591335.80310234</v>
      </c>
      <c r="CO278" s="415">
        <f t="shared" ca="1" si="603"/>
        <v>138982515.5496535</v>
      </c>
      <c r="CP278" s="415">
        <f t="shared" ca="1" si="603"/>
        <v>149665870.76753959</v>
      </c>
      <c r="CQ278" s="415">
        <f t="shared" ca="1" si="603"/>
        <v>150469032.26292896</v>
      </c>
      <c r="CR278" s="415">
        <f t="shared" ca="1" si="603"/>
        <v>151272598.93484101</v>
      </c>
      <c r="CS278" s="415">
        <f t="shared" ca="1" si="603"/>
        <v>152077174.98136887</v>
      </c>
      <c r="CT278" s="415">
        <f t="shared" ca="1" si="603"/>
        <v>152883370.07342625</v>
      </c>
      <c r="CU278" s="415">
        <f t="shared" ca="1" si="603"/>
        <v>153691799.53127521</v>
      </c>
      <c r="CV278" s="415">
        <f t="shared" ca="1" si="603"/>
        <v>154316975.38373649</v>
      </c>
      <c r="CW278" s="415">
        <f t="shared" ca="1" si="603"/>
        <v>154944122.45504853</v>
      </c>
      <c r="CX278" s="415">
        <f t="shared" ca="1" si="603"/>
        <v>155573341.74794447</v>
      </c>
      <c r="CY278" s="415">
        <f t="shared" ca="1" si="603"/>
        <v>156204734.83869055</v>
      </c>
      <c r="CZ278" s="415">
        <f t="shared" ca="1" si="603"/>
        <v>156838403.90390465</v>
      </c>
      <c r="DA278" s="415">
        <f t="shared" ca="1" si="603"/>
        <v>157474451.7477431</v>
      </c>
      <c r="DB278" s="415">
        <f t="shared" ca="1" si="603"/>
        <v>167942970.44776011</v>
      </c>
      <c r="DC278" s="415">
        <f t="shared" ca="1" si="603"/>
        <v>168534043.73830271</v>
      </c>
      <c r="DD278" s="415">
        <f t="shared" ca="1" si="603"/>
        <v>169127762.73299313</v>
      </c>
      <c r="DE278" s="415">
        <f t="shared" ca="1" si="603"/>
        <v>169724219.14185023</v>
      </c>
      <c r="DF278" s="415">
        <f t="shared" ca="1" si="603"/>
        <v>170323505.2962741</v>
      </c>
      <c r="DG278" s="415">
        <f t="shared" ca="1" si="603"/>
        <v>170925714.17438662</v>
      </c>
      <c r="DH278" s="415">
        <f t="shared" ca="1" si="603"/>
        <v>171346680.16747725</v>
      </c>
      <c r="DI278" s="415">
        <f t="shared" ca="1" si="603"/>
        <v>171771682.80978543</v>
      </c>
      <c r="DJ278" s="415">
        <f t="shared" ca="1" si="603"/>
        <v>172200817.1753324</v>
      </c>
      <c r="DK278" s="415">
        <f t="shared" ca="1" si="603"/>
        <v>172634179.08995914</v>
      </c>
      <c r="DL278" s="415">
        <f t="shared" ca="1" si="603"/>
        <v>173071865.15858129</v>
      </c>
      <c r="DM278" s="415">
        <f t="shared" ca="1" si="603"/>
        <v>173513972.79285401</v>
      </c>
      <c r="DN278" s="415">
        <f t="shared" ca="1" si="603"/>
        <v>186960536.53689703</v>
      </c>
      <c r="DO278" s="415">
        <f t="shared" ca="1" si="603"/>
        <v>187566376.18579954</v>
      </c>
      <c r="DP278" s="415">
        <f t="shared" ca="1" si="603"/>
        <v>188175534.04329938</v>
      </c>
      <c r="DQ278" s="415">
        <f t="shared" ca="1" si="603"/>
        <v>188788052.7114771</v>
      </c>
      <c r="DR278" s="415">
        <f t="shared" ca="1" si="603"/>
        <v>189403975.1028527</v>
      </c>
      <c r="DS278" s="415">
        <f t="shared" ca="1" si="603"/>
        <v>190023344.45265141</v>
      </c>
      <c r="DT278" s="415">
        <f t="shared" ca="1" si="603"/>
        <v>190406667.29420716</v>
      </c>
      <c r="DU278" s="415">
        <f t="shared" ca="1" si="603"/>
        <v>190794728.28639594</v>
      </c>
      <c r="DV278" s="415">
        <f t="shared" ca="1" si="603"/>
        <v>191187571.70791891</v>
      </c>
      <c r="DW278" s="415">
        <f t="shared" ca="1" si="603"/>
        <v>191585242.21103218</v>
      </c>
      <c r="DX278" s="415">
        <f t="shared" ca="1" si="603"/>
        <v>191987784.83472753</v>
      </c>
      <c r="DY278" s="415">
        <f t="shared" ca="1" si="603"/>
        <v>192395245.01811031</v>
      </c>
    </row>
    <row r="279" spans="2:129" s="404" customFormat="1" outlineLevel="1">
      <c r="I279" s="443"/>
      <c r="K279" s="416"/>
      <c r="M279" s="416"/>
      <c r="O279" s="416"/>
      <c r="R279" s="416"/>
      <c r="S279" s="416"/>
      <c r="T279" s="416"/>
      <c r="U279" s="416"/>
      <c r="V279" s="416"/>
      <c r="W279" s="416"/>
      <c r="X279" s="416"/>
      <c r="Y279" s="416"/>
      <c r="Z279" s="416"/>
      <c r="AA279" s="416"/>
      <c r="AB279" s="416"/>
      <c r="AC279" s="416"/>
      <c r="AD279" s="416"/>
      <c r="AE279" s="416"/>
      <c r="AF279" s="416"/>
      <c r="AG279" s="416"/>
      <c r="AH279" s="416"/>
      <c r="AI279" s="416"/>
      <c r="AJ279" s="416"/>
      <c r="AK279" s="416"/>
      <c r="AL279" s="416"/>
      <c r="AM279" s="416"/>
      <c r="AN279" s="416"/>
      <c r="AO279" s="416"/>
      <c r="AP279" s="416"/>
      <c r="AQ279" s="416"/>
      <c r="AR279" s="416"/>
      <c r="AS279" s="416"/>
      <c r="AT279" s="416"/>
      <c r="AU279" s="416"/>
      <c r="AV279" s="416"/>
      <c r="AW279" s="416"/>
      <c r="AX279" s="416"/>
      <c r="AY279" s="416"/>
      <c r="AZ279" s="416"/>
      <c r="BA279" s="416"/>
      <c r="BB279" s="416"/>
      <c r="BC279" s="416"/>
      <c r="BD279" s="416"/>
      <c r="BE279" s="416"/>
      <c r="BF279" s="416"/>
      <c r="BG279" s="416"/>
      <c r="BH279" s="416"/>
      <c r="BI279" s="416"/>
      <c r="BJ279" s="416"/>
      <c r="BK279" s="416"/>
      <c r="BL279" s="416"/>
      <c r="BM279" s="416"/>
      <c r="BN279" s="416"/>
      <c r="BO279" s="416"/>
      <c r="BP279" s="416"/>
      <c r="BQ279" s="416"/>
      <c r="BR279" s="416"/>
      <c r="BS279" s="416"/>
      <c r="BT279" s="416"/>
      <c r="BU279" s="416"/>
      <c r="BV279" s="416"/>
      <c r="BW279" s="416"/>
      <c r="BX279" s="416"/>
      <c r="BY279" s="416"/>
      <c r="BZ279" s="416"/>
      <c r="CA279" s="416"/>
      <c r="CB279" s="416"/>
      <c r="CC279" s="416"/>
      <c r="CD279" s="416"/>
      <c r="CE279" s="416"/>
      <c r="CF279" s="416"/>
      <c r="CG279" s="416"/>
      <c r="CH279" s="416"/>
      <c r="CI279" s="416"/>
      <c r="CJ279" s="416"/>
      <c r="CK279" s="416"/>
      <c r="CL279" s="416"/>
      <c r="CM279" s="416"/>
      <c r="CN279" s="416"/>
      <c r="CO279" s="416"/>
      <c r="CP279" s="416"/>
      <c r="CQ279" s="416"/>
      <c r="CR279" s="416"/>
      <c r="CS279" s="416"/>
      <c r="CT279" s="416"/>
      <c r="CU279" s="416"/>
      <c r="CV279" s="416"/>
      <c r="CW279" s="416"/>
      <c r="CX279" s="416"/>
      <c r="CY279" s="416"/>
      <c r="CZ279" s="416"/>
      <c r="DA279" s="416"/>
      <c r="DB279" s="416"/>
      <c r="DC279" s="416"/>
      <c r="DD279" s="416"/>
      <c r="DE279" s="416"/>
      <c r="DF279" s="416"/>
      <c r="DG279" s="416"/>
      <c r="DH279" s="416"/>
      <c r="DI279" s="416"/>
      <c r="DJ279" s="416"/>
      <c r="DK279" s="416"/>
      <c r="DL279" s="416"/>
      <c r="DM279" s="416"/>
      <c r="DN279" s="416"/>
      <c r="DO279" s="416"/>
      <c r="DP279" s="416"/>
      <c r="DQ279" s="416"/>
      <c r="DR279" s="416"/>
      <c r="DS279" s="416"/>
      <c r="DT279" s="416"/>
      <c r="DU279" s="416"/>
      <c r="DV279" s="416"/>
      <c r="DW279" s="416"/>
      <c r="DX279" s="416"/>
      <c r="DY279" s="416"/>
    </row>
    <row r="280" spans="2:129" s="404" customFormat="1" outlineLevel="1">
      <c r="C280" s="410" t="s">
        <v>122</v>
      </c>
      <c r="G280" s="412"/>
      <c r="H280" s="412"/>
      <c r="I280" s="444"/>
      <c r="J280" s="412"/>
      <c r="K280" s="412"/>
      <c r="L280" s="412"/>
      <c r="M280" s="412"/>
      <c r="N280" s="412"/>
      <c r="O280" s="412"/>
      <c r="P280" s="412"/>
      <c r="Q280" s="412"/>
      <c r="R280" s="412"/>
      <c r="S280" s="412"/>
      <c r="T280" s="412"/>
      <c r="U280" s="412"/>
      <c r="V280" s="412"/>
      <c r="W280" s="412"/>
      <c r="X280" s="412"/>
      <c r="Y280" s="416"/>
      <c r="Z280" s="416"/>
      <c r="AA280" s="416"/>
      <c r="AB280" s="416"/>
      <c r="AC280" s="416"/>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6"/>
      <c r="AY280" s="416"/>
      <c r="AZ280" s="416"/>
      <c r="BA280" s="416"/>
      <c r="BB280" s="416"/>
      <c r="BC280" s="416"/>
      <c r="BD280" s="416"/>
      <c r="BE280" s="416"/>
      <c r="BF280" s="416"/>
      <c r="BG280" s="416"/>
      <c r="BH280" s="416"/>
      <c r="BI280" s="416"/>
      <c r="BJ280" s="416"/>
      <c r="BK280" s="416"/>
      <c r="BL280" s="416"/>
      <c r="BM280" s="416"/>
      <c r="BN280" s="416"/>
      <c r="BO280" s="416"/>
      <c r="BP280" s="416"/>
      <c r="BQ280" s="416"/>
      <c r="BR280" s="416"/>
      <c r="BS280" s="416"/>
      <c r="BT280" s="416"/>
      <c r="BU280" s="416"/>
      <c r="BV280" s="416"/>
      <c r="BW280" s="416"/>
      <c r="BX280" s="416"/>
      <c r="BY280" s="416"/>
      <c r="BZ280" s="416"/>
      <c r="CA280" s="416"/>
      <c r="CB280" s="416"/>
      <c r="CC280" s="416"/>
      <c r="CD280" s="416"/>
      <c r="CE280" s="416"/>
      <c r="CF280" s="416"/>
      <c r="CG280" s="416"/>
      <c r="CH280" s="416"/>
      <c r="CI280" s="416"/>
      <c r="CJ280" s="416"/>
      <c r="CK280" s="416"/>
      <c r="CL280" s="416"/>
      <c r="CM280" s="416"/>
      <c r="CN280" s="416"/>
      <c r="CO280" s="416"/>
      <c r="CP280" s="416"/>
      <c r="CQ280" s="416"/>
      <c r="CR280" s="416"/>
      <c r="CS280" s="416"/>
      <c r="CT280" s="416"/>
      <c r="CU280" s="416"/>
      <c r="CV280" s="416"/>
      <c r="CW280" s="416"/>
      <c r="CX280" s="416"/>
      <c r="CY280" s="416"/>
      <c r="CZ280" s="416"/>
      <c r="DA280" s="416"/>
      <c r="DB280" s="416"/>
      <c r="DC280" s="416"/>
      <c r="DD280" s="416"/>
      <c r="DE280" s="416"/>
      <c r="DF280" s="416"/>
      <c r="DG280" s="416"/>
      <c r="DH280" s="416"/>
      <c r="DI280" s="416"/>
      <c r="DJ280" s="416"/>
      <c r="DK280" s="416"/>
      <c r="DL280" s="416"/>
      <c r="DM280" s="416"/>
      <c r="DN280" s="416"/>
      <c r="DO280" s="416"/>
      <c r="DP280" s="416"/>
      <c r="DQ280" s="416"/>
      <c r="DR280" s="416"/>
      <c r="DS280" s="416"/>
      <c r="DT280" s="416"/>
      <c r="DU280" s="416"/>
      <c r="DV280" s="416"/>
      <c r="DW280" s="416"/>
      <c r="DX280" s="416"/>
      <c r="DY280" s="416"/>
    </row>
    <row r="281" spans="2:129" s="404" customFormat="1" outlineLevel="1">
      <c r="C281" s="418"/>
      <c r="D281" s="417" t="s">
        <v>99</v>
      </c>
      <c r="E281" s="419"/>
      <c r="F281" s="404" t="s">
        <v>169</v>
      </c>
      <c r="H281" s="411"/>
      <c r="I281" s="440">
        <f>'Model Assumptions'!F123</f>
        <v>500000</v>
      </c>
      <c r="J281" s="412">
        <f t="shared" ref="J281:AO281" si="604">I281+_cfDebt+_cfDebtRepayment-_FXlossgain</f>
        <v>10500000</v>
      </c>
      <c r="K281" s="412">
        <f t="shared" si="604"/>
        <v>10500000</v>
      </c>
      <c r="L281" s="412">
        <f t="shared" si="604"/>
        <v>10500000</v>
      </c>
      <c r="M281" s="412">
        <f t="shared" si="604"/>
        <v>10500000</v>
      </c>
      <c r="N281" s="412">
        <f t="shared" si="604"/>
        <v>10500000</v>
      </c>
      <c r="O281" s="412">
        <f t="shared" si="604"/>
        <v>10500000</v>
      </c>
      <c r="P281" s="412">
        <f t="shared" si="604"/>
        <v>10500000</v>
      </c>
      <c r="Q281" s="412">
        <f t="shared" si="604"/>
        <v>10500000</v>
      </c>
      <c r="R281" s="412">
        <f t="shared" si="604"/>
        <v>10500000</v>
      </c>
      <c r="S281" s="412">
        <f t="shared" si="604"/>
        <v>10500000</v>
      </c>
      <c r="T281" s="412">
        <f t="shared" si="604"/>
        <v>10500000</v>
      </c>
      <c r="U281" s="412">
        <f t="shared" si="604"/>
        <v>10500000</v>
      </c>
      <c r="V281" s="412">
        <f t="shared" si="604"/>
        <v>10083333.333333334</v>
      </c>
      <c r="W281" s="412">
        <f t="shared" si="604"/>
        <v>9666666.6666666679</v>
      </c>
      <c r="X281" s="412">
        <f t="shared" si="604"/>
        <v>9250000.0000000019</v>
      </c>
      <c r="Y281" s="412">
        <f t="shared" si="604"/>
        <v>8833333.3333333358</v>
      </c>
      <c r="Z281" s="412">
        <f t="shared" si="604"/>
        <v>8416666.6666666698</v>
      </c>
      <c r="AA281" s="412">
        <f t="shared" si="604"/>
        <v>8000000.0000000028</v>
      </c>
      <c r="AB281" s="412">
        <f t="shared" si="604"/>
        <v>7583333.3333333358</v>
      </c>
      <c r="AC281" s="412">
        <f t="shared" si="604"/>
        <v>7166666.6666666688</v>
      </c>
      <c r="AD281" s="412">
        <f t="shared" si="604"/>
        <v>6750000.0000000019</v>
      </c>
      <c r="AE281" s="412">
        <f t="shared" si="604"/>
        <v>6333333.3333333349</v>
      </c>
      <c r="AF281" s="412">
        <f t="shared" si="604"/>
        <v>5916666.6666666679</v>
      </c>
      <c r="AG281" s="412">
        <f t="shared" si="604"/>
        <v>5500000.0000000009</v>
      </c>
      <c r="AH281" s="412">
        <f t="shared" si="604"/>
        <v>30083333.333333332</v>
      </c>
      <c r="AI281" s="412">
        <f t="shared" si="604"/>
        <v>29666666.666666664</v>
      </c>
      <c r="AJ281" s="412">
        <f t="shared" si="604"/>
        <v>29249999.999999996</v>
      </c>
      <c r="AK281" s="412">
        <f t="shared" si="604"/>
        <v>28833333.333333328</v>
      </c>
      <c r="AL281" s="412">
        <f t="shared" si="604"/>
        <v>28416666.66666666</v>
      </c>
      <c r="AM281" s="412">
        <f t="shared" si="604"/>
        <v>27999999.999999993</v>
      </c>
      <c r="AN281" s="412">
        <f t="shared" si="604"/>
        <v>27120370.370370362</v>
      </c>
      <c r="AO281" s="412">
        <f t="shared" si="604"/>
        <v>26240740.740740731</v>
      </c>
      <c r="AP281" s="412">
        <f t="shared" ref="AP281:BU281" si="605">AO281+_cfDebt+_cfDebtRepayment-_FXlossgain</f>
        <v>25361111.111111101</v>
      </c>
      <c r="AQ281" s="412">
        <f t="shared" si="605"/>
        <v>24481481.48148147</v>
      </c>
      <c r="AR281" s="412">
        <f t="shared" si="605"/>
        <v>23601851.85185184</v>
      </c>
      <c r="AS281" s="412">
        <f t="shared" si="605"/>
        <v>22722222.222222209</v>
      </c>
      <c r="AT281" s="412">
        <f t="shared" si="605"/>
        <v>22259259.259259246</v>
      </c>
      <c r="AU281" s="412">
        <f t="shared" si="605"/>
        <v>21796296.296296284</v>
      </c>
      <c r="AV281" s="412">
        <f t="shared" si="605"/>
        <v>21333333.333333321</v>
      </c>
      <c r="AW281" s="412">
        <f t="shared" si="605"/>
        <v>20870370.370370358</v>
      </c>
      <c r="AX281" s="412">
        <f t="shared" si="605"/>
        <v>20407407.407407396</v>
      </c>
      <c r="AY281" s="412">
        <f t="shared" si="605"/>
        <v>19944444.444444433</v>
      </c>
      <c r="AZ281" s="412">
        <f t="shared" si="605"/>
        <v>19481481.48148147</v>
      </c>
      <c r="BA281" s="412">
        <f t="shared" si="605"/>
        <v>19018518.518518507</v>
      </c>
      <c r="BB281" s="412">
        <f t="shared" si="605"/>
        <v>18555555.555555545</v>
      </c>
      <c r="BC281" s="412">
        <f t="shared" si="605"/>
        <v>18092592.592592582</v>
      </c>
      <c r="BD281" s="412">
        <f t="shared" si="605"/>
        <v>17629629.629629619</v>
      </c>
      <c r="BE281" s="412">
        <f t="shared" si="605"/>
        <v>17166666.666666657</v>
      </c>
      <c r="BF281" s="412">
        <f t="shared" si="605"/>
        <v>28703703.703703694</v>
      </c>
      <c r="BG281" s="412">
        <f t="shared" si="605"/>
        <v>28240740.740740731</v>
      </c>
      <c r="BH281" s="412">
        <f t="shared" si="605"/>
        <v>27777777.777777769</v>
      </c>
      <c r="BI281" s="412">
        <f t="shared" si="605"/>
        <v>27314814.814814806</v>
      </c>
      <c r="BJ281" s="412">
        <f t="shared" si="605"/>
        <v>26851851.851851843</v>
      </c>
      <c r="BK281" s="412">
        <f t="shared" si="605"/>
        <v>26388888.888888881</v>
      </c>
      <c r="BL281" s="412">
        <f t="shared" si="605"/>
        <v>25703703.703703694</v>
      </c>
      <c r="BM281" s="412">
        <f t="shared" si="605"/>
        <v>25018518.518518507</v>
      </c>
      <c r="BN281" s="412">
        <f t="shared" si="605"/>
        <v>24333333.333333321</v>
      </c>
      <c r="BO281" s="412">
        <f t="shared" si="605"/>
        <v>23648148.148148134</v>
      </c>
      <c r="BP281" s="412">
        <f t="shared" si="605"/>
        <v>22962962.962962948</v>
      </c>
      <c r="BQ281" s="412">
        <f t="shared" si="605"/>
        <v>22277777.777777761</v>
      </c>
      <c r="BR281" s="412">
        <f t="shared" si="605"/>
        <v>31592592.592592575</v>
      </c>
      <c r="BS281" s="412">
        <f t="shared" si="605"/>
        <v>30907407.407407388</v>
      </c>
      <c r="BT281" s="412">
        <f t="shared" si="605"/>
        <v>30222222.222222202</v>
      </c>
      <c r="BU281" s="412">
        <f t="shared" si="605"/>
        <v>29537037.037037015</v>
      </c>
      <c r="BV281" s="412">
        <f t="shared" ref="BV281:DA281" si="606">BU281+_cfDebt+_cfDebtRepayment-_FXlossgain</f>
        <v>28851851.851851828</v>
      </c>
      <c r="BW281" s="412">
        <f t="shared" si="606"/>
        <v>28166666.666666642</v>
      </c>
      <c r="BX281" s="412">
        <f t="shared" si="606"/>
        <v>27296296.296296272</v>
      </c>
      <c r="BY281" s="412">
        <f t="shared" si="606"/>
        <v>26425925.925925903</v>
      </c>
      <c r="BZ281" s="412">
        <f t="shared" si="606"/>
        <v>25555555.555555534</v>
      </c>
      <c r="CA281" s="412">
        <f t="shared" si="606"/>
        <v>24685185.185185164</v>
      </c>
      <c r="CB281" s="412">
        <f t="shared" si="606"/>
        <v>23814814.814814795</v>
      </c>
      <c r="CC281" s="412">
        <f t="shared" si="606"/>
        <v>22944444.444444425</v>
      </c>
      <c r="CD281" s="412">
        <f t="shared" si="606"/>
        <v>32074074.074074056</v>
      </c>
      <c r="CE281" s="412">
        <f t="shared" si="606"/>
        <v>31203703.703703687</v>
      </c>
      <c r="CF281" s="412">
        <f t="shared" si="606"/>
        <v>30333333.333333317</v>
      </c>
      <c r="CG281" s="412">
        <f t="shared" si="606"/>
        <v>29462962.962962948</v>
      </c>
      <c r="CH281" s="412">
        <f t="shared" si="606"/>
        <v>28592592.592592578</v>
      </c>
      <c r="CI281" s="412">
        <f t="shared" si="606"/>
        <v>27722222.222222209</v>
      </c>
      <c r="CJ281" s="412">
        <f t="shared" si="606"/>
        <v>26666666.666666653</v>
      </c>
      <c r="CK281" s="412">
        <f t="shared" si="606"/>
        <v>25611111.111111097</v>
      </c>
      <c r="CL281" s="412">
        <f t="shared" si="606"/>
        <v>24555555.555555541</v>
      </c>
      <c r="CM281" s="412">
        <f t="shared" si="606"/>
        <v>23499999.999999985</v>
      </c>
      <c r="CN281" s="412">
        <f t="shared" si="606"/>
        <v>22444444.444444429</v>
      </c>
      <c r="CO281" s="412">
        <f t="shared" si="606"/>
        <v>21388888.888888873</v>
      </c>
      <c r="CP281" s="412">
        <f t="shared" si="606"/>
        <v>30796296.29629628</v>
      </c>
      <c r="CQ281" s="412">
        <f t="shared" si="606"/>
        <v>30203703.703703687</v>
      </c>
      <c r="CR281" s="412">
        <f t="shared" si="606"/>
        <v>29611111.111111093</v>
      </c>
      <c r="CS281" s="412">
        <f t="shared" si="606"/>
        <v>29018518.5185185</v>
      </c>
      <c r="CT281" s="412">
        <f t="shared" si="606"/>
        <v>28425925.925925907</v>
      </c>
      <c r="CU281" s="412">
        <f t="shared" si="606"/>
        <v>27833333.333333313</v>
      </c>
      <c r="CV281" s="412">
        <f t="shared" si="606"/>
        <v>27055555.555555537</v>
      </c>
      <c r="CW281" s="412">
        <f t="shared" si="606"/>
        <v>26277777.777777761</v>
      </c>
      <c r="CX281" s="412">
        <f t="shared" si="606"/>
        <v>25499999.999999985</v>
      </c>
      <c r="CY281" s="412">
        <f t="shared" si="606"/>
        <v>24722222.222222209</v>
      </c>
      <c r="CZ281" s="412">
        <f t="shared" si="606"/>
        <v>23944444.444444433</v>
      </c>
      <c r="DA281" s="412">
        <f t="shared" si="606"/>
        <v>23166666.666666657</v>
      </c>
      <c r="DB281" s="412">
        <f t="shared" ref="DB281:DY281" si="607">DA281+_cfDebt+_cfDebtRepayment-_FXlossgain</f>
        <v>32388888.888888881</v>
      </c>
      <c r="DC281" s="412">
        <f t="shared" si="607"/>
        <v>31611111.111111104</v>
      </c>
      <c r="DD281" s="412">
        <f t="shared" si="607"/>
        <v>30833333.333333328</v>
      </c>
      <c r="DE281" s="412">
        <f t="shared" si="607"/>
        <v>30055555.555555552</v>
      </c>
      <c r="DF281" s="412">
        <f t="shared" si="607"/>
        <v>29277777.777777776</v>
      </c>
      <c r="DG281" s="412">
        <f t="shared" si="607"/>
        <v>28500000</v>
      </c>
      <c r="DH281" s="412">
        <f t="shared" si="607"/>
        <v>27537037.037037037</v>
      </c>
      <c r="DI281" s="412">
        <f t="shared" si="607"/>
        <v>26574074.074074075</v>
      </c>
      <c r="DJ281" s="412">
        <f t="shared" si="607"/>
        <v>25611111.111111112</v>
      </c>
      <c r="DK281" s="412">
        <f t="shared" si="607"/>
        <v>24648148.148148149</v>
      </c>
      <c r="DL281" s="412">
        <f t="shared" si="607"/>
        <v>23685185.185185187</v>
      </c>
      <c r="DM281" s="412">
        <f t="shared" si="607"/>
        <v>22722222.222222224</v>
      </c>
      <c r="DN281" s="412">
        <f t="shared" si="607"/>
        <v>34981481.481481485</v>
      </c>
      <c r="DO281" s="412">
        <f t="shared" si="607"/>
        <v>34240740.740740746</v>
      </c>
      <c r="DP281" s="412">
        <f t="shared" si="607"/>
        <v>33500000.000000007</v>
      </c>
      <c r="DQ281" s="412">
        <f t="shared" si="607"/>
        <v>32759259.259259269</v>
      </c>
      <c r="DR281" s="412">
        <f t="shared" si="607"/>
        <v>32018518.51851853</v>
      </c>
      <c r="DS281" s="412">
        <f t="shared" si="607"/>
        <v>31277777.777777791</v>
      </c>
      <c r="DT281" s="412">
        <f t="shared" si="607"/>
        <v>30296296.29629631</v>
      </c>
      <c r="DU281" s="412">
        <f t="shared" si="607"/>
        <v>29314814.814814828</v>
      </c>
      <c r="DV281" s="412">
        <f t="shared" si="607"/>
        <v>28333333.333333347</v>
      </c>
      <c r="DW281" s="412">
        <f t="shared" si="607"/>
        <v>27351851.851851866</v>
      </c>
      <c r="DX281" s="412">
        <f t="shared" si="607"/>
        <v>26370370.370370384</v>
      </c>
      <c r="DY281" s="412">
        <f t="shared" si="607"/>
        <v>25388888.888888903</v>
      </c>
    </row>
    <row r="282" spans="2:129" s="404" customFormat="1" outlineLevel="1">
      <c r="C282" s="420" t="s">
        <v>114</v>
      </c>
      <c r="D282" s="421"/>
      <c r="E282" s="421"/>
      <c r="F282" s="408"/>
      <c r="G282" s="422"/>
      <c r="H282" s="422"/>
      <c r="I282" s="445"/>
      <c r="J282" s="423">
        <f t="shared" ref="J282:AO282" si="608">SUM(J281:J281)</f>
        <v>10500000</v>
      </c>
      <c r="K282" s="423">
        <f t="shared" si="608"/>
        <v>10500000</v>
      </c>
      <c r="L282" s="423">
        <f t="shared" si="608"/>
        <v>10500000</v>
      </c>
      <c r="M282" s="423">
        <f t="shared" si="608"/>
        <v>10500000</v>
      </c>
      <c r="N282" s="423">
        <f t="shared" si="608"/>
        <v>10500000</v>
      </c>
      <c r="O282" s="423">
        <f t="shared" si="608"/>
        <v>10500000</v>
      </c>
      <c r="P282" s="423">
        <f t="shared" si="608"/>
        <v>10500000</v>
      </c>
      <c r="Q282" s="423">
        <f t="shared" si="608"/>
        <v>10500000</v>
      </c>
      <c r="R282" s="423">
        <f t="shared" si="608"/>
        <v>10500000</v>
      </c>
      <c r="S282" s="423">
        <f t="shared" si="608"/>
        <v>10500000</v>
      </c>
      <c r="T282" s="423">
        <f t="shared" si="608"/>
        <v>10500000</v>
      </c>
      <c r="U282" s="423">
        <f t="shared" si="608"/>
        <v>10500000</v>
      </c>
      <c r="V282" s="423">
        <f t="shared" si="608"/>
        <v>10083333.333333334</v>
      </c>
      <c r="W282" s="423">
        <f t="shared" si="608"/>
        <v>9666666.6666666679</v>
      </c>
      <c r="X282" s="423">
        <f t="shared" si="608"/>
        <v>9250000.0000000019</v>
      </c>
      <c r="Y282" s="423">
        <f t="shared" si="608"/>
        <v>8833333.3333333358</v>
      </c>
      <c r="Z282" s="423">
        <f t="shared" si="608"/>
        <v>8416666.6666666698</v>
      </c>
      <c r="AA282" s="423">
        <f t="shared" si="608"/>
        <v>8000000.0000000028</v>
      </c>
      <c r="AB282" s="423">
        <f t="shared" si="608"/>
        <v>7583333.3333333358</v>
      </c>
      <c r="AC282" s="423">
        <f t="shared" si="608"/>
        <v>7166666.6666666688</v>
      </c>
      <c r="AD282" s="423">
        <f t="shared" si="608"/>
        <v>6750000.0000000019</v>
      </c>
      <c r="AE282" s="423">
        <f t="shared" si="608"/>
        <v>6333333.3333333349</v>
      </c>
      <c r="AF282" s="423">
        <f t="shared" si="608"/>
        <v>5916666.6666666679</v>
      </c>
      <c r="AG282" s="423">
        <f t="shared" si="608"/>
        <v>5500000.0000000009</v>
      </c>
      <c r="AH282" s="423">
        <f t="shared" si="608"/>
        <v>30083333.333333332</v>
      </c>
      <c r="AI282" s="423">
        <f t="shared" si="608"/>
        <v>29666666.666666664</v>
      </c>
      <c r="AJ282" s="423">
        <f t="shared" si="608"/>
        <v>29249999.999999996</v>
      </c>
      <c r="AK282" s="423">
        <f t="shared" si="608"/>
        <v>28833333.333333328</v>
      </c>
      <c r="AL282" s="423">
        <f t="shared" si="608"/>
        <v>28416666.66666666</v>
      </c>
      <c r="AM282" s="423">
        <f t="shared" si="608"/>
        <v>27999999.999999993</v>
      </c>
      <c r="AN282" s="423">
        <f t="shared" si="608"/>
        <v>27120370.370370362</v>
      </c>
      <c r="AO282" s="423">
        <f t="shared" si="608"/>
        <v>26240740.740740731</v>
      </c>
      <c r="AP282" s="423">
        <f t="shared" ref="AP282:BU282" si="609">SUM(AP281:AP281)</f>
        <v>25361111.111111101</v>
      </c>
      <c r="AQ282" s="423">
        <f t="shared" si="609"/>
        <v>24481481.48148147</v>
      </c>
      <c r="AR282" s="423">
        <f t="shared" si="609"/>
        <v>23601851.85185184</v>
      </c>
      <c r="AS282" s="423">
        <f t="shared" si="609"/>
        <v>22722222.222222209</v>
      </c>
      <c r="AT282" s="423">
        <f t="shared" si="609"/>
        <v>22259259.259259246</v>
      </c>
      <c r="AU282" s="423">
        <f t="shared" si="609"/>
        <v>21796296.296296284</v>
      </c>
      <c r="AV282" s="423">
        <f t="shared" si="609"/>
        <v>21333333.333333321</v>
      </c>
      <c r="AW282" s="423">
        <f t="shared" si="609"/>
        <v>20870370.370370358</v>
      </c>
      <c r="AX282" s="423">
        <f t="shared" si="609"/>
        <v>20407407.407407396</v>
      </c>
      <c r="AY282" s="423">
        <f t="shared" si="609"/>
        <v>19944444.444444433</v>
      </c>
      <c r="AZ282" s="423">
        <f t="shared" si="609"/>
        <v>19481481.48148147</v>
      </c>
      <c r="BA282" s="423">
        <f t="shared" si="609"/>
        <v>19018518.518518507</v>
      </c>
      <c r="BB282" s="423">
        <f t="shared" si="609"/>
        <v>18555555.555555545</v>
      </c>
      <c r="BC282" s="423">
        <f t="shared" si="609"/>
        <v>18092592.592592582</v>
      </c>
      <c r="BD282" s="423">
        <f t="shared" si="609"/>
        <v>17629629.629629619</v>
      </c>
      <c r="BE282" s="423">
        <f t="shared" si="609"/>
        <v>17166666.666666657</v>
      </c>
      <c r="BF282" s="423">
        <f t="shared" si="609"/>
        <v>28703703.703703694</v>
      </c>
      <c r="BG282" s="423">
        <f t="shared" si="609"/>
        <v>28240740.740740731</v>
      </c>
      <c r="BH282" s="423">
        <f t="shared" si="609"/>
        <v>27777777.777777769</v>
      </c>
      <c r="BI282" s="423">
        <f t="shared" si="609"/>
        <v>27314814.814814806</v>
      </c>
      <c r="BJ282" s="423">
        <f t="shared" si="609"/>
        <v>26851851.851851843</v>
      </c>
      <c r="BK282" s="423">
        <f t="shared" si="609"/>
        <v>26388888.888888881</v>
      </c>
      <c r="BL282" s="423">
        <f t="shared" si="609"/>
        <v>25703703.703703694</v>
      </c>
      <c r="BM282" s="423">
        <f t="shared" si="609"/>
        <v>25018518.518518507</v>
      </c>
      <c r="BN282" s="423">
        <f t="shared" si="609"/>
        <v>24333333.333333321</v>
      </c>
      <c r="BO282" s="423">
        <f t="shared" si="609"/>
        <v>23648148.148148134</v>
      </c>
      <c r="BP282" s="423">
        <f t="shared" si="609"/>
        <v>22962962.962962948</v>
      </c>
      <c r="BQ282" s="423">
        <f t="shared" si="609"/>
        <v>22277777.777777761</v>
      </c>
      <c r="BR282" s="423">
        <f t="shared" si="609"/>
        <v>31592592.592592575</v>
      </c>
      <c r="BS282" s="423">
        <f t="shared" si="609"/>
        <v>30907407.407407388</v>
      </c>
      <c r="BT282" s="423">
        <f t="shared" si="609"/>
        <v>30222222.222222202</v>
      </c>
      <c r="BU282" s="423">
        <f t="shared" si="609"/>
        <v>29537037.037037015</v>
      </c>
      <c r="BV282" s="423">
        <f t="shared" ref="BV282:CC282" si="610">SUM(BV281:BV281)</f>
        <v>28851851.851851828</v>
      </c>
      <c r="BW282" s="423">
        <f t="shared" si="610"/>
        <v>28166666.666666642</v>
      </c>
      <c r="BX282" s="423">
        <f t="shared" si="610"/>
        <v>27296296.296296272</v>
      </c>
      <c r="BY282" s="423">
        <f t="shared" si="610"/>
        <v>26425925.925925903</v>
      </c>
      <c r="BZ282" s="423">
        <f t="shared" si="610"/>
        <v>25555555.555555534</v>
      </c>
      <c r="CA282" s="423">
        <f t="shared" si="610"/>
        <v>24685185.185185164</v>
      </c>
      <c r="CB282" s="423">
        <f t="shared" si="610"/>
        <v>23814814.814814795</v>
      </c>
      <c r="CC282" s="423">
        <f t="shared" si="610"/>
        <v>22944444.444444425</v>
      </c>
      <c r="CD282" s="423">
        <f t="shared" ref="CD282:DY282" si="611">SUM(CD281:CD281)</f>
        <v>32074074.074074056</v>
      </c>
      <c r="CE282" s="423">
        <f t="shared" si="611"/>
        <v>31203703.703703687</v>
      </c>
      <c r="CF282" s="423">
        <f t="shared" si="611"/>
        <v>30333333.333333317</v>
      </c>
      <c r="CG282" s="423">
        <f t="shared" si="611"/>
        <v>29462962.962962948</v>
      </c>
      <c r="CH282" s="423">
        <f t="shared" si="611"/>
        <v>28592592.592592578</v>
      </c>
      <c r="CI282" s="423">
        <f t="shared" si="611"/>
        <v>27722222.222222209</v>
      </c>
      <c r="CJ282" s="423">
        <f t="shared" si="611"/>
        <v>26666666.666666653</v>
      </c>
      <c r="CK282" s="423">
        <f t="shared" si="611"/>
        <v>25611111.111111097</v>
      </c>
      <c r="CL282" s="423">
        <f t="shared" si="611"/>
        <v>24555555.555555541</v>
      </c>
      <c r="CM282" s="423">
        <f t="shared" si="611"/>
        <v>23499999.999999985</v>
      </c>
      <c r="CN282" s="423">
        <f t="shared" si="611"/>
        <v>22444444.444444429</v>
      </c>
      <c r="CO282" s="423">
        <f t="shared" si="611"/>
        <v>21388888.888888873</v>
      </c>
      <c r="CP282" s="423">
        <f t="shared" si="611"/>
        <v>30796296.29629628</v>
      </c>
      <c r="CQ282" s="423">
        <f t="shared" si="611"/>
        <v>30203703.703703687</v>
      </c>
      <c r="CR282" s="423">
        <f t="shared" si="611"/>
        <v>29611111.111111093</v>
      </c>
      <c r="CS282" s="423">
        <f t="shared" si="611"/>
        <v>29018518.5185185</v>
      </c>
      <c r="CT282" s="423">
        <f t="shared" si="611"/>
        <v>28425925.925925907</v>
      </c>
      <c r="CU282" s="423">
        <f t="shared" si="611"/>
        <v>27833333.333333313</v>
      </c>
      <c r="CV282" s="423">
        <f t="shared" si="611"/>
        <v>27055555.555555537</v>
      </c>
      <c r="CW282" s="423">
        <f t="shared" si="611"/>
        <v>26277777.777777761</v>
      </c>
      <c r="CX282" s="423">
        <f t="shared" si="611"/>
        <v>25499999.999999985</v>
      </c>
      <c r="CY282" s="423">
        <f t="shared" si="611"/>
        <v>24722222.222222209</v>
      </c>
      <c r="CZ282" s="423">
        <f t="shared" si="611"/>
        <v>23944444.444444433</v>
      </c>
      <c r="DA282" s="423">
        <f t="shared" si="611"/>
        <v>23166666.666666657</v>
      </c>
      <c r="DB282" s="423">
        <f t="shared" si="611"/>
        <v>32388888.888888881</v>
      </c>
      <c r="DC282" s="423">
        <f t="shared" si="611"/>
        <v>31611111.111111104</v>
      </c>
      <c r="DD282" s="423">
        <f t="shared" si="611"/>
        <v>30833333.333333328</v>
      </c>
      <c r="DE282" s="423">
        <f t="shared" si="611"/>
        <v>30055555.555555552</v>
      </c>
      <c r="DF282" s="423">
        <f t="shared" si="611"/>
        <v>29277777.777777776</v>
      </c>
      <c r="DG282" s="423">
        <f t="shared" si="611"/>
        <v>28500000</v>
      </c>
      <c r="DH282" s="423">
        <f t="shared" si="611"/>
        <v>27537037.037037037</v>
      </c>
      <c r="DI282" s="423">
        <f t="shared" si="611"/>
        <v>26574074.074074075</v>
      </c>
      <c r="DJ282" s="423">
        <f t="shared" si="611"/>
        <v>25611111.111111112</v>
      </c>
      <c r="DK282" s="423">
        <f t="shared" si="611"/>
        <v>24648148.148148149</v>
      </c>
      <c r="DL282" s="423">
        <f t="shared" si="611"/>
        <v>23685185.185185187</v>
      </c>
      <c r="DM282" s="423">
        <f t="shared" si="611"/>
        <v>22722222.222222224</v>
      </c>
      <c r="DN282" s="423">
        <f t="shared" si="611"/>
        <v>34981481.481481485</v>
      </c>
      <c r="DO282" s="423">
        <f t="shared" si="611"/>
        <v>34240740.740740746</v>
      </c>
      <c r="DP282" s="423">
        <f t="shared" si="611"/>
        <v>33500000.000000007</v>
      </c>
      <c r="DQ282" s="423">
        <f t="shared" si="611"/>
        <v>32759259.259259269</v>
      </c>
      <c r="DR282" s="423">
        <f t="shared" si="611"/>
        <v>32018518.51851853</v>
      </c>
      <c r="DS282" s="423">
        <f t="shared" si="611"/>
        <v>31277777.777777791</v>
      </c>
      <c r="DT282" s="423">
        <f t="shared" si="611"/>
        <v>30296296.29629631</v>
      </c>
      <c r="DU282" s="423">
        <f t="shared" si="611"/>
        <v>29314814.814814828</v>
      </c>
      <c r="DV282" s="423">
        <f t="shared" si="611"/>
        <v>28333333.333333347</v>
      </c>
      <c r="DW282" s="423">
        <f t="shared" si="611"/>
        <v>27351851.851851866</v>
      </c>
      <c r="DX282" s="423">
        <f t="shared" si="611"/>
        <v>26370370.370370384</v>
      </c>
      <c r="DY282" s="423">
        <f t="shared" si="611"/>
        <v>25388888.888888903</v>
      </c>
    </row>
    <row r="283" spans="2:129" s="404" customFormat="1" outlineLevel="1">
      <c r="C283" s="419"/>
      <c r="D283" s="419"/>
      <c r="E283" s="419"/>
      <c r="I283" s="443"/>
      <c r="K283" s="416"/>
      <c r="M283" s="416"/>
      <c r="O283" s="416"/>
      <c r="R283" s="416"/>
      <c r="S283" s="416"/>
      <c r="T283" s="416"/>
      <c r="U283" s="416"/>
      <c r="V283" s="416"/>
      <c r="W283" s="416"/>
      <c r="X283" s="416"/>
      <c r="Y283" s="416"/>
      <c r="Z283" s="416"/>
      <c r="AA283" s="416"/>
      <c r="AB283" s="416"/>
      <c r="AC283" s="416"/>
      <c r="AD283" s="416"/>
      <c r="AE283" s="416"/>
      <c r="AF283" s="416"/>
      <c r="AG283" s="416"/>
      <c r="AH283" s="416"/>
      <c r="AI283" s="416"/>
      <c r="AJ283" s="416"/>
      <c r="AK283" s="416"/>
      <c r="AL283" s="416"/>
      <c r="AM283" s="416"/>
      <c r="AN283" s="416"/>
      <c r="AO283" s="416"/>
      <c r="AP283" s="416"/>
      <c r="AQ283" s="416"/>
      <c r="AR283" s="416"/>
      <c r="AS283" s="416"/>
      <c r="AT283" s="416"/>
      <c r="AU283" s="416"/>
      <c r="AV283" s="416"/>
      <c r="AW283" s="416"/>
      <c r="AX283" s="416"/>
      <c r="AY283" s="416"/>
      <c r="AZ283" s="416"/>
      <c r="BA283" s="416"/>
      <c r="BB283" s="416"/>
      <c r="BC283" s="416"/>
      <c r="BD283" s="416"/>
      <c r="BE283" s="416"/>
      <c r="BF283" s="416"/>
      <c r="BG283" s="416"/>
      <c r="BH283" s="416"/>
      <c r="BI283" s="416"/>
      <c r="BJ283" s="416"/>
      <c r="BK283" s="416"/>
      <c r="BL283" s="416"/>
      <c r="BM283" s="416"/>
      <c r="BN283" s="416"/>
      <c r="BO283" s="416"/>
      <c r="BP283" s="416"/>
      <c r="BQ283" s="416"/>
      <c r="BR283" s="416"/>
      <c r="BS283" s="416"/>
      <c r="BT283" s="416"/>
      <c r="BU283" s="416"/>
      <c r="BV283" s="416"/>
      <c r="BW283" s="416"/>
      <c r="BX283" s="416"/>
      <c r="BY283" s="416"/>
      <c r="BZ283" s="416"/>
      <c r="CA283" s="416"/>
      <c r="CB283" s="416"/>
      <c r="CC283" s="416"/>
      <c r="CD283" s="416"/>
      <c r="CE283" s="416"/>
      <c r="CF283" s="416"/>
      <c r="CG283" s="416"/>
      <c r="CH283" s="416"/>
      <c r="CI283" s="416"/>
      <c r="CJ283" s="416"/>
      <c r="CK283" s="416"/>
      <c r="CL283" s="416"/>
      <c r="CM283" s="416"/>
      <c r="CN283" s="416"/>
      <c r="CO283" s="416"/>
      <c r="CP283" s="416"/>
      <c r="CQ283" s="416"/>
      <c r="CR283" s="416"/>
      <c r="CS283" s="416"/>
      <c r="CT283" s="416"/>
      <c r="CU283" s="416"/>
      <c r="CV283" s="416"/>
      <c r="CW283" s="416"/>
      <c r="CX283" s="416"/>
      <c r="CY283" s="416"/>
      <c r="CZ283" s="416"/>
      <c r="DA283" s="416"/>
      <c r="DB283" s="416"/>
      <c r="DC283" s="416"/>
      <c r="DD283" s="416"/>
      <c r="DE283" s="416"/>
      <c r="DF283" s="416"/>
      <c r="DG283" s="416"/>
      <c r="DH283" s="416"/>
      <c r="DI283" s="416"/>
      <c r="DJ283" s="416"/>
      <c r="DK283" s="416"/>
      <c r="DL283" s="416"/>
      <c r="DM283" s="416"/>
      <c r="DN283" s="416"/>
      <c r="DO283" s="416"/>
      <c r="DP283" s="416"/>
      <c r="DQ283" s="416"/>
      <c r="DR283" s="416"/>
      <c r="DS283" s="416"/>
      <c r="DT283" s="416"/>
      <c r="DU283" s="416"/>
      <c r="DV283" s="416"/>
      <c r="DW283" s="416"/>
      <c r="DX283" s="416"/>
      <c r="DY283" s="416"/>
    </row>
    <row r="284" spans="2:129" s="404" customFormat="1" outlineLevel="1">
      <c r="C284" s="424" t="s">
        <v>123</v>
      </c>
      <c r="D284" s="419"/>
      <c r="E284" s="419"/>
      <c r="I284" s="443"/>
      <c r="K284" s="416"/>
      <c r="M284" s="416"/>
      <c r="O284" s="416"/>
      <c r="R284" s="416"/>
      <c r="S284" s="416"/>
      <c r="T284" s="416"/>
      <c r="U284" s="416"/>
      <c r="V284" s="416"/>
      <c r="W284" s="416"/>
      <c r="X284" s="416"/>
      <c r="Y284" s="416"/>
      <c r="Z284" s="416"/>
      <c r="AA284" s="416"/>
      <c r="AB284" s="416"/>
      <c r="AC284" s="416"/>
      <c r="AD284" s="416"/>
      <c r="AE284" s="416"/>
      <c r="AF284" s="416"/>
      <c r="AG284" s="416"/>
      <c r="AH284" s="416"/>
      <c r="AI284" s="416"/>
      <c r="AJ284" s="416"/>
      <c r="AK284" s="416"/>
      <c r="AL284" s="416"/>
      <c r="AM284" s="416"/>
      <c r="AN284" s="416"/>
      <c r="AO284" s="416"/>
      <c r="AP284" s="416"/>
      <c r="AQ284" s="416"/>
      <c r="AR284" s="416"/>
      <c r="AS284" s="416"/>
      <c r="AT284" s="416"/>
      <c r="AU284" s="416"/>
      <c r="AV284" s="416"/>
      <c r="AW284" s="416"/>
      <c r="AX284" s="416"/>
      <c r="AY284" s="416"/>
      <c r="AZ284" s="416"/>
      <c r="BA284" s="416"/>
      <c r="BB284" s="416"/>
      <c r="BC284" s="416"/>
      <c r="BD284" s="416"/>
      <c r="BE284" s="416"/>
      <c r="BF284" s="416"/>
      <c r="BG284" s="416"/>
      <c r="BH284" s="416"/>
      <c r="BI284" s="416"/>
      <c r="BJ284" s="416"/>
      <c r="BK284" s="416"/>
      <c r="BL284" s="416"/>
      <c r="BM284" s="416"/>
      <c r="BN284" s="416"/>
      <c r="BO284" s="416"/>
      <c r="BP284" s="416"/>
      <c r="BQ284" s="416"/>
      <c r="BR284" s="416"/>
      <c r="BS284" s="416"/>
      <c r="BT284" s="416"/>
      <c r="BU284" s="416"/>
      <c r="BV284" s="416"/>
      <c r="BW284" s="416"/>
      <c r="BX284" s="416"/>
      <c r="BY284" s="416"/>
      <c r="BZ284" s="416"/>
      <c r="CA284" s="416"/>
      <c r="CB284" s="416"/>
      <c r="CC284" s="416"/>
      <c r="CD284" s="416"/>
      <c r="CE284" s="416"/>
      <c r="CF284" s="416"/>
      <c r="CG284" s="416"/>
      <c r="CH284" s="416"/>
      <c r="CI284" s="416"/>
      <c r="CJ284" s="416"/>
      <c r="CK284" s="416"/>
      <c r="CL284" s="416"/>
      <c r="CM284" s="416"/>
      <c r="CN284" s="416"/>
      <c r="CO284" s="416"/>
      <c r="CP284" s="416"/>
      <c r="CQ284" s="416"/>
      <c r="CR284" s="416"/>
      <c r="CS284" s="416"/>
      <c r="CT284" s="416"/>
      <c r="CU284" s="416"/>
      <c r="CV284" s="416"/>
      <c r="CW284" s="416"/>
      <c r="CX284" s="416"/>
      <c r="CY284" s="416"/>
      <c r="CZ284" s="416"/>
      <c r="DA284" s="416"/>
      <c r="DB284" s="416"/>
      <c r="DC284" s="416"/>
      <c r="DD284" s="416"/>
      <c r="DE284" s="416"/>
      <c r="DF284" s="416"/>
      <c r="DG284" s="416"/>
      <c r="DH284" s="416"/>
      <c r="DI284" s="416"/>
      <c r="DJ284" s="416"/>
      <c r="DK284" s="416"/>
      <c r="DL284" s="416"/>
      <c r="DM284" s="416"/>
      <c r="DN284" s="416"/>
      <c r="DO284" s="416"/>
      <c r="DP284" s="416"/>
      <c r="DQ284" s="416"/>
      <c r="DR284" s="416"/>
      <c r="DS284" s="416"/>
      <c r="DT284" s="416"/>
      <c r="DU284" s="416"/>
      <c r="DV284" s="416"/>
      <c r="DW284" s="416"/>
      <c r="DX284" s="416"/>
      <c r="DY284" s="416"/>
    </row>
    <row r="285" spans="2:129" s="404" customFormat="1" outlineLevel="1">
      <c r="C285" s="419"/>
      <c r="D285" s="419" t="s">
        <v>100</v>
      </c>
      <c r="E285" s="419"/>
      <c r="F285" s="404" t="s">
        <v>170</v>
      </c>
      <c r="H285" s="411"/>
      <c r="I285" s="440">
        <f>'Model Assumptions'!F124</f>
        <v>550000</v>
      </c>
      <c r="J285" s="425">
        <f t="shared" ref="J285:AO285" si="612">+I285+_cfEquity</f>
        <v>5550000</v>
      </c>
      <c r="K285" s="425">
        <f t="shared" si="612"/>
        <v>5550000</v>
      </c>
      <c r="L285" s="425">
        <f t="shared" si="612"/>
        <v>5550000</v>
      </c>
      <c r="M285" s="425">
        <f t="shared" si="612"/>
        <v>5550000</v>
      </c>
      <c r="N285" s="425">
        <f t="shared" si="612"/>
        <v>5550000</v>
      </c>
      <c r="O285" s="425">
        <f t="shared" si="612"/>
        <v>5550000</v>
      </c>
      <c r="P285" s="425">
        <f t="shared" si="612"/>
        <v>5550000</v>
      </c>
      <c r="Q285" s="425">
        <f t="shared" si="612"/>
        <v>5550000</v>
      </c>
      <c r="R285" s="425">
        <f t="shared" si="612"/>
        <v>5550000</v>
      </c>
      <c r="S285" s="425">
        <f t="shared" si="612"/>
        <v>5550000</v>
      </c>
      <c r="T285" s="425">
        <f t="shared" si="612"/>
        <v>5550000</v>
      </c>
      <c r="U285" s="425">
        <f t="shared" si="612"/>
        <v>5550000</v>
      </c>
      <c r="V285" s="425">
        <f t="shared" si="612"/>
        <v>5550000</v>
      </c>
      <c r="W285" s="425">
        <f t="shared" si="612"/>
        <v>5550000</v>
      </c>
      <c r="X285" s="425">
        <f t="shared" si="612"/>
        <v>5550000</v>
      </c>
      <c r="Y285" s="425">
        <f t="shared" si="612"/>
        <v>5550000</v>
      </c>
      <c r="Z285" s="425">
        <f t="shared" si="612"/>
        <v>5550000</v>
      </c>
      <c r="AA285" s="425">
        <f t="shared" si="612"/>
        <v>5550000</v>
      </c>
      <c r="AB285" s="425">
        <f t="shared" si="612"/>
        <v>5550000</v>
      </c>
      <c r="AC285" s="425">
        <f t="shared" si="612"/>
        <v>5550000</v>
      </c>
      <c r="AD285" s="425">
        <f t="shared" si="612"/>
        <v>5550000</v>
      </c>
      <c r="AE285" s="425">
        <f t="shared" si="612"/>
        <v>5550000</v>
      </c>
      <c r="AF285" s="425">
        <f t="shared" si="612"/>
        <v>5550000</v>
      </c>
      <c r="AG285" s="425">
        <f t="shared" si="612"/>
        <v>5550000</v>
      </c>
      <c r="AH285" s="425">
        <f t="shared" si="612"/>
        <v>15550000</v>
      </c>
      <c r="AI285" s="425">
        <f t="shared" si="612"/>
        <v>15550000</v>
      </c>
      <c r="AJ285" s="425">
        <f t="shared" si="612"/>
        <v>15550000</v>
      </c>
      <c r="AK285" s="425">
        <f t="shared" si="612"/>
        <v>15550000</v>
      </c>
      <c r="AL285" s="425">
        <f t="shared" si="612"/>
        <v>15550000</v>
      </c>
      <c r="AM285" s="425">
        <f t="shared" si="612"/>
        <v>15550000</v>
      </c>
      <c r="AN285" s="425">
        <f t="shared" si="612"/>
        <v>15550000</v>
      </c>
      <c r="AO285" s="425">
        <f t="shared" si="612"/>
        <v>15550000</v>
      </c>
      <c r="AP285" s="425">
        <f t="shared" ref="AP285:BU285" si="613">+AO285+_cfEquity</f>
        <v>15550000</v>
      </c>
      <c r="AQ285" s="425">
        <f t="shared" si="613"/>
        <v>15550000</v>
      </c>
      <c r="AR285" s="425">
        <f t="shared" si="613"/>
        <v>15550000</v>
      </c>
      <c r="AS285" s="425">
        <f t="shared" si="613"/>
        <v>15550000</v>
      </c>
      <c r="AT285" s="425">
        <f t="shared" si="613"/>
        <v>15550000</v>
      </c>
      <c r="AU285" s="425">
        <f t="shared" si="613"/>
        <v>15550000</v>
      </c>
      <c r="AV285" s="425">
        <f t="shared" si="613"/>
        <v>15550000</v>
      </c>
      <c r="AW285" s="425">
        <f t="shared" si="613"/>
        <v>15550000</v>
      </c>
      <c r="AX285" s="425">
        <f t="shared" si="613"/>
        <v>15550000</v>
      </c>
      <c r="AY285" s="425">
        <f t="shared" si="613"/>
        <v>15550000</v>
      </c>
      <c r="AZ285" s="425">
        <f t="shared" si="613"/>
        <v>15550000</v>
      </c>
      <c r="BA285" s="425">
        <f t="shared" si="613"/>
        <v>15550000</v>
      </c>
      <c r="BB285" s="425">
        <f t="shared" si="613"/>
        <v>15550000</v>
      </c>
      <c r="BC285" s="425">
        <f t="shared" si="613"/>
        <v>15550000</v>
      </c>
      <c r="BD285" s="425">
        <f t="shared" si="613"/>
        <v>15550000</v>
      </c>
      <c r="BE285" s="425">
        <f t="shared" si="613"/>
        <v>15550000</v>
      </c>
      <c r="BF285" s="425">
        <f t="shared" si="613"/>
        <v>15550000</v>
      </c>
      <c r="BG285" s="425">
        <f t="shared" si="613"/>
        <v>15550000</v>
      </c>
      <c r="BH285" s="425">
        <f t="shared" si="613"/>
        <v>15550000</v>
      </c>
      <c r="BI285" s="425">
        <f t="shared" si="613"/>
        <v>15550000</v>
      </c>
      <c r="BJ285" s="425">
        <f t="shared" si="613"/>
        <v>15550000</v>
      </c>
      <c r="BK285" s="425">
        <f t="shared" si="613"/>
        <v>15550000</v>
      </c>
      <c r="BL285" s="425">
        <f t="shared" si="613"/>
        <v>15550000</v>
      </c>
      <c r="BM285" s="425">
        <f t="shared" si="613"/>
        <v>15550000</v>
      </c>
      <c r="BN285" s="425">
        <f t="shared" si="613"/>
        <v>15550000</v>
      </c>
      <c r="BO285" s="425">
        <f t="shared" si="613"/>
        <v>15550000</v>
      </c>
      <c r="BP285" s="425">
        <f t="shared" si="613"/>
        <v>15550000</v>
      </c>
      <c r="BQ285" s="425">
        <f t="shared" si="613"/>
        <v>15550000</v>
      </c>
      <c r="BR285" s="425">
        <f t="shared" si="613"/>
        <v>15550000</v>
      </c>
      <c r="BS285" s="425">
        <f t="shared" si="613"/>
        <v>15550000</v>
      </c>
      <c r="BT285" s="425">
        <f t="shared" si="613"/>
        <v>15550000</v>
      </c>
      <c r="BU285" s="425">
        <f t="shared" si="613"/>
        <v>15550000</v>
      </c>
      <c r="BV285" s="425">
        <f t="shared" ref="BV285:DA285" si="614">+BU285+_cfEquity</f>
        <v>15550000</v>
      </c>
      <c r="BW285" s="425">
        <f t="shared" si="614"/>
        <v>15550000</v>
      </c>
      <c r="BX285" s="425">
        <f t="shared" si="614"/>
        <v>15550000</v>
      </c>
      <c r="BY285" s="425">
        <f t="shared" si="614"/>
        <v>15550000</v>
      </c>
      <c r="BZ285" s="425">
        <f t="shared" si="614"/>
        <v>15550000</v>
      </c>
      <c r="CA285" s="425">
        <f t="shared" si="614"/>
        <v>15550000</v>
      </c>
      <c r="CB285" s="425">
        <f t="shared" si="614"/>
        <v>15550000</v>
      </c>
      <c r="CC285" s="425">
        <f t="shared" si="614"/>
        <v>15550000</v>
      </c>
      <c r="CD285" s="425">
        <f t="shared" si="614"/>
        <v>15550000</v>
      </c>
      <c r="CE285" s="425">
        <f t="shared" si="614"/>
        <v>15550000</v>
      </c>
      <c r="CF285" s="425">
        <f t="shared" si="614"/>
        <v>15550000</v>
      </c>
      <c r="CG285" s="425">
        <f t="shared" si="614"/>
        <v>15550000</v>
      </c>
      <c r="CH285" s="425">
        <f t="shared" si="614"/>
        <v>15550000</v>
      </c>
      <c r="CI285" s="425">
        <f t="shared" si="614"/>
        <v>15550000</v>
      </c>
      <c r="CJ285" s="425">
        <f t="shared" si="614"/>
        <v>15550000</v>
      </c>
      <c r="CK285" s="425">
        <f t="shared" si="614"/>
        <v>15550000</v>
      </c>
      <c r="CL285" s="425">
        <f t="shared" si="614"/>
        <v>15550000</v>
      </c>
      <c r="CM285" s="425">
        <f t="shared" si="614"/>
        <v>15550000</v>
      </c>
      <c r="CN285" s="425">
        <f t="shared" si="614"/>
        <v>15550000</v>
      </c>
      <c r="CO285" s="425">
        <f t="shared" si="614"/>
        <v>15550000</v>
      </c>
      <c r="CP285" s="425">
        <f t="shared" si="614"/>
        <v>15550000</v>
      </c>
      <c r="CQ285" s="425">
        <f t="shared" si="614"/>
        <v>15550000</v>
      </c>
      <c r="CR285" s="425">
        <f t="shared" si="614"/>
        <v>15550000</v>
      </c>
      <c r="CS285" s="425">
        <f t="shared" si="614"/>
        <v>15550000</v>
      </c>
      <c r="CT285" s="425">
        <f t="shared" si="614"/>
        <v>15550000</v>
      </c>
      <c r="CU285" s="425">
        <f t="shared" si="614"/>
        <v>15550000</v>
      </c>
      <c r="CV285" s="425">
        <f t="shared" si="614"/>
        <v>15550000</v>
      </c>
      <c r="CW285" s="425">
        <f t="shared" si="614"/>
        <v>15550000</v>
      </c>
      <c r="CX285" s="425">
        <f t="shared" si="614"/>
        <v>15550000</v>
      </c>
      <c r="CY285" s="425">
        <f t="shared" si="614"/>
        <v>15550000</v>
      </c>
      <c r="CZ285" s="425">
        <f t="shared" si="614"/>
        <v>15550000</v>
      </c>
      <c r="DA285" s="425">
        <f t="shared" si="614"/>
        <v>15550000</v>
      </c>
      <c r="DB285" s="425">
        <f t="shared" ref="DB285:DY285" si="615">+DA285+_cfEquity</f>
        <v>15550000</v>
      </c>
      <c r="DC285" s="425">
        <f t="shared" si="615"/>
        <v>15550000</v>
      </c>
      <c r="DD285" s="425">
        <f t="shared" si="615"/>
        <v>15550000</v>
      </c>
      <c r="DE285" s="425">
        <f t="shared" si="615"/>
        <v>15550000</v>
      </c>
      <c r="DF285" s="425">
        <f t="shared" si="615"/>
        <v>15550000</v>
      </c>
      <c r="DG285" s="425">
        <f t="shared" si="615"/>
        <v>15550000</v>
      </c>
      <c r="DH285" s="425">
        <f t="shared" si="615"/>
        <v>15550000</v>
      </c>
      <c r="DI285" s="425">
        <f t="shared" si="615"/>
        <v>15550000</v>
      </c>
      <c r="DJ285" s="425">
        <f t="shared" si="615"/>
        <v>15550000</v>
      </c>
      <c r="DK285" s="425">
        <f t="shared" si="615"/>
        <v>15550000</v>
      </c>
      <c r="DL285" s="425">
        <f t="shared" si="615"/>
        <v>15550000</v>
      </c>
      <c r="DM285" s="425">
        <f t="shared" si="615"/>
        <v>15550000</v>
      </c>
      <c r="DN285" s="425">
        <f t="shared" si="615"/>
        <v>15550000</v>
      </c>
      <c r="DO285" s="425">
        <f t="shared" si="615"/>
        <v>15550000</v>
      </c>
      <c r="DP285" s="425">
        <f t="shared" si="615"/>
        <v>15550000</v>
      </c>
      <c r="DQ285" s="425">
        <f t="shared" si="615"/>
        <v>15550000</v>
      </c>
      <c r="DR285" s="425">
        <f t="shared" si="615"/>
        <v>15550000</v>
      </c>
      <c r="DS285" s="425">
        <f t="shared" si="615"/>
        <v>15550000</v>
      </c>
      <c r="DT285" s="425">
        <f t="shared" si="615"/>
        <v>15550000</v>
      </c>
      <c r="DU285" s="425">
        <f t="shared" si="615"/>
        <v>15550000</v>
      </c>
      <c r="DV285" s="425">
        <f t="shared" si="615"/>
        <v>15550000</v>
      </c>
      <c r="DW285" s="425">
        <f t="shared" si="615"/>
        <v>15550000</v>
      </c>
      <c r="DX285" s="425">
        <f t="shared" si="615"/>
        <v>15550000</v>
      </c>
      <c r="DY285" s="425">
        <f t="shared" si="615"/>
        <v>15550000</v>
      </c>
    </row>
    <row r="286" spans="2:129" s="404" customFormat="1" outlineLevel="1">
      <c r="C286" s="419"/>
      <c r="D286" s="419" t="s">
        <v>101</v>
      </c>
      <c r="E286" s="419"/>
      <c r="F286" s="404" t="s">
        <v>171</v>
      </c>
      <c r="H286" s="411"/>
      <c r="I286" s="440">
        <f>'Model Assumptions'!H125</f>
        <v>650000</v>
      </c>
      <c r="J286" s="425">
        <f ca="1">+I286+_NetincomeAcc</f>
        <v>4110445.8090565619</v>
      </c>
      <c r="K286" s="425">
        <f t="shared" ref="K286:AO286" ca="1" si="616">+J286+_NetincomeAcc</f>
        <v>4550727.5216081003</v>
      </c>
      <c r="L286" s="425">
        <f t="shared" ca="1" si="616"/>
        <v>4996665.3237745296</v>
      </c>
      <c r="M286" s="425">
        <f t="shared" ca="1" si="616"/>
        <v>5447941.5932774981</v>
      </c>
      <c r="N286" s="425">
        <f t="shared" ca="1" si="616"/>
        <v>5904236.2688934654</v>
      </c>
      <c r="O286" s="425">
        <f t="shared" ca="1" si="616"/>
        <v>6365226.7691054624</v>
      </c>
      <c r="P286" s="425">
        <f t="shared" ca="1" si="616"/>
        <v>6830587.9093441637</v>
      </c>
      <c r="Q286" s="425">
        <f t="shared" ca="1" si="616"/>
        <v>7299991.8177896952</v>
      </c>
      <c r="R286" s="425">
        <f t="shared" ca="1" si="616"/>
        <v>7773107.849705047</v>
      </c>
      <c r="S286" s="425">
        <f t="shared" ca="1" si="616"/>
        <v>8249602.5002713203</v>
      </c>
      <c r="T286" s="425">
        <f t="shared" ca="1" si="616"/>
        <v>8729139.3158944286</v>
      </c>
      <c r="U286" s="425">
        <f t="shared" ca="1" si="616"/>
        <v>9211378.8039522469</v>
      </c>
      <c r="V286" s="425">
        <f t="shared" ca="1" si="616"/>
        <v>9764048.2008272372</v>
      </c>
      <c r="W286" s="425">
        <f t="shared" ca="1" si="616"/>
        <v>10332310.521029057</v>
      </c>
      <c r="X286" s="425">
        <f t="shared" ca="1" si="616"/>
        <v>10916327.237338813</v>
      </c>
      <c r="Y286" s="425">
        <f t="shared" ca="1" si="616"/>
        <v>11516263.360349189</v>
      </c>
      <c r="Z286" s="425">
        <f t="shared" ca="1" si="616"/>
        <v>12132287.511594541</v>
      </c>
      <c r="AA286" s="425">
        <f t="shared" ca="1" si="616"/>
        <v>12764571.9980289</v>
      </c>
      <c r="AB286" s="425">
        <f t="shared" ca="1" si="616"/>
        <v>15209128.011880714</v>
      </c>
      <c r="AC286" s="425">
        <f t="shared" ca="1" si="616"/>
        <v>15863507.707099184</v>
      </c>
      <c r="AD286" s="425">
        <f t="shared" ca="1" si="616"/>
        <v>16527757.638799906</v>
      </c>
      <c r="AE286" s="425">
        <f t="shared" ca="1" si="616"/>
        <v>17201926.09393144</v>
      </c>
      <c r="AF286" s="425">
        <f t="shared" ca="1" si="616"/>
        <v>17886063.120865021</v>
      </c>
      <c r="AG286" s="425">
        <f t="shared" ca="1" si="616"/>
        <v>18580220.559577171</v>
      </c>
      <c r="AH286" s="425">
        <f t="shared" ca="1" si="616"/>
        <v>18717461.541264698</v>
      </c>
      <c r="AI286" s="425">
        <f t="shared" ca="1" si="616"/>
        <v>19381599.555402134</v>
      </c>
      <c r="AJ286" s="425">
        <f t="shared" ca="1" si="616"/>
        <v>20073073.467931833</v>
      </c>
      <c r="AK286" s="425">
        <f t="shared" ca="1" si="616"/>
        <v>20792330.777168404</v>
      </c>
      <c r="AL286" s="425">
        <f t="shared" ca="1" si="616"/>
        <v>21539827.792356249</v>
      </c>
      <c r="AM286" s="425">
        <f t="shared" ca="1" si="616"/>
        <v>22312705.492338568</v>
      </c>
      <c r="AN286" s="425">
        <f t="shared" ca="1" si="616"/>
        <v>23125252.464178585</v>
      </c>
      <c r="AO286" s="425">
        <f t="shared" ca="1" si="616"/>
        <v>23967123.995227095</v>
      </c>
      <c r="AP286" s="425">
        <f t="shared" ref="AP286:BU286" ca="1" si="617">+AO286+_NetincomeAcc</f>
        <v>24838807.381770063</v>
      </c>
      <c r="AQ286" s="425">
        <f t="shared" ca="1" si="617"/>
        <v>25740799.528992873</v>
      </c>
      <c r="AR286" s="425">
        <f t="shared" ca="1" si="617"/>
        <v>26673607.146948218</v>
      </c>
      <c r="AS286" s="425">
        <f t="shared" ca="1" si="617"/>
        <v>27637746.950365152</v>
      </c>
      <c r="AT286" s="425">
        <f t="shared" ca="1" si="617"/>
        <v>28771157.740901597</v>
      </c>
      <c r="AU286" s="425">
        <f t="shared" ca="1" si="617"/>
        <v>29937166.701147594</v>
      </c>
      <c r="AV286" s="425">
        <f t="shared" ca="1" si="617"/>
        <v>31136381.947274044</v>
      </c>
      <c r="AW286" s="425">
        <f t="shared" ca="1" si="617"/>
        <v>32369423.602031808</v>
      </c>
      <c r="AX286" s="425">
        <f t="shared" ca="1" si="617"/>
        <v>33636924.038628288</v>
      </c>
      <c r="AY286" s="425">
        <f t="shared" ca="1" si="617"/>
        <v>34939528.129407622</v>
      </c>
      <c r="AZ286" s="425">
        <f t="shared" ca="1" si="617"/>
        <v>36277893.499431938</v>
      </c>
      <c r="BA286" s="425">
        <f t="shared" ca="1" si="617"/>
        <v>37652690.785062984</v>
      </c>
      <c r="BB286" s="425">
        <f t="shared" ca="1" si="617"/>
        <v>39064603.897645429</v>
      </c>
      <c r="BC286" s="425">
        <f t="shared" ca="1" si="617"/>
        <v>40514330.292395227</v>
      </c>
      <c r="BD286" s="425">
        <f t="shared" ca="1" si="617"/>
        <v>42002581.24259828</v>
      </c>
      <c r="BE286" s="425">
        <f t="shared" ca="1" si="617"/>
        <v>43530082.119226918</v>
      </c>
      <c r="BF286" s="425">
        <f t="shared" ca="1" si="617"/>
        <v>44895223.974140212</v>
      </c>
      <c r="BG286" s="425">
        <f t="shared" ca="1" si="617"/>
        <v>46445661.368028775</v>
      </c>
      <c r="BH286" s="425">
        <f t="shared" ca="1" si="617"/>
        <v>48038176.29387147</v>
      </c>
      <c r="BI286" s="425">
        <f t="shared" ca="1" si="617"/>
        <v>49673566.253442101</v>
      </c>
      <c r="BJ286" s="425">
        <f t="shared" ca="1" si="617"/>
        <v>51352644.570583954</v>
      </c>
      <c r="BK286" s="425">
        <f t="shared" ca="1" si="617"/>
        <v>53076240.710689023</v>
      </c>
      <c r="BL286" s="425">
        <f t="shared" ca="1" si="617"/>
        <v>54846311.717618309</v>
      </c>
      <c r="BM286" s="425">
        <f t="shared" ca="1" si="617"/>
        <v>56663720.323746286</v>
      </c>
      <c r="BN286" s="425">
        <f t="shared" ca="1" si="617"/>
        <v>58529346.39992658</v>
      </c>
      <c r="BO286" s="425">
        <f t="shared" ca="1" si="617"/>
        <v>60444087.301067114</v>
      </c>
      <c r="BP286" s="425">
        <f t="shared" ca="1" si="617"/>
        <v>62408858.218561277</v>
      </c>
      <c r="BQ286" s="425">
        <f t="shared" ca="1" si="617"/>
        <v>64424592.539713331</v>
      </c>
      <c r="BR286" s="425">
        <f t="shared" ca="1" si="617"/>
        <v>66186735.727974325</v>
      </c>
      <c r="BS286" s="425">
        <f t="shared" ca="1" si="617"/>
        <v>68025068.891155019</v>
      </c>
      <c r="BT286" s="425">
        <f t="shared" ca="1" si="617"/>
        <v>69822403.701674476</v>
      </c>
      <c r="BU286" s="425">
        <f t="shared" ca="1" si="617"/>
        <v>71581570.413800493</v>
      </c>
      <c r="BV286" s="425">
        <f t="shared" ref="BV286:CC286" ca="1" si="618">+BU286+_NetincomeAcc</f>
        <v>73305418.613263994</v>
      </c>
      <c r="BW286" s="425">
        <f t="shared" ca="1" si="618"/>
        <v>74996817.978061557</v>
      </c>
      <c r="BX286" s="425">
        <f t="shared" ca="1" si="618"/>
        <v>76659584.976634279</v>
      </c>
      <c r="BY286" s="425">
        <f t="shared" ca="1" si="618"/>
        <v>78296631.799986243</v>
      </c>
      <c r="BZ286" s="425">
        <f t="shared" ca="1" si="618"/>
        <v>79910893.083570287</v>
      </c>
      <c r="CA286" s="425">
        <f t="shared" ca="1" si="618"/>
        <v>81505326.715514272</v>
      </c>
      <c r="CB286" s="425">
        <f t="shared" ca="1" si="618"/>
        <v>83082914.657396168</v>
      </c>
      <c r="CC286" s="425">
        <f t="shared" ca="1" si="618"/>
        <v>84646663.777855411</v>
      </c>
      <c r="CD286" s="425">
        <f t="shared" ref="CD286:DY286" ca="1" si="619">+CC286+_NetincomeAcc</f>
        <v>86026996.777790487</v>
      </c>
      <c r="CE286" s="425">
        <f t="shared" ca="1" si="619"/>
        <v>87515146.583078951</v>
      </c>
      <c r="CF286" s="425">
        <f t="shared" ca="1" si="619"/>
        <v>88992442.335487127</v>
      </c>
      <c r="CG286" s="425">
        <f t="shared" ca="1" si="619"/>
        <v>90460223.089519963</v>
      </c>
      <c r="CH286" s="425">
        <f t="shared" ca="1" si="619"/>
        <v>91919838.178571284</v>
      </c>
      <c r="CI286" s="425">
        <f t="shared" ca="1" si="619"/>
        <v>93372647.586698174</v>
      </c>
      <c r="CJ286" s="425">
        <f t="shared" ca="1" si="619"/>
        <v>94820948.252075195</v>
      </c>
      <c r="CK286" s="425">
        <f t="shared" ca="1" si="619"/>
        <v>96266122.59855704</v>
      </c>
      <c r="CL286" s="425">
        <f t="shared" ca="1" si="619"/>
        <v>97709564.851039827</v>
      </c>
      <c r="CM286" s="425">
        <f t="shared" ca="1" si="619"/>
        <v>99152681.431054458</v>
      </c>
      <c r="CN286" s="425">
        <f t="shared" ca="1" si="619"/>
        <v>100596891.35865788</v>
      </c>
      <c r="CO286" s="425">
        <f t="shared" ca="1" si="619"/>
        <v>102043626.66076459</v>
      </c>
      <c r="CP286" s="425">
        <f t="shared" ca="1" si="619"/>
        <v>103319574.47124331</v>
      </c>
      <c r="CQ286" s="425">
        <f t="shared" ca="1" si="619"/>
        <v>104715328.55922528</v>
      </c>
      <c r="CR286" s="425">
        <f t="shared" ca="1" si="619"/>
        <v>106111487.82372992</v>
      </c>
      <c r="CS286" s="425">
        <f t="shared" ca="1" si="619"/>
        <v>107508656.46285036</v>
      </c>
      <c r="CT286" s="425">
        <f t="shared" ca="1" si="619"/>
        <v>108907444.14750031</v>
      </c>
      <c r="CU286" s="425">
        <f t="shared" ca="1" si="619"/>
        <v>110308466.1979419</v>
      </c>
      <c r="CV286" s="425">
        <f t="shared" ca="1" si="619"/>
        <v>111711419.82818092</v>
      </c>
      <c r="CW286" s="425">
        <f t="shared" ca="1" si="619"/>
        <v>113116344.67727076</v>
      </c>
      <c r="CX286" s="425">
        <f t="shared" ca="1" si="619"/>
        <v>114523341.74794447</v>
      </c>
      <c r="CY286" s="425">
        <f t="shared" ca="1" si="619"/>
        <v>115932512.61646831</v>
      </c>
      <c r="CZ286" s="425">
        <f t="shared" ca="1" si="619"/>
        <v>117343959.45946018</v>
      </c>
      <c r="DA286" s="425">
        <f t="shared" ca="1" si="619"/>
        <v>118757785.08107643</v>
      </c>
      <c r="DB286" s="425">
        <f t="shared" ca="1" si="619"/>
        <v>120004081.55887121</v>
      </c>
      <c r="DC286" s="425">
        <f t="shared" ca="1" si="619"/>
        <v>121372932.62719156</v>
      </c>
      <c r="DD286" s="425">
        <f t="shared" ca="1" si="619"/>
        <v>122744429.39965977</v>
      </c>
      <c r="DE286" s="425">
        <f t="shared" ca="1" si="619"/>
        <v>124118663.58629465</v>
      </c>
      <c r="DF286" s="425">
        <f t="shared" ca="1" si="619"/>
        <v>125495727.5184963</v>
      </c>
      <c r="DG286" s="425">
        <f t="shared" ca="1" si="619"/>
        <v>126875714.17438659</v>
      </c>
      <c r="DH286" s="425">
        <f t="shared" ca="1" si="619"/>
        <v>128259643.13044019</v>
      </c>
      <c r="DI286" s="425">
        <f t="shared" ca="1" si="619"/>
        <v>129647608.73571138</v>
      </c>
      <c r="DJ286" s="425">
        <f t="shared" ca="1" si="619"/>
        <v>131039706.06422128</v>
      </c>
      <c r="DK286" s="425">
        <f t="shared" ca="1" si="619"/>
        <v>132436030.941811</v>
      </c>
      <c r="DL286" s="425">
        <f t="shared" ca="1" si="619"/>
        <v>133836679.97339606</v>
      </c>
      <c r="DM286" s="425">
        <f t="shared" ca="1" si="619"/>
        <v>135241750.57063177</v>
      </c>
      <c r="DN286" s="425">
        <f t="shared" ca="1" si="619"/>
        <v>136429055.05541551</v>
      </c>
      <c r="DO286" s="425">
        <f t="shared" ca="1" si="619"/>
        <v>137775635.44505873</v>
      </c>
      <c r="DP286" s="425">
        <f t="shared" ca="1" si="619"/>
        <v>139125534.04329926</v>
      </c>
      <c r="DQ286" s="425">
        <f t="shared" ca="1" si="619"/>
        <v>140478793.45221776</v>
      </c>
      <c r="DR286" s="425">
        <f t="shared" ca="1" si="619"/>
        <v>141835456.58433408</v>
      </c>
      <c r="DS286" s="425">
        <f t="shared" ca="1" si="619"/>
        <v>143195566.6748735</v>
      </c>
      <c r="DT286" s="425">
        <f t="shared" ca="1" si="619"/>
        <v>144560370.99791071</v>
      </c>
      <c r="DU286" s="425">
        <f t="shared" ca="1" si="619"/>
        <v>145929913.47158098</v>
      </c>
      <c r="DV286" s="425">
        <f t="shared" ca="1" si="619"/>
        <v>147304238.37458545</v>
      </c>
      <c r="DW286" s="425">
        <f t="shared" ca="1" si="619"/>
        <v>148683390.35918018</v>
      </c>
      <c r="DX286" s="425">
        <f t="shared" ca="1" si="619"/>
        <v>150067414.46435699</v>
      </c>
      <c r="DY286" s="425">
        <f t="shared" ca="1" si="619"/>
        <v>151456356.12922123</v>
      </c>
    </row>
    <row r="287" spans="2:129" s="404" customFormat="1" outlineLevel="1">
      <c r="C287" s="413" t="s">
        <v>115</v>
      </c>
      <c r="D287" s="414"/>
      <c r="E287" s="414"/>
      <c r="F287" s="414"/>
      <c r="G287" s="426"/>
      <c r="H287" s="426"/>
      <c r="I287" s="446"/>
      <c r="J287" s="427">
        <f ca="1">+J286+J285</f>
        <v>9660445.8090565614</v>
      </c>
      <c r="K287" s="427">
        <f t="shared" ref="K287:BV287" ca="1" si="620">+K286+K285</f>
        <v>10100727.521608099</v>
      </c>
      <c r="L287" s="427">
        <f t="shared" ca="1" si="620"/>
        <v>10546665.32377453</v>
      </c>
      <c r="M287" s="427">
        <f t="shared" ca="1" si="620"/>
        <v>10997941.593277499</v>
      </c>
      <c r="N287" s="427">
        <f t="shared" ca="1" si="620"/>
        <v>11454236.268893465</v>
      </c>
      <c r="O287" s="427">
        <f t="shared" ca="1" si="620"/>
        <v>11915226.769105462</v>
      </c>
      <c r="P287" s="427">
        <f t="shared" ca="1" si="620"/>
        <v>12380587.909344163</v>
      </c>
      <c r="Q287" s="427">
        <f t="shared" ca="1" si="620"/>
        <v>12849991.817789696</v>
      </c>
      <c r="R287" s="427">
        <f t="shared" ca="1" si="620"/>
        <v>13323107.849705048</v>
      </c>
      <c r="S287" s="427">
        <f t="shared" ca="1" si="620"/>
        <v>13799602.50027132</v>
      </c>
      <c r="T287" s="427">
        <f t="shared" ca="1" si="620"/>
        <v>14279139.315894429</v>
      </c>
      <c r="U287" s="427">
        <f t="shared" ca="1" si="620"/>
        <v>14761378.803952247</v>
      </c>
      <c r="V287" s="427">
        <f t="shared" ca="1" si="620"/>
        <v>15314048.200827237</v>
      </c>
      <c r="W287" s="427">
        <f t="shared" ca="1" si="620"/>
        <v>15882310.521029057</v>
      </c>
      <c r="X287" s="427">
        <f t="shared" ca="1" si="620"/>
        <v>16466327.237338813</v>
      </c>
      <c r="Y287" s="427">
        <f t="shared" ca="1" si="620"/>
        <v>17066263.360349189</v>
      </c>
      <c r="Z287" s="427">
        <f t="shared" ca="1" si="620"/>
        <v>17682287.511594541</v>
      </c>
      <c r="AA287" s="427">
        <f t="shared" ca="1" si="620"/>
        <v>18314571.9980289</v>
      </c>
      <c r="AB287" s="427">
        <f t="shared" ca="1" si="620"/>
        <v>20759128.011880714</v>
      </c>
      <c r="AC287" s="427">
        <f t="shared" ca="1" si="620"/>
        <v>21413507.707099184</v>
      </c>
      <c r="AD287" s="427">
        <f t="shared" ca="1" si="620"/>
        <v>22077757.638799906</v>
      </c>
      <c r="AE287" s="427">
        <f t="shared" ca="1" si="620"/>
        <v>22751926.09393144</v>
      </c>
      <c r="AF287" s="427">
        <f t="shared" ca="1" si="620"/>
        <v>23436063.120865021</v>
      </c>
      <c r="AG287" s="427">
        <f t="shared" ca="1" si="620"/>
        <v>24130220.559577171</v>
      </c>
      <c r="AH287" s="427">
        <f t="shared" ca="1" si="620"/>
        <v>34267461.541264698</v>
      </c>
      <c r="AI287" s="427">
        <f t="shared" ca="1" si="620"/>
        <v>34931599.55540213</v>
      </c>
      <c r="AJ287" s="427">
        <f t="shared" ca="1" si="620"/>
        <v>35623073.467931837</v>
      </c>
      <c r="AK287" s="427">
        <f t="shared" ca="1" si="620"/>
        <v>36342330.777168408</v>
      </c>
      <c r="AL287" s="427">
        <f t="shared" ca="1" si="620"/>
        <v>37089827.792356253</v>
      </c>
      <c r="AM287" s="427">
        <f t="shared" ca="1" si="620"/>
        <v>37862705.492338568</v>
      </c>
      <c r="AN287" s="427">
        <f t="shared" ca="1" si="620"/>
        <v>38675252.464178585</v>
      </c>
      <c r="AO287" s="427">
        <f t="shared" ca="1" si="620"/>
        <v>39517123.995227098</v>
      </c>
      <c r="AP287" s="427">
        <f t="shared" ca="1" si="620"/>
        <v>40388807.381770059</v>
      </c>
      <c r="AQ287" s="427">
        <f t="shared" ca="1" si="620"/>
        <v>41290799.528992876</v>
      </c>
      <c r="AR287" s="427">
        <f t="shared" ca="1" si="620"/>
        <v>42223607.146948218</v>
      </c>
      <c r="AS287" s="427">
        <f t="shared" ca="1" si="620"/>
        <v>43187746.950365156</v>
      </c>
      <c r="AT287" s="427">
        <f t="shared" ca="1" si="620"/>
        <v>44321157.740901597</v>
      </c>
      <c r="AU287" s="427">
        <f t="shared" ca="1" si="620"/>
        <v>45487166.701147594</v>
      </c>
      <c r="AV287" s="427">
        <f t="shared" ca="1" si="620"/>
        <v>46686381.947274044</v>
      </c>
      <c r="AW287" s="427">
        <f t="shared" ca="1" si="620"/>
        <v>47919423.602031812</v>
      </c>
      <c r="AX287" s="427">
        <f t="shared" ca="1" si="620"/>
        <v>49186924.038628288</v>
      </c>
      <c r="AY287" s="427">
        <f t="shared" ca="1" si="620"/>
        <v>50489528.129407622</v>
      </c>
      <c r="AZ287" s="427">
        <f t="shared" ca="1" si="620"/>
        <v>51827893.499431938</v>
      </c>
      <c r="BA287" s="427">
        <f t="shared" ca="1" si="620"/>
        <v>53202690.785062984</v>
      </c>
      <c r="BB287" s="427">
        <f t="shared" ca="1" si="620"/>
        <v>54614603.897645429</v>
      </c>
      <c r="BC287" s="427">
        <f t="shared" ca="1" si="620"/>
        <v>56064330.292395227</v>
      </c>
      <c r="BD287" s="427">
        <f t="shared" ca="1" si="620"/>
        <v>57552581.24259828</v>
      </c>
      <c r="BE287" s="427">
        <f t="shared" ca="1" si="620"/>
        <v>59080082.119226918</v>
      </c>
      <c r="BF287" s="427">
        <f t="shared" ca="1" si="620"/>
        <v>60445223.974140212</v>
      </c>
      <c r="BG287" s="427">
        <f t="shared" ca="1" si="620"/>
        <v>61995661.368028775</v>
      </c>
      <c r="BH287" s="427">
        <f t="shared" ca="1" si="620"/>
        <v>63588176.29387147</v>
      </c>
      <c r="BI287" s="427">
        <f t="shared" ca="1" si="620"/>
        <v>65223566.253442101</v>
      </c>
      <c r="BJ287" s="427">
        <f t="shared" ca="1" si="620"/>
        <v>66902644.570583954</v>
      </c>
      <c r="BK287" s="427">
        <f t="shared" ca="1" si="620"/>
        <v>68626240.710689023</v>
      </c>
      <c r="BL287" s="427">
        <f t="shared" ca="1" si="620"/>
        <v>70396311.717618316</v>
      </c>
      <c r="BM287" s="427">
        <f t="shared" ca="1" si="620"/>
        <v>72213720.323746294</v>
      </c>
      <c r="BN287" s="427">
        <f t="shared" ca="1" si="620"/>
        <v>74079346.399926573</v>
      </c>
      <c r="BO287" s="427">
        <f t="shared" ca="1" si="620"/>
        <v>75994087.301067114</v>
      </c>
      <c r="BP287" s="427">
        <f t="shared" ca="1" si="620"/>
        <v>77958858.218561277</v>
      </c>
      <c r="BQ287" s="427">
        <f t="shared" ca="1" si="620"/>
        <v>79974592.539713323</v>
      </c>
      <c r="BR287" s="427">
        <f t="shared" ca="1" si="620"/>
        <v>81736735.727974325</v>
      </c>
      <c r="BS287" s="427">
        <f t="shared" ca="1" si="620"/>
        <v>83575068.891155019</v>
      </c>
      <c r="BT287" s="427">
        <f t="shared" ca="1" si="620"/>
        <v>85372403.701674476</v>
      </c>
      <c r="BU287" s="427">
        <f t="shared" ca="1" si="620"/>
        <v>87131570.413800493</v>
      </c>
      <c r="BV287" s="427">
        <f t="shared" ca="1" si="620"/>
        <v>88855418.613263994</v>
      </c>
      <c r="BW287" s="427">
        <f t="shared" ref="BW287:CC287" ca="1" si="621">+BW286+BW285</f>
        <v>90546817.978061557</v>
      </c>
      <c r="BX287" s="427">
        <f t="shared" ca="1" si="621"/>
        <v>92209584.976634279</v>
      </c>
      <c r="BY287" s="427">
        <f t="shared" ca="1" si="621"/>
        <v>93846631.799986243</v>
      </c>
      <c r="BZ287" s="427">
        <f t="shared" ca="1" si="621"/>
        <v>95460893.083570287</v>
      </c>
      <c r="CA287" s="427">
        <f t="shared" ca="1" si="621"/>
        <v>97055326.715514272</v>
      </c>
      <c r="CB287" s="427">
        <f t="shared" ca="1" si="621"/>
        <v>98632914.657396168</v>
      </c>
      <c r="CC287" s="427">
        <f t="shared" ca="1" si="621"/>
        <v>100196663.77785541</v>
      </c>
      <c r="CD287" s="427">
        <f t="shared" ref="CD287:DY287" ca="1" si="622">+CD286+CD285</f>
        <v>101576996.77779049</v>
      </c>
      <c r="CE287" s="427">
        <f t="shared" ca="1" si="622"/>
        <v>103065146.58307895</v>
      </c>
      <c r="CF287" s="427">
        <f t="shared" ca="1" si="622"/>
        <v>104542442.33548713</v>
      </c>
      <c r="CG287" s="427">
        <f t="shared" ca="1" si="622"/>
        <v>106010223.08951996</v>
      </c>
      <c r="CH287" s="427">
        <f t="shared" ca="1" si="622"/>
        <v>107469838.17857128</v>
      </c>
      <c r="CI287" s="427">
        <f t="shared" ca="1" si="622"/>
        <v>108922647.58669817</v>
      </c>
      <c r="CJ287" s="427">
        <f t="shared" ca="1" si="622"/>
        <v>110370948.2520752</v>
      </c>
      <c r="CK287" s="427">
        <f t="shared" ca="1" si="622"/>
        <v>111816122.59855704</v>
      </c>
      <c r="CL287" s="427">
        <f t="shared" ca="1" si="622"/>
        <v>113259564.85103983</v>
      </c>
      <c r="CM287" s="427">
        <f t="shared" ca="1" si="622"/>
        <v>114702681.43105446</v>
      </c>
      <c r="CN287" s="427">
        <f t="shared" ca="1" si="622"/>
        <v>116146891.35865788</v>
      </c>
      <c r="CO287" s="427">
        <f t="shared" ca="1" si="622"/>
        <v>117593626.66076459</v>
      </c>
      <c r="CP287" s="427">
        <f t="shared" ca="1" si="622"/>
        <v>118869574.47124331</v>
      </c>
      <c r="CQ287" s="427">
        <f t="shared" ca="1" si="622"/>
        <v>120265328.55922528</v>
      </c>
      <c r="CR287" s="427">
        <f t="shared" ca="1" si="622"/>
        <v>121661487.82372992</v>
      </c>
      <c r="CS287" s="427">
        <f t="shared" ca="1" si="622"/>
        <v>123058656.46285036</v>
      </c>
      <c r="CT287" s="427">
        <f t="shared" ca="1" si="622"/>
        <v>124457444.14750031</v>
      </c>
      <c r="CU287" s="427">
        <f t="shared" ca="1" si="622"/>
        <v>125858466.1979419</v>
      </c>
      <c r="CV287" s="427">
        <f t="shared" ca="1" si="622"/>
        <v>127261419.82818092</v>
      </c>
      <c r="CW287" s="427">
        <f t="shared" ca="1" si="622"/>
        <v>128666344.67727076</v>
      </c>
      <c r="CX287" s="427">
        <f t="shared" ca="1" si="622"/>
        <v>130073341.74794447</v>
      </c>
      <c r="CY287" s="427">
        <f t="shared" ca="1" si="622"/>
        <v>131482512.61646831</v>
      </c>
      <c r="CZ287" s="427">
        <f t="shared" ca="1" si="622"/>
        <v>132893959.45946018</v>
      </c>
      <c r="DA287" s="427">
        <f t="shared" ca="1" si="622"/>
        <v>134307785.08107644</v>
      </c>
      <c r="DB287" s="427">
        <f t="shared" ca="1" si="622"/>
        <v>135554081.55887121</v>
      </c>
      <c r="DC287" s="427">
        <f t="shared" ca="1" si="622"/>
        <v>136922932.62719154</v>
      </c>
      <c r="DD287" s="427">
        <f t="shared" ca="1" si="622"/>
        <v>138294429.39965975</v>
      </c>
      <c r="DE287" s="427">
        <f t="shared" ca="1" si="622"/>
        <v>139668663.58629465</v>
      </c>
      <c r="DF287" s="427">
        <f t="shared" ca="1" si="622"/>
        <v>141045727.5184963</v>
      </c>
      <c r="DG287" s="427">
        <f t="shared" ca="1" si="622"/>
        <v>142425714.17438659</v>
      </c>
      <c r="DH287" s="427">
        <f t="shared" ca="1" si="622"/>
        <v>143809643.13044018</v>
      </c>
      <c r="DI287" s="427">
        <f t="shared" ca="1" si="622"/>
        <v>145197608.7357114</v>
      </c>
      <c r="DJ287" s="427">
        <f t="shared" ca="1" si="622"/>
        <v>146589706.06422126</v>
      </c>
      <c r="DK287" s="427">
        <f t="shared" ca="1" si="622"/>
        <v>147986030.941811</v>
      </c>
      <c r="DL287" s="427">
        <f t="shared" ca="1" si="622"/>
        <v>149386679.97339606</v>
      </c>
      <c r="DM287" s="427">
        <f t="shared" ca="1" si="622"/>
        <v>150791750.57063177</v>
      </c>
      <c r="DN287" s="427">
        <f t="shared" ca="1" si="622"/>
        <v>151979055.05541551</v>
      </c>
      <c r="DO287" s="427">
        <f t="shared" ca="1" si="622"/>
        <v>153325635.44505873</v>
      </c>
      <c r="DP287" s="427">
        <f t="shared" ca="1" si="622"/>
        <v>154675534.04329926</v>
      </c>
      <c r="DQ287" s="427">
        <f t="shared" ca="1" si="622"/>
        <v>156028793.45221776</v>
      </c>
      <c r="DR287" s="427">
        <f t="shared" ca="1" si="622"/>
        <v>157385456.58433408</v>
      </c>
      <c r="DS287" s="427">
        <f t="shared" ca="1" si="622"/>
        <v>158745566.6748735</v>
      </c>
      <c r="DT287" s="427">
        <f t="shared" ca="1" si="622"/>
        <v>160110370.99791071</v>
      </c>
      <c r="DU287" s="427">
        <f t="shared" ca="1" si="622"/>
        <v>161479913.47158098</v>
      </c>
      <c r="DV287" s="427">
        <f t="shared" ca="1" si="622"/>
        <v>162854238.37458545</v>
      </c>
      <c r="DW287" s="427">
        <f t="shared" ca="1" si="622"/>
        <v>164233390.35918018</v>
      </c>
      <c r="DX287" s="427">
        <f t="shared" ca="1" si="622"/>
        <v>165617414.46435699</v>
      </c>
      <c r="DY287" s="427">
        <f t="shared" ca="1" si="622"/>
        <v>167006356.12922123</v>
      </c>
    </row>
    <row r="288" spans="2:129" s="404" customFormat="1" outlineLevel="1">
      <c r="B288" s="410"/>
      <c r="C288" s="413" t="s">
        <v>124</v>
      </c>
      <c r="D288" s="413"/>
      <c r="E288" s="413"/>
      <c r="F288" s="413"/>
      <c r="G288" s="415"/>
      <c r="H288" s="415"/>
      <c r="I288" s="442">
        <f>SUM(I281:I286)</f>
        <v>1700000</v>
      </c>
      <c r="J288" s="415">
        <f ca="1">+J287+J282</f>
        <v>20160445.809056561</v>
      </c>
      <c r="K288" s="415">
        <f t="shared" ref="K288:AO288" ca="1" si="623">+K287+K282</f>
        <v>20600727.521608099</v>
      </c>
      <c r="L288" s="415">
        <f t="shared" ca="1" si="623"/>
        <v>21046665.323774531</v>
      </c>
      <c r="M288" s="415">
        <f t="shared" ca="1" si="623"/>
        <v>21497941.593277499</v>
      </c>
      <c r="N288" s="415">
        <f t="shared" ca="1" si="623"/>
        <v>21954236.268893465</v>
      </c>
      <c r="O288" s="415">
        <f t="shared" ca="1" si="623"/>
        <v>22415226.769105464</v>
      </c>
      <c r="P288" s="415">
        <f t="shared" ca="1" si="623"/>
        <v>22880587.909344163</v>
      </c>
      <c r="Q288" s="415">
        <f t="shared" ca="1" si="623"/>
        <v>23349991.817789696</v>
      </c>
      <c r="R288" s="415">
        <f t="shared" ca="1" si="623"/>
        <v>23823107.849705048</v>
      </c>
      <c r="S288" s="415">
        <f t="shared" ca="1" si="623"/>
        <v>24299602.50027132</v>
      </c>
      <c r="T288" s="415">
        <f t="shared" ca="1" si="623"/>
        <v>24779139.315894429</v>
      </c>
      <c r="U288" s="415">
        <f t="shared" ca="1" si="623"/>
        <v>25261378.803952247</v>
      </c>
      <c r="V288" s="415">
        <f t="shared" ca="1" si="623"/>
        <v>25397381.534160569</v>
      </c>
      <c r="W288" s="415">
        <f t="shared" ca="1" si="623"/>
        <v>25548977.187695727</v>
      </c>
      <c r="X288" s="415">
        <f t="shared" ca="1" si="623"/>
        <v>25716327.237338815</v>
      </c>
      <c r="Y288" s="415">
        <f t="shared" ca="1" si="623"/>
        <v>25899596.693682525</v>
      </c>
      <c r="Z288" s="415">
        <f t="shared" ca="1" si="623"/>
        <v>26098954.178261213</v>
      </c>
      <c r="AA288" s="415">
        <f t="shared" ca="1" si="623"/>
        <v>26314571.998028904</v>
      </c>
      <c r="AB288" s="415">
        <f t="shared" ca="1" si="623"/>
        <v>28342461.34521405</v>
      </c>
      <c r="AC288" s="415">
        <f t="shared" ca="1" si="623"/>
        <v>28580174.373765852</v>
      </c>
      <c r="AD288" s="415">
        <f t="shared" ca="1" si="623"/>
        <v>28827757.638799906</v>
      </c>
      <c r="AE288" s="415">
        <f t="shared" ca="1" si="623"/>
        <v>29085259.427264776</v>
      </c>
      <c r="AF288" s="415">
        <f t="shared" ca="1" si="623"/>
        <v>29352729.787531689</v>
      </c>
      <c r="AG288" s="415">
        <f t="shared" ca="1" si="623"/>
        <v>29630220.559577171</v>
      </c>
      <c r="AH288" s="415">
        <f t="shared" ca="1" si="623"/>
        <v>64350794.874598026</v>
      </c>
      <c r="AI288" s="415">
        <f t="shared" ca="1" si="623"/>
        <v>64598266.222068794</v>
      </c>
      <c r="AJ288" s="415">
        <f t="shared" ca="1" si="623"/>
        <v>64873073.467931837</v>
      </c>
      <c r="AK288" s="415">
        <f t="shared" ca="1" si="623"/>
        <v>65175664.110501736</v>
      </c>
      <c r="AL288" s="415">
        <f t="shared" ca="1" si="623"/>
        <v>65506494.459022909</v>
      </c>
      <c r="AM288" s="415">
        <f t="shared" ca="1" si="623"/>
        <v>65862705.492338561</v>
      </c>
      <c r="AN288" s="415">
        <f t="shared" ca="1" si="623"/>
        <v>65795622.83454895</v>
      </c>
      <c r="AO288" s="415">
        <f t="shared" ca="1" si="623"/>
        <v>65757864.73596783</v>
      </c>
      <c r="AP288" s="415">
        <f t="shared" ref="AP288:BU288" ca="1" si="624">+AP287+AP282</f>
        <v>65749918.492881164</v>
      </c>
      <c r="AQ288" s="415">
        <f t="shared" ca="1" si="624"/>
        <v>65772281.010474347</v>
      </c>
      <c r="AR288" s="415">
        <f t="shared" ca="1" si="624"/>
        <v>65825458.998800054</v>
      </c>
      <c r="AS288" s="415">
        <f t="shared" ca="1" si="624"/>
        <v>65909969.172587365</v>
      </c>
      <c r="AT288" s="415">
        <f t="shared" ca="1" si="624"/>
        <v>66580417.000160843</v>
      </c>
      <c r="AU288" s="415">
        <f t="shared" ca="1" si="624"/>
        <v>67283462.997443885</v>
      </c>
      <c r="AV288" s="415">
        <f t="shared" ca="1" si="624"/>
        <v>68019715.280607373</v>
      </c>
      <c r="AW288" s="415">
        <f t="shared" ca="1" si="624"/>
        <v>68789793.97240217</v>
      </c>
      <c r="AX288" s="415">
        <f t="shared" ca="1" si="624"/>
        <v>69594331.446035683</v>
      </c>
      <c r="AY288" s="415">
        <f t="shared" ca="1" si="624"/>
        <v>70433972.573852062</v>
      </c>
      <c r="AZ288" s="415">
        <f t="shared" ca="1" si="624"/>
        <v>71309374.980913401</v>
      </c>
      <c r="BA288" s="415">
        <f t="shared" ca="1" si="624"/>
        <v>72221209.303581491</v>
      </c>
      <c r="BB288" s="415">
        <f t="shared" ca="1" si="624"/>
        <v>73170159.453200966</v>
      </c>
      <c r="BC288" s="415">
        <f t="shared" ca="1" si="624"/>
        <v>74156922.884987801</v>
      </c>
      <c r="BD288" s="415">
        <f t="shared" ca="1" si="624"/>
        <v>75182210.872227907</v>
      </c>
      <c r="BE288" s="415">
        <f t="shared" ca="1" si="624"/>
        <v>76246748.785893574</v>
      </c>
      <c r="BF288" s="415">
        <f t="shared" ca="1" si="624"/>
        <v>89148927.677843899</v>
      </c>
      <c r="BG288" s="415">
        <f t="shared" ca="1" si="624"/>
        <v>90236402.108769506</v>
      </c>
      <c r="BH288" s="415">
        <f t="shared" ca="1" si="624"/>
        <v>91365954.071649238</v>
      </c>
      <c r="BI288" s="415">
        <f t="shared" ca="1" si="624"/>
        <v>92538381.068256915</v>
      </c>
      <c r="BJ288" s="415">
        <f t="shared" ca="1" si="624"/>
        <v>93754496.42243579</v>
      </c>
      <c r="BK288" s="415">
        <f t="shared" ca="1" si="624"/>
        <v>95015129.599577904</v>
      </c>
      <c r="BL288" s="415">
        <f t="shared" ca="1" si="624"/>
        <v>96100015.421322018</v>
      </c>
      <c r="BM288" s="415">
        <f t="shared" ca="1" si="624"/>
        <v>97232238.842264801</v>
      </c>
      <c r="BN288" s="415">
        <f t="shared" ca="1" si="624"/>
        <v>98412679.733259887</v>
      </c>
      <c r="BO288" s="415">
        <f t="shared" ca="1" si="624"/>
        <v>99642235.449215248</v>
      </c>
      <c r="BP288" s="415">
        <f t="shared" ca="1" si="624"/>
        <v>100921821.18152422</v>
      </c>
      <c r="BQ288" s="415">
        <f t="shared" ca="1" si="624"/>
        <v>102252370.31749108</v>
      </c>
      <c r="BR288" s="415">
        <f t="shared" ca="1" si="624"/>
        <v>113329328.32056689</v>
      </c>
      <c r="BS288" s="415">
        <f t="shared" ca="1" si="624"/>
        <v>114482476.29856241</v>
      </c>
      <c r="BT288" s="415">
        <f t="shared" ca="1" si="624"/>
        <v>115594625.92389667</v>
      </c>
      <c r="BU288" s="415">
        <f t="shared" ca="1" si="624"/>
        <v>116668607.45083751</v>
      </c>
      <c r="BV288" s="415">
        <f t="shared" ref="BV288:CC288" ca="1" si="625">+BV287+BV282</f>
        <v>117707270.46511582</v>
      </c>
      <c r="BW288" s="415">
        <f t="shared" ca="1" si="625"/>
        <v>118713484.6447282</v>
      </c>
      <c r="BX288" s="415">
        <f t="shared" ca="1" si="625"/>
        <v>119505881.27293055</v>
      </c>
      <c r="BY288" s="415">
        <f t="shared" ca="1" si="625"/>
        <v>120272557.72591215</v>
      </c>
      <c r="BZ288" s="415">
        <f t="shared" ca="1" si="625"/>
        <v>121016448.63912582</v>
      </c>
      <c r="CA288" s="415">
        <f t="shared" ca="1" si="625"/>
        <v>121740511.90069944</v>
      </c>
      <c r="CB288" s="415">
        <f t="shared" ca="1" si="625"/>
        <v>122447729.47221096</v>
      </c>
      <c r="CC288" s="415">
        <f t="shared" ca="1" si="625"/>
        <v>123141108.22229984</v>
      </c>
      <c r="CD288" s="415">
        <f t="shared" ref="CD288:DY288" ca="1" si="626">+CD287+CD282</f>
        <v>133651070.85186455</v>
      </c>
      <c r="CE288" s="415">
        <f t="shared" ca="1" si="626"/>
        <v>134268850.28678262</v>
      </c>
      <c r="CF288" s="415">
        <f t="shared" ca="1" si="626"/>
        <v>134875775.66882044</v>
      </c>
      <c r="CG288" s="415">
        <f t="shared" ca="1" si="626"/>
        <v>135473186.0524829</v>
      </c>
      <c r="CH288" s="415">
        <f t="shared" ca="1" si="626"/>
        <v>136062430.77116385</v>
      </c>
      <c r="CI288" s="415">
        <f t="shared" ca="1" si="626"/>
        <v>136644869.80892038</v>
      </c>
      <c r="CJ288" s="415">
        <f t="shared" ca="1" si="626"/>
        <v>137037614.91874185</v>
      </c>
      <c r="CK288" s="415">
        <f t="shared" ca="1" si="626"/>
        <v>137427233.70966813</v>
      </c>
      <c r="CL288" s="415">
        <f t="shared" ca="1" si="626"/>
        <v>137815120.40659538</v>
      </c>
      <c r="CM288" s="415">
        <f t="shared" ca="1" si="626"/>
        <v>138202681.43105444</v>
      </c>
      <c r="CN288" s="415">
        <f t="shared" ca="1" si="626"/>
        <v>138591335.80310231</v>
      </c>
      <c r="CO288" s="415">
        <f t="shared" ca="1" si="626"/>
        <v>138982515.54965347</v>
      </c>
      <c r="CP288" s="415">
        <f t="shared" ca="1" si="626"/>
        <v>149665870.76753959</v>
      </c>
      <c r="CQ288" s="415">
        <f t="shared" ca="1" si="626"/>
        <v>150469032.26292896</v>
      </c>
      <c r="CR288" s="415">
        <f t="shared" ca="1" si="626"/>
        <v>151272598.93484101</v>
      </c>
      <c r="CS288" s="415">
        <f t="shared" ca="1" si="626"/>
        <v>152077174.98136887</v>
      </c>
      <c r="CT288" s="415">
        <f t="shared" ca="1" si="626"/>
        <v>152883370.07342622</v>
      </c>
      <c r="CU288" s="415">
        <f t="shared" ca="1" si="626"/>
        <v>153691799.53127521</v>
      </c>
      <c r="CV288" s="415">
        <f t="shared" ca="1" si="626"/>
        <v>154316975.38373646</v>
      </c>
      <c r="CW288" s="415">
        <f t="shared" ca="1" si="626"/>
        <v>154944122.4550485</v>
      </c>
      <c r="CX288" s="415">
        <f t="shared" ca="1" si="626"/>
        <v>155573341.74794447</v>
      </c>
      <c r="CY288" s="415">
        <f t="shared" ca="1" si="626"/>
        <v>156204734.83869052</v>
      </c>
      <c r="CZ288" s="415">
        <f t="shared" ca="1" si="626"/>
        <v>156838403.90390462</v>
      </c>
      <c r="DA288" s="415">
        <f t="shared" ca="1" si="626"/>
        <v>157474451.7477431</v>
      </c>
      <c r="DB288" s="415">
        <f t="shared" ca="1" si="626"/>
        <v>167942970.44776011</v>
      </c>
      <c r="DC288" s="415">
        <f t="shared" ca="1" si="626"/>
        <v>168534043.73830265</v>
      </c>
      <c r="DD288" s="415">
        <f t="shared" ca="1" si="626"/>
        <v>169127762.73299307</v>
      </c>
      <c r="DE288" s="415">
        <f t="shared" ca="1" si="626"/>
        <v>169724219.1418502</v>
      </c>
      <c r="DF288" s="415">
        <f t="shared" ca="1" si="626"/>
        <v>170323505.29627407</v>
      </c>
      <c r="DG288" s="415">
        <f t="shared" ca="1" si="626"/>
        <v>170925714.17438659</v>
      </c>
      <c r="DH288" s="415">
        <f t="shared" ca="1" si="626"/>
        <v>171346680.16747722</v>
      </c>
      <c r="DI288" s="415">
        <f t="shared" ca="1" si="626"/>
        <v>171771682.80978549</v>
      </c>
      <c r="DJ288" s="415">
        <f t="shared" ca="1" si="626"/>
        <v>172200817.17533237</v>
      </c>
      <c r="DK288" s="415">
        <f t="shared" ca="1" si="626"/>
        <v>172634179.08995914</v>
      </c>
      <c r="DL288" s="415">
        <f t="shared" ca="1" si="626"/>
        <v>173071865.15858126</v>
      </c>
      <c r="DM288" s="415">
        <f t="shared" ca="1" si="626"/>
        <v>173513972.79285401</v>
      </c>
      <c r="DN288" s="415">
        <f t="shared" ca="1" si="626"/>
        <v>186960536.536897</v>
      </c>
      <c r="DO288" s="415">
        <f t="shared" ca="1" si="626"/>
        <v>187566376.18579948</v>
      </c>
      <c r="DP288" s="415">
        <f t="shared" ca="1" si="626"/>
        <v>188175534.04329926</v>
      </c>
      <c r="DQ288" s="415">
        <f t="shared" ca="1" si="626"/>
        <v>188788052.71147704</v>
      </c>
      <c r="DR288" s="415">
        <f t="shared" ca="1" si="626"/>
        <v>189403975.10285261</v>
      </c>
      <c r="DS288" s="415">
        <f t="shared" ca="1" si="626"/>
        <v>190023344.45265129</v>
      </c>
      <c r="DT288" s="415">
        <f t="shared" ca="1" si="626"/>
        <v>190406667.29420701</v>
      </c>
      <c r="DU288" s="415">
        <f t="shared" ca="1" si="626"/>
        <v>190794728.28639582</v>
      </c>
      <c r="DV288" s="415">
        <f t="shared" ca="1" si="626"/>
        <v>191187571.70791879</v>
      </c>
      <c r="DW288" s="415">
        <f t="shared" ca="1" si="626"/>
        <v>191585242.21103203</v>
      </c>
      <c r="DX288" s="415">
        <f t="shared" ca="1" si="626"/>
        <v>191987784.83472738</v>
      </c>
      <c r="DY288" s="415">
        <f t="shared" ca="1" si="626"/>
        <v>192395245.01811013</v>
      </c>
    </row>
    <row r="289" spans="2:129" s="404" customFormat="1" outlineLevel="1">
      <c r="I289" s="443"/>
      <c r="J289" s="412"/>
      <c r="K289" s="416"/>
      <c r="M289" s="416"/>
      <c r="O289" s="416"/>
      <c r="R289" s="416"/>
      <c r="S289" s="416"/>
      <c r="T289" s="416"/>
      <c r="U289" s="416"/>
      <c r="V289" s="416"/>
      <c r="W289" s="416"/>
      <c r="X289" s="416"/>
      <c r="Y289" s="416"/>
      <c r="Z289" s="416"/>
      <c r="AA289" s="416"/>
      <c r="AB289" s="416"/>
      <c r="AC289" s="416"/>
      <c r="AD289" s="416"/>
      <c r="AE289" s="416"/>
      <c r="AF289" s="416"/>
      <c r="AG289" s="416"/>
      <c r="AH289" s="416"/>
      <c r="AI289" s="416"/>
      <c r="AJ289" s="416"/>
      <c r="AK289" s="416"/>
      <c r="AL289" s="416"/>
      <c r="AM289" s="416"/>
      <c r="AN289" s="416"/>
      <c r="AO289" s="416"/>
      <c r="AP289" s="416"/>
      <c r="AQ289" s="416"/>
      <c r="AR289" s="416"/>
      <c r="AS289" s="416"/>
      <c r="AT289" s="416"/>
      <c r="AU289" s="416"/>
      <c r="AV289" s="416"/>
      <c r="AW289" s="416"/>
      <c r="AX289" s="416"/>
      <c r="AY289" s="416"/>
      <c r="AZ289" s="416"/>
      <c r="BA289" s="416"/>
      <c r="BB289" s="416"/>
      <c r="BC289" s="416"/>
      <c r="BD289" s="416"/>
      <c r="BE289" s="416"/>
      <c r="BF289" s="416"/>
      <c r="BG289" s="416"/>
      <c r="BH289" s="416"/>
      <c r="BI289" s="416"/>
      <c r="BJ289" s="416"/>
      <c r="BK289" s="416"/>
      <c r="BL289" s="416"/>
      <c r="BM289" s="416"/>
      <c r="BN289" s="416"/>
      <c r="BO289" s="416"/>
      <c r="BP289" s="416"/>
      <c r="BQ289" s="416"/>
      <c r="BR289" s="416"/>
      <c r="BS289" s="416"/>
      <c r="BT289" s="416"/>
      <c r="BU289" s="416"/>
      <c r="BV289" s="416"/>
      <c r="BW289" s="416"/>
      <c r="BX289" s="416"/>
      <c r="BY289" s="416"/>
      <c r="BZ289" s="416"/>
      <c r="CA289" s="416"/>
      <c r="CB289" s="416"/>
      <c r="CC289" s="416"/>
      <c r="CD289" s="416"/>
      <c r="CE289" s="416"/>
      <c r="CF289" s="416"/>
      <c r="CG289" s="416"/>
      <c r="CH289" s="416"/>
      <c r="CI289" s="416"/>
      <c r="CJ289" s="416"/>
      <c r="CK289" s="416"/>
      <c r="CL289" s="416"/>
      <c r="CM289" s="416"/>
      <c r="CN289" s="416"/>
      <c r="CO289" s="416"/>
      <c r="CP289" s="416"/>
      <c r="CQ289" s="416"/>
      <c r="CR289" s="416"/>
      <c r="CS289" s="416"/>
      <c r="CT289" s="416"/>
      <c r="CU289" s="416"/>
      <c r="CV289" s="416"/>
      <c r="CW289" s="416"/>
      <c r="CX289" s="416"/>
      <c r="CY289" s="416"/>
      <c r="CZ289" s="416"/>
      <c r="DA289" s="416"/>
      <c r="DB289" s="416"/>
      <c r="DC289" s="416"/>
      <c r="DD289" s="416"/>
      <c r="DE289" s="416"/>
      <c r="DF289" s="416"/>
      <c r="DG289" s="416"/>
      <c r="DH289" s="416"/>
      <c r="DI289" s="416"/>
      <c r="DJ289" s="416"/>
      <c r="DK289" s="416"/>
      <c r="DL289" s="416"/>
      <c r="DM289" s="416"/>
      <c r="DN289" s="416"/>
      <c r="DO289" s="416"/>
      <c r="DP289" s="416"/>
      <c r="DQ289" s="416"/>
      <c r="DR289" s="416"/>
      <c r="DS289" s="416"/>
      <c r="DT289" s="416"/>
      <c r="DU289" s="416"/>
      <c r="DV289" s="416"/>
      <c r="DW289" s="416"/>
      <c r="DX289" s="416"/>
      <c r="DY289" s="416"/>
    </row>
    <row r="290" spans="2:129" s="404" customFormat="1" outlineLevel="1">
      <c r="G290" s="201" t="s">
        <v>544</v>
      </c>
      <c r="H290" s="528">
        <f ca="1">SUM(J290:DY290)</f>
        <v>0</v>
      </c>
      <c r="I290" s="529"/>
      <c r="J290" s="530">
        <f t="shared" ref="J290:AO290" ca="1" si="627">IF(ABS(SUM(J288-J278))&lt;tolerance,0,1)</f>
        <v>0</v>
      </c>
      <c r="K290" s="530">
        <f t="shared" ca="1" si="627"/>
        <v>0</v>
      </c>
      <c r="L290" s="530">
        <f t="shared" ca="1" si="627"/>
        <v>0</v>
      </c>
      <c r="M290" s="530">
        <f t="shared" ca="1" si="627"/>
        <v>0</v>
      </c>
      <c r="N290" s="530">
        <f t="shared" ca="1" si="627"/>
        <v>0</v>
      </c>
      <c r="O290" s="530">
        <f t="shared" ca="1" si="627"/>
        <v>0</v>
      </c>
      <c r="P290" s="530">
        <f t="shared" ca="1" si="627"/>
        <v>0</v>
      </c>
      <c r="Q290" s="530">
        <f t="shared" ca="1" si="627"/>
        <v>0</v>
      </c>
      <c r="R290" s="530">
        <f t="shared" ca="1" si="627"/>
        <v>0</v>
      </c>
      <c r="S290" s="530">
        <f t="shared" ca="1" si="627"/>
        <v>0</v>
      </c>
      <c r="T290" s="530">
        <f t="shared" ca="1" si="627"/>
        <v>0</v>
      </c>
      <c r="U290" s="530">
        <f t="shared" ca="1" si="627"/>
        <v>0</v>
      </c>
      <c r="V290" s="530">
        <f t="shared" ca="1" si="627"/>
        <v>0</v>
      </c>
      <c r="W290" s="530">
        <f t="shared" ca="1" si="627"/>
        <v>0</v>
      </c>
      <c r="X290" s="530">
        <f t="shared" ca="1" si="627"/>
        <v>0</v>
      </c>
      <c r="Y290" s="530">
        <f t="shared" ca="1" si="627"/>
        <v>0</v>
      </c>
      <c r="Z290" s="530">
        <f t="shared" ca="1" si="627"/>
        <v>0</v>
      </c>
      <c r="AA290" s="530">
        <f t="shared" ca="1" si="627"/>
        <v>0</v>
      </c>
      <c r="AB290" s="530">
        <f t="shared" ca="1" si="627"/>
        <v>0</v>
      </c>
      <c r="AC290" s="530">
        <f t="shared" ca="1" si="627"/>
        <v>0</v>
      </c>
      <c r="AD290" s="530">
        <f t="shared" ca="1" si="627"/>
        <v>0</v>
      </c>
      <c r="AE290" s="530">
        <f t="shared" ca="1" si="627"/>
        <v>0</v>
      </c>
      <c r="AF290" s="530">
        <f t="shared" ca="1" si="627"/>
        <v>0</v>
      </c>
      <c r="AG290" s="530">
        <f t="shared" ca="1" si="627"/>
        <v>0</v>
      </c>
      <c r="AH290" s="530">
        <f t="shared" ca="1" si="627"/>
        <v>0</v>
      </c>
      <c r="AI290" s="530">
        <f t="shared" ca="1" si="627"/>
        <v>0</v>
      </c>
      <c r="AJ290" s="530">
        <f t="shared" ca="1" si="627"/>
        <v>0</v>
      </c>
      <c r="AK290" s="530">
        <f t="shared" ca="1" si="627"/>
        <v>0</v>
      </c>
      <c r="AL290" s="530">
        <f t="shared" ca="1" si="627"/>
        <v>0</v>
      </c>
      <c r="AM290" s="530">
        <f t="shared" ca="1" si="627"/>
        <v>0</v>
      </c>
      <c r="AN290" s="530">
        <f t="shared" ca="1" si="627"/>
        <v>0</v>
      </c>
      <c r="AO290" s="530">
        <f t="shared" ca="1" si="627"/>
        <v>0</v>
      </c>
      <c r="AP290" s="530">
        <f t="shared" ref="AP290:BU290" ca="1" si="628">IF(ABS(SUM(AP288-AP278))&lt;tolerance,0,1)</f>
        <v>0</v>
      </c>
      <c r="AQ290" s="530">
        <f t="shared" ca="1" si="628"/>
        <v>0</v>
      </c>
      <c r="AR290" s="530">
        <f t="shared" ca="1" si="628"/>
        <v>0</v>
      </c>
      <c r="AS290" s="530">
        <f t="shared" ca="1" si="628"/>
        <v>0</v>
      </c>
      <c r="AT290" s="530">
        <f t="shared" ca="1" si="628"/>
        <v>0</v>
      </c>
      <c r="AU290" s="530">
        <f t="shared" ca="1" si="628"/>
        <v>0</v>
      </c>
      <c r="AV290" s="530">
        <f t="shared" ca="1" si="628"/>
        <v>0</v>
      </c>
      <c r="AW290" s="530">
        <f t="shared" ca="1" si="628"/>
        <v>0</v>
      </c>
      <c r="AX290" s="530">
        <f t="shared" ca="1" si="628"/>
        <v>0</v>
      </c>
      <c r="AY290" s="530">
        <f t="shared" ca="1" si="628"/>
        <v>0</v>
      </c>
      <c r="AZ290" s="530">
        <f t="shared" ca="1" si="628"/>
        <v>0</v>
      </c>
      <c r="BA290" s="530">
        <f t="shared" ca="1" si="628"/>
        <v>0</v>
      </c>
      <c r="BB290" s="530">
        <f t="shared" ca="1" si="628"/>
        <v>0</v>
      </c>
      <c r="BC290" s="530">
        <f t="shared" ca="1" si="628"/>
        <v>0</v>
      </c>
      <c r="BD290" s="530">
        <f t="shared" ca="1" si="628"/>
        <v>0</v>
      </c>
      <c r="BE290" s="530">
        <f t="shared" ca="1" si="628"/>
        <v>0</v>
      </c>
      <c r="BF290" s="530">
        <f t="shared" ca="1" si="628"/>
        <v>0</v>
      </c>
      <c r="BG290" s="530">
        <f t="shared" ca="1" si="628"/>
        <v>0</v>
      </c>
      <c r="BH290" s="530">
        <f t="shared" ca="1" si="628"/>
        <v>0</v>
      </c>
      <c r="BI290" s="530">
        <f t="shared" ca="1" si="628"/>
        <v>0</v>
      </c>
      <c r="BJ290" s="530">
        <f t="shared" ca="1" si="628"/>
        <v>0</v>
      </c>
      <c r="BK290" s="530">
        <f t="shared" ca="1" si="628"/>
        <v>0</v>
      </c>
      <c r="BL290" s="530">
        <f t="shared" ca="1" si="628"/>
        <v>0</v>
      </c>
      <c r="BM290" s="530">
        <f t="shared" ca="1" si="628"/>
        <v>0</v>
      </c>
      <c r="BN290" s="530">
        <f t="shared" ca="1" si="628"/>
        <v>0</v>
      </c>
      <c r="BO290" s="530">
        <f t="shared" ca="1" si="628"/>
        <v>0</v>
      </c>
      <c r="BP290" s="530">
        <f t="shared" ca="1" si="628"/>
        <v>0</v>
      </c>
      <c r="BQ290" s="530">
        <f t="shared" ca="1" si="628"/>
        <v>0</v>
      </c>
      <c r="BR290" s="530">
        <f t="shared" ca="1" si="628"/>
        <v>0</v>
      </c>
      <c r="BS290" s="530">
        <f t="shared" ca="1" si="628"/>
        <v>0</v>
      </c>
      <c r="BT290" s="530">
        <f t="shared" ca="1" si="628"/>
        <v>0</v>
      </c>
      <c r="BU290" s="530">
        <f t="shared" ca="1" si="628"/>
        <v>0</v>
      </c>
      <c r="BV290" s="530">
        <f t="shared" ref="BV290:CC290" ca="1" si="629">IF(ABS(SUM(BV288-BV278))&lt;tolerance,0,1)</f>
        <v>0</v>
      </c>
      <c r="BW290" s="530">
        <f t="shared" ca="1" si="629"/>
        <v>0</v>
      </c>
      <c r="BX290" s="530">
        <f t="shared" ca="1" si="629"/>
        <v>0</v>
      </c>
      <c r="BY290" s="530">
        <f t="shared" ca="1" si="629"/>
        <v>0</v>
      </c>
      <c r="BZ290" s="530">
        <f t="shared" ca="1" si="629"/>
        <v>0</v>
      </c>
      <c r="CA290" s="530">
        <f t="shared" ca="1" si="629"/>
        <v>0</v>
      </c>
      <c r="CB290" s="530">
        <f t="shared" ca="1" si="629"/>
        <v>0</v>
      </c>
      <c r="CC290" s="530">
        <f t="shared" ca="1" si="629"/>
        <v>0</v>
      </c>
      <c r="CD290" s="530">
        <f t="shared" ref="CD290:DY290" ca="1" si="630">IF(ABS(SUM(CD288-CD278))&lt;tolerance,0,1)</f>
        <v>0</v>
      </c>
      <c r="CE290" s="530">
        <f t="shared" ca="1" si="630"/>
        <v>0</v>
      </c>
      <c r="CF290" s="530">
        <f t="shared" ca="1" si="630"/>
        <v>0</v>
      </c>
      <c r="CG290" s="530">
        <f t="shared" ca="1" si="630"/>
        <v>0</v>
      </c>
      <c r="CH290" s="530">
        <f t="shared" ca="1" si="630"/>
        <v>0</v>
      </c>
      <c r="CI290" s="530">
        <f t="shared" ca="1" si="630"/>
        <v>0</v>
      </c>
      <c r="CJ290" s="530">
        <f t="shared" ca="1" si="630"/>
        <v>0</v>
      </c>
      <c r="CK290" s="530">
        <f t="shared" ca="1" si="630"/>
        <v>0</v>
      </c>
      <c r="CL290" s="530">
        <f t="shared" ca="1" si="630"/>
        <v>0</v>
      </c>
      <c r="CM290" s="530">
        <f t="shared" ca="1" si="630"/>
        <v>0</v>
      </c>
      <c r="CN290" s="530">
        <f t="shared" ca="1" si="630"/>
        <v>0</v>
      </c>
      <c r="CO290" s="530">
        <f t="shared" ca="1" si="630"/>
        <v>0</v>
      </c>
      <c r="CP290" s="530">
        <f t="shared" ca="1" si="630"/>
        <v>0</v>
      </c>
      <c r="CQ290" s="530">
        <f t="shared" ca="1" si="630"/>
        <v>0</v>
      </c>
      <c r="CR290" s="530">
        <f t="shared" ca="1" si="630"/>
        <v>0</v>
      </c>
      <c r="CS290" s="530">
        <f t="shared" ca="1" si="630"/>
        <v>0</v>
      </c>
      <c r="CT290" s="530">
        <f t="shared" ca="1" si="630"/>
        <v>0</v>
      </c>
      <c r="CU290" s="530">
        <f t="shared" ca="1" si="630"/>
        <v>0</v>
      </c>
      <c r="CV290" s="530">
        <f t="shared" ca="1" si="630"/>
        <v>0</v>
      </c>
      <c r="CW290" s="530">
        <f t="shared" ca="1" si="630"/>
        <v>0</v>
      </c>
      <c r="CX290" s="530">
        <f t="shared" ca="1" si="630"/>
        <v>0</v>
      </c>
      <c r="CY290" s="530">
        <f t="shared" ca="1" si="630"/>
        <v>0</v>
      </c>
      <c r="CZ290" s="530">
        <f t="shared" ca="1" si="630"/>
        <v>0</v>
      </c>
      <c r="DA290" s="530">
        <f t="shared" ca="1" si="630"/>
        <v>0</v>
      </c>
      <c r="DB290" s="530">
        <f t="shared" ca="1" si="630"/>
        <v>0</v>
      </c>
      <c r="DC290" s="530">
        <f t="shared" ca="1" si="630"/>
        <v>0</v>
      </c>
      <c r="DD290" s="530">
        <f t="shared" ca="1" si="630"/>
        <v>0</v>
      </c>
      <c r="DE290" s="530">
        <f t="shared" ca="1" si="630"/>
        <v>0</v>
      </c>
      <c r="DF290" s="530">
        <f t="shared" ca="1" si="630"/>
        <v>0</v>
      </c>
      <c r="DG290" s="530">
        <f t="shared" ca="1" si="630"/>
        <v>0</v>
      </c>
      <c r="DH290" s="530">
        <f t="shared" ca="1" si="630"/>
        <v>0</v>
      </c>
      <c r="DI290" s="530">
        <f t="shared" ca="1" si="630"/>
        <v>0</v>
      </c>
      <c r="DJ290" s="530">
        <f t="shared" ca="1" si="630"/>
        <v>0</v>
      </c>
      <c r="DK290" s="530">
        <f t="shared" ca="1" si="630"/>
        <v>0</v>
      </c>
      <c r="DL290" s="530">
        <f t="shared" ca="1" si="630"/>
        <v>0</v>
      </c>
      <c r="DM290" s="530">
        <f t="shared" ca="1" si="630"/>
        <v>0</v>
      </c>
      <c r="DN290" s="530">
        <f t="shared" ca="1" si="630"/>
        <v>0</v>
      </c>
      <c r="DO290" s="530">
        <f t="shared" ca="1" si="630"/>
        <v>0</v>
      </c>
      <c r="DP290" s="530">
        <f t="shared" ca="1" si="630"/>
        <v>0</v>
      </c>
      <c r="DQ290" s="530">
        <f t="shared" ca="1" si="630"/>
        <v>0</v>
      </c>
      <c r="DR290" s="530">
        <f t="shared" ca="1" si="630"/>
        <v>0</v>
      </c>
      <c r="DS290" s="530">
        <f t="shared" ca="1" si="630"/>
        <v>0</v>
      </c>
      <c r="DT290" s="530">
        <f t="shared" ca="1" si="630"/>
        <v>0</v>
      </c>
      <c r="DU290" s="530">
        <f t="shared" ca="1" si="630"/>
        <v>0</v>
      </c>
      <c r="DV290" s="530">
        <f t="shared" ca="1" si="630"/>
        <v>0</v>
      </c>
      <c r="DW290" s="530">
        <f t="shared" ca="1" si="630"/>
        <v>0</v>
      </c>
      <c r="DX290" s="530">
        <f t="shared" ca="1" si="630"/>
        <v>0</v>
      </c>
      <c r="DY290" s="530">
        <f t="shared" ca="1" si="630"/>
        <v>0</v>
      </c>
    </row>
    <row r="291" spans="2:129" s="404" customFormat="1" outlineLevel="1">
      <c r="G291" s="201" t="s">
        <v>545</v>
      </c>
      <c r="H291" s="528">
        <f ca="1">SUM(J291:DY291)</f>
        <v>0</v>
      </c>
      <c r="I291" s="529"/>
      <c r="J291" s="530">
        <f t="shared" ref="J291:AO291" ca="1" si="631">IF(ABS(J241-J273)&lt;tolerance,0,1)</f>
        <v>0</v>
      </c>
      <c r="K291" s="530">
        <f t="shared" ca="1" si="631"/>
        <v>0</v>
      </c>
      <c r="L291" s="530">
        <f t="shared" ca="1" si="631"/>
        <v>0</v>
      </c>
      <c r="M291" s="530">
        <f t="shared" ca="1" si="631"/>
        <v>0</v>
      </c>
      <c r="N291" s="530">
        <f t="shared" ca="1" si="631"/>
        <v>0</v>
      </c>
      <c r="O291" s="530">
        <f t="shared" ca="1" si="631"/>
        <v>0</v>
      </c>
      <c r="P291" s="530">
        <f t="shared" ca="1" si="631"/>
        <v>0</v>
      </c>
      <c r="Q291" s="530">
        <f t="shared" ca="1" si="631"/>
        <v>0</v>
      </c>
      <c r="R291" s="530">
        <f t="shared" ca="1" si="631"/>
        <v>0</v>
      </c>
      <c r="S291" s="530">
        <f t="shared" ca="1" si="631"/>
        <v>0</v>
      </c>
      <c r="T291" s="530">
        <f t="shared" ca="1" si="631"/>
        <v>0</v>
      </c>
      <c r="U291" s="530">
        <f t="shared" ca="1" si="631"/>
        <v>0</v>
      </c>
      <c r="V291" s="530">
        <f t="shared" ca="1" si="631"/>
        <v>0</v>
      </c>
      <c r="W291" s="530">
        <f t="shared" ca="1" si="631"/>
        <v>0</v>
      </c>
      <c r="X291" s="530">
        <f t="shared" ca="1" si="631"/>
        <v>0</v>
      </c>
      <c r="Y291" s="530">
        <f t="shared" ca="1" si="631"/>
        <v>0</v>
      </c>
      <c r="Z291" s="530">
        <f t="shared" ca="1" si="631"/>
        <v>0</v>
      </c>
      <c r="AA291" s="530">
        <f t="shared" ca="1" si="631"/>
        <v>0</v>
      </c>
      <c r="AB291" s="530">
        <f t="shared" ca="1" si="631"/>
        <v>0</v>
      </c>
      <c r="AC291" s="530">
        <f t="shared" ca="1" si="631"/>
        <v>0</v>
      </c>
      <c r="AD291" s="530">
        <f t="shared" ca="1" si="631"/>
        <v>0</v>
      </c>
      <c r="AE291" s="530">
        <f t="shared" ca="1" si="631"/>
        <v>0</v>
      </c>
      <c r="AF291" s="530">
        <f t="shared" ca="1" si="631"/>
        <v>0</v>
      </c>
      <c r="AG291" s="530">
        <f t="shared" ca="1" si="631"/>
        <v>0</v>
      </c>
      <c r="AH291" s="530">
        <f t="shared" ca="1" si="631"/>
        <v>0</v>
      </c>
      <c r="AI291" s="530">
        <f t="shared" ca="1" si="631"/>
        <v>0</v>
      </c>
      <c r="AJ291" s="530">
        <f t="shared" ca="1" si="631"/>
        <v>0</v>
      </c>
      <c r="AK291" s="530">
        <f t="shared" ca="1" si="631"/>
        <v>0</v>
      </c>
      <c r="AL291" s="530">
        <f t="shared" ca="1" si="631"/>
        <v>0</v>
      </c>
      <c r="AM291" s="530">
        <f t="shared" ca="1" si="631"/>
        <v>0</v>
      </c>
      <c r="AN291" s="530">
        <f t="shared" ca="1" si="631"/>
        <v>0</v>
      </c>
      <c r="AO291" s="530">
        <f t="shared" ca="1" si="631"/>
        <v>0</v>
      </c>
      <c r="AP291" s="530">
        <f t="shared" ref="AP291:BU291" ca="1" si="632">IF(ABS(AP241-AP273)&lt;tolerance,0,1)</f>
        <v>0</v>
      </c>
      <c r="AQ291" s="530">
        <f t="shared" ca="1" si="632"/>
        <v>0</v>
      </c>
      <c r="AR291" s="530">
        <f t="shared" ca="1" si="632"/>
        <v>0</v>
      </c>
      <c r="AS291" s="530">
        <f t="shared" ca="1" si="632"/>
        <v>0</v>
      </c>
      <c r="AT291" s="530">
        <f t="shared" ca="1" si="632"/>
        <v>0</v>
      </c>
      <c r="AU291" s="530">
        <f t="shared" ca="1" si="632"/>
        <v>0</v>
      </c>
      <c r="AV291" s="530">
        <f t="shared" ca="1" si="632"/>
        <v>0</v>
      </c>
      <c r="AW291" s="530">
        <f t="shared" ca="1" si="632"/>
        <v>0</v>
      </c>
      <c r="AX291" s="530">
        <f t="shared" ca="1" si="632"/>
        <v>0</v>
      </c>
      <c r="AY291" s="530">
        <f t="shared" ca="1" si="632"/>
        <v>0</v>
      </c>
      <c r="AZ291" s="530">
        <f t="shared" ca="1" si="632"/>
        <v>0</v>
      </c>
      <c r="BA291" s="530">
        <f t="shared" ca="1" si="632"/>
        <v>0</v>
      </c>
      <c r="BB291" s="530">
        <f t="shared" ca="1" si="632"/>
        <v>0</v>
      </c>
      <c r="BC291" s="530">
        <f t="shared" ca="1" si="632"/>
        <v>0</v>
      </c>
      <c r="BD291" s="530">
        <f t="shared" ca="1" si="632"/>
        <v>0</v>
      </c>
      <c r="BE291" s="530">
        <f t="shared" ca="1" si="632"/>
        <v>0</v>
      </c>
      <c r="BF291" s="530">
        <f t="shared" ca="1" si="632"/>
        <v>0</v>
      </c>
      <c r="BG291" s="530">
        <f t="shared" ca="1" si="632"/>
        <v>0</v>
      </c>
      <c r="BH291" s="530">
        <f t="shared" ca="1" si="632"/>
        <v>0</v>
      </c>
      <c r="BI291" s="530">
        <f t="shared" ca="1" si="632"/>
        <v>0</v>
      </c>
      <c r="BJ291" s="530">
        <f t="shared" ca="1" si="632"/>
        <v>0</v>
      </c>
      <c r="BK291" s="530">
        <f t="shared" ca="1" si="632"/>
        <v>0</v>
      </c>
      <c r="BL291" s="530">
        <f t="shared" ca="1" si="632"/>
        <v>0</v>
      </c>
      <c r="BM291" s="530">
        <f t="shared" ca="1" si="632"/>
        <v>0</v>
      </c>
      <c r="BN291" s="530">
        <f t="shared" ca="1" si="632"/>
        <v>0</v>
      </c>
      <c r="BO291" s="530">
        <f t="shared" ca="1" si="632"/>
        <v>0</v>
      </c>
      <c r="BP291" s="530">
        <f t="shared" ca="1" si="632"/>
        <v>0</v>
      </c>
      <c r="BQ291" s="530">
        <f t="shared" ca="1" si="632"/>
        <v>0</v>
      </c>
      <c r="BR291" s="530">
        <f t="shared" ca="1" si="632"/>
        <v>0</v>
      </c>
      <c r="BS291" s="530">
        <f t="shared" ca="1" si="632"/>
        <v>0</v>
      </c>
      <c r="BT291" s="530">
        <f t="shared" ca="1" si="632"/>
        <v>0</v>
      </c>
      <c r="BU291" s="530">
        <f t="shared" ca="1" si="632"/>
        <v>0</v>
      </c>
      <c r="BV291" s="530">
        <f t="shared" ref="BV291:DA291" ca="1" si="633">IF(ABS(BV241-BV273)&lt;tolerance,0,1)</f>
        <v>0</v>
      </c>
      <c r="BW291" s="530">
        <f t="shared" ca="1" si="633"/>
        <v>0</v>
      </c>
      <c r="BX291" s="530">
        <f t="shared" ca="1" si="633"/>
        <v>0</v>
      </c>
      <c r="BY291" s="530">
        <f t="shared" ca="1" si="633"/>
        <v>0</v>
      </c>
      <c r="BZ291" s="530">
        <f t="shared" ca="1" si="633"/>
        <v>0</v>
      </c>
      <c r="CA291" s="530">
        <f t="shared" ca="1" si="633"/>
        <v>0</v>
      </c>
      <c r="CB291" s="530">
        <f t="shared" ca="1" si="633"/>
        <v>0</v>
      </c>
      <c r="CC291" s="530">
        <f t="shared" ca="1" si="633"/>
        <v>0</v>
      </c>
      <c r="CD291" s="530">
        <f t="shared" ca="1" si="633"/>
        <v>0</v>
      </c>
      <c r="CE291" s="530">
        <f t="shared" ca="1" si="633"/>
        <v>0</v>
      </c>
      <c r="CF291" s="530">
        <f t="shared" ca="1" si="633"/>
        <v>0</v>
      </c>
      <c r="CG291" s="530">
        <f t="shared" ca="1" si="633"/>
        <v>0</v>
      </c>
      <c r="CH291" s="530">
        <f t="shared" ca="1" si="633"/>
        <v>0</v>
      </c>
      <c r="CI291" s="530">
        <f t="shared" ca="1" si="633"/>
        <v>0</v>
      </c>
      <c r="CJ291" s="530">
        <f t="shared" ca="1" si="633"/>
        <v>0</v>
      </c>
      <c r="CK291" s="530">
        <f t="shared" ca="1" si="633"/>
        <v>0</v>
      </c>
      <c r="CL291" s="530">
        <f t="shared" ca="1" si="633"/>
        <v>0</v>
      </c>
      <c r="CM291" s="530">
        <f t="shared" ca="1" si="633"/>
        <v>0</v>
      </c>
      <c r="CN291" s="530">
        <f t="shared" ca="1" si="633"/>
        <v>0</v>
      </c>
      <c r="CO291" s="530">
        <f t="shared" ca="1" si="633"/>
        <v>0</v>
      </c>
      <c r="CP291" s="530">
        <f t="shared" ca="1" si="633"/>
        <v>0</v>
      </c>
      <c r="CQ291" s="530">
        <f t="shared" ca="1" si="633"/>
        <v>0</v>
      </c>
      <c r="CR291" s="530">
        <f t="shared" ca="1" si="633"/>
        <v>0</v>
      </c>
      <c r="CS291" s="530">
        <f t="shared" ca="1" si="633"/>
        <v>0</v>
      </c>
      <c r="CT291" s="530">
        <f t="shared" ca="1" si="633"/>
        <v>0</v>
      </c>
      <c r="CU291" s="530">
        <f t="shared" ca="1" si="633"/>
        <v>0</v>
      </c>
      <c r="CV291" s="530">
        <f t="shared" ca="1" si="633"/>
        <v>0</v>
      </c>
      <c r="CW291" s="530">
        <f t="shared" ca="1" si="633"/>
        <v>0</v>
      </c>
      <c r="CX291" s="530">
        <f t="shared" ca="1" si="633"/>
        <v>0</v>
      </c>
      <c r="CY291" s="530">
        <f t="shared" ca="1" si="633"/>
        <v>0</v>
      </c>
      <c r="CZ291" s="530">
        <f t="shared" ca="1" si="633"/>
        <v>0</v>
      </c>
      <c r="DA291" s="530">
        <f t="shared" ca="1" si="633"/>
        <v>0</v>
      </c>
      <c r="DB291" s="530">
        <f t="shared" ref="DB291:DY291" ca="1" si="634">IF(ABS(DB241-DB273)&lt;tolerance,0,1)</f>
        <v>0</v>
      </c>
      <c r="DC291" s="530">
        <f t="shared" ca="1" si="634"/>
        <v>0</v>
      </c>
      <c r="DD291" s="530">
        <f t="shared" ca="1" si="634"/>
        <v>0</v>
      </c>
      <c r="DE291" s="530">
        <f t="shared" ca="1" si="634"/>
        <v>0</v>
      </c>
      <c r="DF291" s="530">
        <f t="shared" ca="1" si="634"/>
        <v>0</v>
      </c>
      <c r="DG291" s="530">
        <f t="shared" ca="1" si="634"/>
        <v>0</v>
      </c>
      <c r="DH291" s="530">
        <f t="shared" ca="1" si="634"/>
        <v>0</v>
      </c>
      <c r="DI291" s="530">
        <f t="shared" ca="1" si="634"/>
        <v>0</v>
      </c>
      <c r="DJ291" s="530">
        <f t="shared" ca="1" si="634"/>
        <v>0</v>
      </c>
      <c r="DK291" s="530">
        <f t="shared" ca="1" si="634"/>
        <v>0</v>
      </c>
      <c r="DL291" s="530">
        <f t="shared" ca="1" si="634"/>
        <v>0</v>
      </c>
      <c r="DM291" s="530">
        <f t="shared" ca="1" si="634"/>
        <v>0</v>
      </c>
      <c r="DN291" s="530">
        <f t="shared" ca="1" si="634"/>
        <v>0</v>
      </c>
      <c r="DO291" s="530">
        <f t="shared" ca="1" si="634"/>
        <v>0</v>
      </c>
      <c r="DP291" s="530">
        <f t="shared" ca="1" si="634"/>
        <v>0</v>
      </c>
      <c r="DQ291" s="530">
        <f t="shared" ca="1" si="634"/>
        <v>0</v>
      </c>
      <c r="DR291" s="530">
        <f t="shared" ca="1" si="634"/>
        <v>0</v>
      </c>
      <c r="DS291" s="530">
        <f t="shared" ca="1" si="634"/>
        <v>0</v>
      </c>
      <c r="DT291" s="530">
        <f t="shared" ca="1" si="634"/>
        <v>0</v>
      </c>
      <c r="DU291" s="530">
        <f t="shared" ca="1" si="634"/>
        <v>0</v>
      </c>
      <c r="DV291" s="530">
        <f t="shared" ca="1" si="634"/>
        <v>0</v>
      </c>
      <c r="DW291" s="530">
        <f t="shared" ca="1" si="634"/>
        <v>0</v>
      </c>
      <c r="DX291" s="530">
        <f t="shared" ca="1" si="634"/>
        <v>0</v>
      </c>
      <c r="DY291" s="530">
        <f t="shared" ca="1" si="634"/>
        <v>0</v>
      </c>
    </row>
    <row r="292" spans="2:129" s="404" customFormat="1" outlineLevel="1">
      <c r="G292" s="201" t="s">
        <v>645</v>
      </c>
      <c r="H292" s="528">
        <f ca="1">SUM(J292:DY292)</f>
        <v>0</v>
      </c>
      <c r="I292" s="529"/>
      <c r="J292" s="530">
        <f ca="1">IF(J274&gt;0,0,1)</f>
        <v>0</v>
      </c>
      <c r="K292" s="530">
        <f t="shared" ref="K292:BV292" ca="1" si="635">IF(K274&gt;0,0,1)</f>
        <v>0</v>
      </c>
      <c r="L292" s="530">
        <f t="shared" ca="1" si="635"/>
        <v>0</v>
      </c>
      <c r="M292" s="530">
        <f t="shared" ca="1" si="635"/>
        <v>0</v>
      </c>
      <c r="N292" s="530">
        <f t="shared" ca="1" si="635"/>
        <v>0</v>
      </c>
      <c r="O292" s="530">
        <f t="shared" ca="1" si="635"/>
        <v>0</v>
      </c>
      <c r="P292" s="530">
        <f t="shared" ca="1" si="635"/>
        <v>0</v>
      </c>
      <c r="Q292" s="530">
        <f t="shared" ca="1" si="635"/>
        <v>0</v>
      </c>
      <c r="R292" s="530">
        <f t="shared" ca="1" si="635"/>
        <v>0</v>
      </c>
      <c r="S292" s="530">
        <f t="shared" ca="1" si="635"/>
        <v>0</v>
      </c>
      <c r="T292" s="530">
        <f t="shared" ca="1" si="635"/>
        <v>0</v>
      </c>
      <c r="U292" s="530">
        <f t="shared" ca="1" si="635"/>
        <v>0</v>
      </c>
      <c r="V292" s="530">
        <f t="shared" ca="1" si="635"/>
        <v>0</v>
      </c>
      <c r="W292" s="530">
        <f t="shared" ca="1" si="635"/>
        <v>0</v>
      </c>
      <c r="X292" s="530">
        <f t="shared" ca="1" si="635"/>
        <v>0</v>
      </c>
      <c r="Y292" s="530">
        <f t="shared" ca="1" si="635"/>
        <v>0</v>
      </c>
      <c r="Z292" s="530">
        <f t="shared" ca="1" si="635"/>
        <v>0</v>
      </c>
      <c r="AA292" s="530">
        <f t="shared" ca="1" si="635"/>
        <v>0</v>
      </c>
      <c r="AB292" s="530">
        <f t="shared" ca="1" si="635"/>
        <v>0</v>
      </c>
      <c r="AC292" s="530">
        <f t="shared" ca="1" si="635"/>
        <v>0</v>
      </c>
      <c r="AD292" s="530">
        <f t="shared" ca="1" si="635"/>
        <v>0</v>
      </c>
      <c r="AE292" s="530">
        <f t="shared" ca="1" si="635"/>
        <v>0</v>
      </c>
      <c r="AF292" s="530">
        <f t="shared" ca="1" si="635"/>
        <v>0</v>
      </c>
      <c r="AG292" s="530">
        <f t="shared" ca="1" si="635"/>
        <v>0</v>
      </c>
      <c r="AH292" s="530">
        <f t="shared" ca="1" si="635"/>
        <v>0</v>
      </c>
      <c r="AI292" s="530">
        <f t="shared" ca="1" si="635"/>
        <v>0</v>
      </c>
      <c r="AJ292" s="530">
        <f t="shared" ca="1" si="635"/>
        <v>0</v>
      </c>
      <c r="AK292" s="530">
        <f t="shared" ca="1" si="635"/>
        <v>0</v>
      </c>
      <c r="AL292" s="530">
        <f t="shared" ca="1" si="635"/>
        <v>0</v>
      </c>
      <c r="AM292" s="530">
        <f t="shared" ca="1" si="635"/>
        <v>0</v>
      </c>
      <c r="AN292" s="530">
        <f t="shared" ca="1" si="635"/>
        <v>0</v>
      </c>
      <c r="AO292" s="530">
        <f t="shared" ca="1" si="635"/>
        <v>0</v>
      </c>
      <c r="AP292" s="530">
        <f t="shared" ca="1" si="635"/>
        <v>0</v>
      </c>
      <c r="AQ292" s="530">
        <f t="shared" ca="1" si="635"/>
        <v>0</v>
      </c>
      <c r="AR292" s="530">
        <f t="shared" ca="1" si="635"/>
        <v>0</v>
      </c>
      <c r="AS292" s="530">
        <f t="shared" ca="1" si="635"/>
        <v>0</v>
      </c>
      <c r="AT292" s="530">
        <f t="shared" ca="1" si="635"/>
        <v>0</v>
      </c>
      <c r="AU292" s="530">
        <f t="shared" ca="1" si="635"/>
        <v>0</v>
      </c>
      <c r="AV292" s="530">
        <f t="shared" ca="1" si="635"/>
        <v>0</v>
      </c>
      <c r="AW292" s="530">
        <f t="shared" ca="1" si="635"/>
        <v>0</v>
      </c>
      <c r="AX292" s="530">
        <f t="shared" ca="1" si="635"/>
        <v>0</v>
      </c>
      <c r="AY292" s="530">
        <f t="shared" ca="1" si="635"/>
        <v>0</v>
      </c>
      <c r="AZ292" s="530">
        <f t="shared" ca="1" si="635"/>
        <v>0</v>
      </c>
      <c r="BA292" s="530">
        <f t="shared" ca="1" si="635"/>
        <v>0</v>
      </c>
      <c r="BB292" s="530">
        <f t="shared" ca="1" si="635"/>
        <v>0</v>
      </c>
      <c r="BC292" s="530">
        <f t="shared" ca="1" si="635"/>
        <v>0</v>
      </c>
      <c r="BD292" s="530">
        <f t="shared" ca="1" si="635"/>
        <v>0</v>
      </c>
      <c r="BE292" s="530">
        <f t="shared" ca="1" si="635"/>
        <v>0</v>
      </c>
      <c r="BF292" s="530">
        <f t="shared" ca="1" si="635"/>
        <v>0</v>
      </c>
      <c r="BG292" s="530">
        <f t="shared" ca="1" si="635"/>
        <v>0</v>
      </c>
      <c r="BH292" s="530">
        <f t="shared" ca="1" si="635"/>
        <v>0</v>
      </c>
      <c r="BI292" s="530">
        <f t="shared" ca="1" si="635"/>
        <v>0</v>
      </c>
      <c r="BJ292" s="530">
        <f t="shared" ca="1" si="635"/>
        <v>0</v>
      </c>
      <c r="BK292" s="530">
        <f t="shared" ca="1" si="635"/>
        <v>0</v>
      </c>
      <c r="BL292" s="530">
        <f t="shared" ca="1" si="635"/>
        <v>0</v>
      </c>
      <c r="BM292" s="530">
        <f t="shared" ca="1" si="635"/>
        <v>0</v>
      </c>
      <c r="BN292" s="530">
        <f t="shared" ca="1" si="635"/>
        <v>0</v>
      </c>
      <c r="BO292" s="530">
        <f t="shared" ca="1" si="635"/>
        <v>0</v>
      </c>
      <c r="BP292" s="530">
        <f t="shared" ca="1" si="635"/>
        <v>0</v>
      </c>
      <c r="BQ292" s="530">
        <f t="shared" ca="1" si="635"/>
        <v>0</v>
      </c>
      <c r="BR292" s="530">
        <f t="shared" ca="1" si="635"/>
        <v>0</v>
      </c>
      <c r="BS292" s="530">
        <f t="shared" ca="1" si="635"/>
        <v>0</v>
      </c>
      <c r="BT292" s="530">
        <f t="shared" ca="1" si="635"/>
        <v>0</v>
      </c>
      <c r="BU292" s="530">
        <f t="shared" ca="1" si="635"/>
        <v>0</v>
      </c>
      <c r="BV292" s="530">
        <f t="shared" ca="1" si="635"/>
        <v>0</v>
      </c>
      <c r="BW292" s="530">
        <f t="shared" ref="BW292:DY292" ca="1" si="636">IF(BW274&gt;0,0,1)</f>
        <v>0</v>
      </c>
      <c r="BX292" s="530">
        <f t="shared" ca="1" si="636"/>
        <v>0</v>
      </c>
      <c r="BY292" s="530">
        <f t="shared" ca="1" si="636"/>
        <v>0</v>
      </c>
      <c r="BZ292" s="530">
        <f t="shared" ca="1" si="636"/>
        <v>0</v>
      </c>
      <c r="CA292" s="530">
        <f t="shared" ca="1" si="636"/>
        <v>0</v>
      </c>
      <c r="CB292" s="530">
        <f t="shared" ca="1" si="636"/>
        <v>0</v>
      </c>
      <c r="CC292" s="530">
        <f t="shared" ca="1" si="636"/>
        <v>0</v>
      </c>
      <c r="CD292" s="530">
        <f t="shared" ca="1" si="636"/>
        <v>0</v>
      </c>
      <c r="CE292" s="530">
        <f t="shared" ca="1" si="636"/>
        <v>0</v>
      </c>
      <c r="CF292" s="530">
        <f t="shared" ca="1" si="636"/>
        <v>0</v>
      </c>
      <c r="CG292" s="530">
        <f t="shared" ca="1" si="636"/>
        <v>0</v>
      </c>
      <c r="CH292" s="530">
        <f t="shared" ca="1" si="636"/>
        <v>0</v>
      </c>
      <c r="CI292" s="530">
        <f t="shared" ca="1" si="636"/>
        <v>0</v>
      </c>
      <c r="CJ292" s="530">
        <f t="shared" ca="1" si="636"/>
        <v>0</v>
      </c>
      <c r="CK292" s="530">
        <f t="shared" ca="1" si="636"/>
        <v>0</v>
      </c>
      <c r="CL292" s="530">
        <f t="shared" ca="1" si="636"/>
        <v>0</v>
      </c>
      <c r="CM292" s="530">
        <f t="shared" ca="1" si="636"/>
        <v>0</v>
      </c>
      <c r="CN292" s="530">
        <f t="shared" ca="1" si="636"/>
        <v>0</v>
      </c>
      <c r="CO292" s="530">
        <f t="shared" ca="1" si="636"/>
        <v>0</v>
      </c>
      <c r="CP292" s="530">
        <f t="shared" ca="1" si="636"/>
        <v>0</v>
      </c>
      <c r="CQ292" s="530">
        <f t="shared" ca="1" si="636"/>
        <v>0</v>
      </c>
      <c r="CR292" s="530">
        <f t="shared" ca="1" si="636"/>
        <v>0</v>
      </c>
      <c r="CS292" s="530">
        <f t="shared" ca="1" si="636"/>
        <v>0</v>
      </c>
      <c r="CT292" s="530">
        <f t="shared" ca="1" si="636"/>
        <v>0</v>
      </c>
      <c r="CU292" s="530">
        <f t="shared" ca="1" si="636"/>
        <v>0</v>
      </c>
      <c r="CV292" s="530">
        <f t="shared" ca="1" si="636"/>
        <v>0</v>
      </c>
      <c r="CW292" s="530">
        <f t="shared" ca="1" si="636"/>
        <v>0</v>
      </c>
      <c r="CX292" s="530">
        <f t="shared" ca="1" si="636"/>
        <v>0</v>
      </c>
      <c r="CY292" s="530">
        <f t="shared" ca="1" si="636"/>
        <v>0</v>
      </c>
      <c r="CZ292" s="530">
        <f t="shared" ca="1" si="636"/>
        <v>0</v>
      </c>
      <c r="DA292" s="530">
        <f t="shared" ca="1" si="636"/>
        <v>0</v>
      </c>
      <c r="DB292" s="530">
        <f t="shared" ca="1" si="636"/>
        <v>0</v>
      </c>
      <c r="DC292" s="530">
        <f t="shared" ca="1" si="636"/>
        <v>0</v>
      </c>
      <c r="DD292" s="530">
        <f t="shared" ca="1" si="636"/>
        <v>0</v>
      </c>
      <c r="DE292" s="530">
        <f t="shared" ca="1" si="636"/>
        <v>0</v>
      </c>
      <c r="DF292" s="530">
        <f t="shared" ca="1" si="636"/>
        <v>0</v>
      </c>
      <c r="DG292" s="530">
        <f t="shared" ca="1" si="636"/>
        <v>0</v>
      </c>
      <c r="DH292" s="530">
        <f t="shared" ca="1" si="636"/>
        <v>0</v>
      </c>
      <c r="DI292" s="530">
        <f t="shared" ca="1" si="636"/>
        <v>0</v>
      </c>
      <c r="DJ292" s="530">
        <f t="shared" ca="1" si="636"/>
        <v>0</v>
      </c>
      <c r="DK292" s="530">
        <f t="shared" ca="1" si="636"/>
        <v>0</v>
      </c>
      <c r="DL292" s="530">
        <f t="shared" ca="1" si="636"/>
        <v>0</v>
      </c>
      <c r="DM292" s="530">
        <f t="shared" ca="1" si="636"/>
        <v>0</v>
      </c>
      <c r="DN292" s="530">
        <f t="shared" ca="1" si="636"/>
        <v>0</v>
      </c>
      <c r="DO292" s="530">
        <f t="shared" ca="1" si="636"/>
        <v>0</v>
      </c>
      <c r="DP292" s="530">
        <f t="shared" ca="1" si="636"/>
        <v>0</v>
      </c>
      <c r="DQ292" s="530">
        <f t="shared" ca="1" si="636"/>
        <v>0</v>
      </c>
      <c r="DR292" s="530">
        <f t="shared" ca="1" si="636"/>
        <v>0</v>
      </c>
      <c r="DS292" s="530">
        <f t="shared" ca="1" si="636"/>
        <v>0</v>
      </c>
      <c r="DT292" s="530">
        <f t="shared" ca="1" si="636"/>
        <v>0</v>
      </c>
      <c r="DU292" s="530">
        <f t="shared" ca="1" si="636"/>
        <v>0</v>
      </c>
      <c r="DV292" s="530">
        <f t="shared" ca="1" si="636"/>
        <v>0</v>
      </c>
      <c r="DW292" s="530">
        <f t="shared" ca="1" si="636"/>
        <v>0</v>
      </c>
      <c r="DX292" s="530">
        <f t="shared" ca="1" si="636"/>
        <v>0</v>
      </c>
      <c r="DY292" s="530">
        <f t="shared" ca="1" si="636"/>
        <v>0</v>
      </c>
    </row>
    <row r="293" spans="2:129" s="404" customFormat="1">
      <c r="G293" s="201"/>
      <c r="H293" s="528"/>
      <c r="I293" s="529"/>
      <c r="J293" s="530"/>
      <c r="K293" s="530"/>
      <c r="L293" s="530"/>
      <c r="M293" s="530"/>
      <c r="N293" s="530"/>
      <c r="O293" s="530"/>
      <c r="P293" s="530"/>
      <c r="Q293" s="530"/>
      <c r="R293" s="530"/>
      <c r="S293" s="530"/>
      <c r="T293" s="530"/>
      <c r="U293" s="530"/>
      <c r="V293" s="530"/>
      <c r="W293" s="530"/>
      <c r="X293" s="530"/>
      <c r="Y293" s="530"/>
      <c r="Z293" s="530"/>
      <c r="AA293" s="530"/>
      <c r="AB293" s="530"/>
      <c r="AC293" s="530"/>
      <c r="AD293" s="530"/>
      <c r="AE293" s="530"/>
      <c r="AF293" s="530"/>
      <c r="AG293" s="530"/>
      <c r="AH293" s="530"/>
      <c r="AI293" s="530"/>
      <c r="AJ293" s="530"/>
      <c r="AK293" s="530"/>
      <c r="AL293" s="530"/>
      <c r="AM293" s="530"/>
      <c r="AN293" s="530"/>
      <c r="AO293" s="530"/>
      <c r="AP293" s="530"/>
      <c r="AQ293" s="530"/>
      <c r="AR293" s="530"/>
      <c r="AS293" s="530"/>
      <c r="AT293" s="530"/>
      <c r="AU293" s="530"/>
      <c r="AV293" s="530"/>
      <c r="AW293" s="530"/>
      <c r="AX293" s="530"/>
      <c r="AY293" s="530"/>
      <c r="AZ293" s="530"/>
      <c r="BA293" s="530"/>
      <c r="BB293" s="530"/>
      <c r="BC293" s="530"/>
      <c r="BD293" s="530"/>
      <c r="BE293" s="530"/>
      <c r="BF293" s="530"/>
      <c r="BG293" s="530"/>
      <c r="BH293" s="530"/>
      <c r="BI293" s="530"/>
      <c r="BJ293" s="530"/>
      <c r="BK293" s="530"/>
      <c r="BL293" s="530"/>
      <c r="BM293" s="530"/>
      <c r="BN293" s="530"/>
      <c r="BO293" s="530"/>
      <c r="BP293" s="530"/>
      <c r="BQ293" s="530"/>
      <c r="BR293" s="530"/>
      <c r="BS293" s="530"/>
      <c r="BT293" s="530"/>
      <c r="BU293" s="530"/>
      <c r="BV293" s="530"/>
      <c r="BW293" s="530"/>
      <c r="BX293" s="530"/>
      <c r="BY293" s="530"/>
      <c r="BZ293" s="530"/>
      <c r="CA293" s="530"/>
      <c r="CB293" s="530"/>
      <c r="CC293" s="530"/>
      <c r="CD293" s="530"/>
      <c r="CE293" s="530"/>
      <c r="CF293" s="530"/>
      <c r="CG293" s="530"/>
      <c r="CH293" s="530"/>
      <c r="CI293" s="530"/>
      <c r="CJ293" s="530"/>
      <c r="CK293" s="530"/>
      <c r="CL293" s="530"/>
      <c r="CM293" s="530"/>
      <c r="CN293" s="530"/>
      <c r="CO293" s="530"/>
      <c r="CP293" s="530"/>
      <c r="CQ293" s="530"/>
      <c r="CR293" s="530"/>
      <c r="CS293" s="530"/>
      <c r="CT293" s="530"/>
      <c r="CU293" s="530"/>
      <c r="CV293" s="530"/>
      <c r="CW293" s="530"/>
      <c r="CX293" s="530"/>
      <c r="CY293" s="530"/>
      <c r="CZ293" s="530"/>
      <c r="DA293" s="530"/>
      <c r="DB293" s="530"/>
      <c r="DC293" s="530"/>
      <c r="DD293" s="530"/>
      <c r="DE293" s="530"/>
      <c r="DF293" s="530"/>
      <c r="DG293" s="530"/>
      <c r="DH293" s="530"/>
      <c r="DI293" s="530"/>
      <c r="DJ293" s="530"/>
      <c r="DK293" s="530"/>
      <c r="DL293" s="530"/>
      <c r="DM293" s="530"/>
      <c r="DN293" s="530"/>
      <c r="DO293" s="530"/>
      <c r="DP293" s="530"/>
      <c r="DQ293" s="530"/>
      <c r="DR293" s="530"/>
      <c r="DS293" s="530"/>
      <c r="DT293" s="530"/>
      <c r="DU293" s="530"/>
      <c r="DV293" s="530"/>
      <c r="DW293" s="530"/>
      <c r="DX293" s="530"/>
      <c r="DY293" s="530"/>
    </row>
    <row r="294" spans="2:129" s="404" customFormat="1">
      <c r="B294" s="572" t="s">
        <v>186</v>
      </c>
      <c r="C294" s="572"/>
      <c r="D294" s="573"/>
      <c r="E294" s="573"/>
      <c r="F294" s="573"/>
      <c r="G294" s="574"/>
      <c r="H294" s="575"/>
      <c r="I294" s="576"/>
      <c r="J294" s="577"/>
      <c r="K294" s="577"/>
      <c r="L294" s="577"/>
      <c r="M294" s="577"/>
      <c r="N294" s="577"/>
      <c r="O294" s="577"/>
      <c r="P294" s="577"/>
      <c r="Q294" s="577"/>
      <c r="R294" s="577"/>
      <c r="S294" s="577"/>
      <c r="T294" s="577"/>
      <c r="U294" s="577"/>
      <c r="V294" s="577"/>
      <c r="W294" s="577"/>
      <c r="X294" s="577"/>
      <c r="Y294" s="577"/>
      <c r="Z294" s="577"/>
      <c r="AA294" s="577"/>
      <c r="AB294" s="577"/>
      <c r="AC294" s="577"/>
      <c r="AD294" s="577"/>
      <c r="AE294" s="577"/>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c r="CS294" s="577"/>
      <c r="CT294" s="577"/>
      <c r="CU294" s="577"/>
      <c r="CV294" s="577"/>
      <c r="CW294" s="577"/>
      <c r="CX294" s="577"/>
      <c r="CY294" s="577"/>
      <c r="CZ294" s="577"/>
      <c r="DA294" s="577"/>
      <c r="DB294" s="577"/>
      <c r="DC294" s="577"/>
      <c r="DD294" s="577"/>
      <c r="DE294" s="577"/>
      <c r="DF294" s="577"/>
      <c r="DG294" s="577"/>
      <c r="DH294" s="577"/>
      <c r="DI294" s="577"/>
      <c r="DJ294" s="577"/>
      <c r="DK294" s="577"/>
      <c r="DL294" s="577"/>
      <c r="DM294" s="577"/>
      <c r="DN294" s="577"/>
      <c r="DO294" s="577"/>
      <c r="DP294" s="577"/>
      <c r="DQ294" s="577"/>
      <c r="DR294" s="577"/>
      <c r="DS294" s="577"/>
      <c r="DT294" s="577"/>
      <c r="DU294" s="577"/>
      <c r="DV294" s="577"/>
      <c r="DW294" s="577"/>
      <c r="DX294" s="577"/>
      <c r="DY294" s="577"/>
    </row>
    <row r="295" spans="2:129" s="404" customFormat="1" outlineLevel="1">
      <c r="G295" s="201"/>
      <c r="H295" s="528"/>
      <c r="I295" s="529"/>
      <c r="J295" s="530"/>
      <c r="K295" s="530"/>
      <c r="L295" s="530"/>
      <c r="M295" s="530"/>
      <c r="N295" s="530"/>
      <c r="O295" s="530"/>
      <c r="P295" s="530"/>
      <c r="Q295" s="530"/>
      <c r="R295" s="530"/>
      <c r="S295" s="530"/>
      <c r="T295" s="530"/>
      <c r="U295" s="530"/>
      <c r="V295" s="530"/>
      <c r="W295" s="530"/>
      <c r="X295" s="530"/>
      <c r="Y295" s="530"/>
      <c r="Z295" s="530"/>
      <c r="AA295" s="530"/>
      <c r="AB295" s="530"/>
      <c r="AC295" s="530"/>
      <c r="AD295" s="530"/>
      <c r="AE295" s="530"/>
      <c r="AF295" s="530"/>
      <c r="AG295" s="530"/>
      <c r="AH295" s="530"/>
      <c r="AI295" s="530"/>
      <c r="AJ295" s="530"/>
      <c r="AK295" s="530"/>
      <c r="AL295" s="530"/>
      <c r="AM295" s="530"/>
      <c r="AN295" s="530"/>
      <c r="AO295" s="530"/>
      <c r="AP295" s="530"/>
      <c r="AQ295" s="530"/>
      <c r="AR295" s="530"/>
      <c r="AS295" s="530"/>
      <c r="AT295" s="530"/>
      <c r="AU295" s="530"/>
      <c r="AV295" s="530"/>
      <c r="AW295" s="530"/>
      <c r="AX295" s="530"/>
      <c r="AY295" s="530"/>
      <c r="AZ295" s="530"/>
      <c r="BA295" s="530"/>
      <c r="BB295" s="530"/>
      <c r="BC295" s="530"/>
      <c r="BD295" s="530"/>
      <c r="BE295" s="530"/>
      <c r="BF295" s="530"/>
      <c r="BG295" s="530"/>
      <c r="BH295" s="530"/>
      <c r="BI295" s="530"/>
      <c r="BJ295" s="530"/>
      <c r="BK295" s="530"/>
      <c r="BL295" s="530"/>
      <c r="BM295" s="530"/>
      <c r="BN295" s="530"/>
      <c r="BO295" s="530"/>
      <c r="BP295" s="530"/>
      <c r="BQ295" s="530"/>
      <c r="BR295" s="530"/>
      <c r="BS295" s="530"/>
      <c r="BT295" s="530"/>
      <c r="BU295" s="530"/>
      <c r="BV295" s="530"/>
      <c r="BW295" s="530"/>
      <c r="BX295" s="530"/>
      <c r="BY295" s="530"/>
      <c r="BZ295" s="530"/>
      <c r="CA295" s="530"/>
      <c r="CB295" s="530"/>
      <c r="CC295" s="530"/>
      <c r="CD295" s="530"/>
      <c r="CE295" s="530"/>
      <c r="CF295" s="530"/>
      <c r="CG295" s="530"/>
      <c r="CH295" s="530"/>
      <c r="CI295" s="530"/>
      <c r="CJ295" s="530"/>
      <c r="CK295" s="530"/>
      <c r="CL295" s="530"/>
      <c r="CM295" s="530"/>
      <c r="CN295" s="530"/>
      <c r="CO295" s="530"/>
      <c r="CP295" s="530"/>
      <c r="CQ295" s="530"/>
      <c r="CR295" s="530"/>
      <c r="CS295" s="530"/>
      <c r="CT295" s="530"/>
      <c r="CU295" s="530"/>
      <c r="CV295" s="530"/>
      <c r="CW295" s="530"/>
      <c r="CX295" s="530"/>
      <c r="CY295" s="530"/>
      <c r="CZ295" s="530"/>
      <c r="DA295" s="530"/>
      <c r="DB295" s="530"/>
      <c r="DC295" s="530"/>
      <c r="DD295" s="530"/>
      <c r="DE295" s="530"/>
      <c r="DF295" s="530"/>
      <c r="DG295" s="530"/>
      <c r="DH295" s="530"/>
      <c r="DI295" s="530"/>
      <c r="DJ295" s="530"/>
      <c r="DK295" s="530"/>
      <c r="DL295" s="530"/>
      <c r="DM295" s="530"/>
      <c r="DN295" s="530"/>
      <c r="DO295" s="530"/>
      <c r="DP295" s="530"/>
      <c r="DQ295" s="530"/>
      <c r="DR295" s="530"/>
      <c r="DS295" s="530"/>
      <c r="DT295" s="530"/>
      <c r="DU295" s="530"/>
      <c r="DV295" s="530"/>
      <c r="DW295" s="530"/>
      <c r="DX295" s="530"/>
      <c r="DY295" s="530"/>
    </row>
    <row r="296" spans="2:129" outlineLevel="1">
      <c r="C296" s="120" t="s">
        <v>192</v>
      </c>
      <c r="D296" s="120"/>
      <c r="E296" s="120"/>
      <c r="F296" s="120"/>
      <c r="G296" s="120"/>
      <c r="H296" s="120"/>
      <c r="I296" s="451"/>
      <c r="J296" s="120"/>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c r="CA296" s="139"/>
      <c r="CB296" s="139"/>
      <c r="CC296" s="139"/>
      <c r="CD296" s="139"/>
      <c r="CE296" s="139"/>
      <c r="CF296" s="139"/>
      <c r="CG296" s="139"/>
      <c r="CH296" s="139"/>
      <c r="CI296" s="139"/>
      <c r="CJ296" s="139"/>
      <c r="CK296" s="139"/>
      <c r="CL296" s="139"/>
      <c r="CM296" s="139"/>
      <c r="CN296" s="139"/>
      <c r="CO296" s="139"/>
      <c r="CP296" s="139"/>
      <c r="CQ296" s="139"/>
      <c r="CR296" s="139"/>
      <c r="CS296" s="139"/>
      <c r="CT296" s="139"/>
      <c r="CU296" s="139"/>
      <c r="CV296" s="139"/>
      <c r="CW296" s="139"/>
      <c r="CX296" s="139"/>
      <c r="CY296" s="139"/>
      <c r="CZ296" s="139"/>
      <c r="DA296" s="139"/>
      <c r="DB296" s="139"/>
      <c r="DC296" s="139"/>
      <c r="DD296" s="139"/>
      <c r="DE296" s="139"/>
      <c r="DF296" s="139"/>
      <c r="DG296" s="139"/>
      <c r="DH296" s="139"/>
      <c r="DI296" s="139"/>
      <c r="DJ296" s="139"/>
      <c r="DK296" s="139"/>
      <c r="DL296" s="139"/>
      <c r="DM296" s="139"/>
      <c r="DN296" s="139"/>
      <c r="DO296" s="139"/>
      <c r="DP296" s="139"/>
      <c r="DQ296" s="139"/>
      <c r="DR296" s="139"/>
      <c r="DS296" s="139"/>
      <c r="DT296" s="139"/>
      <c r="DU296" s="139"/>
      <c r="DV296" s="139"/>
      <c r="DW296" s="139"/>
      <c r="DX296" s="139"/>
      <c r="DY296" s="139"/>
    </row>
    <row r="297" spans="2:129" outlineLevel="1">
      <c r="D297" s="5" t="s">
        <v>81</v>
      </c>
      <c r="I297" s="443"/>
      <c r="J297" s="150">
        <f ca="1">_TotalNewInstallations</f>
        <v>488.707417578763</v>
      </c>
      <c r="K297" s="150">
        <f t="shared" ref="K297:AO297" ca="1" si="637">_TotalNewInstallations</f>
        <v>498.09141757876313</v>
      </c>
      <c r="L297" s="150">
        <f t="shared" ca="1" si="637"/>
        <v>507.66309757876309</v>
      </c>
      <c r="M297" s="150">
        <f t="shared" ca="1" si="637"/>
        <v>517.42621117876308</v>
      </c>
      <c r="N297" s="150">
        <f t="shared" ca="1" si="637"/>
        <v>527.38458705076312</v>
      </c>
      <c r="O297" s="150">
        <f t="shared" ca="1" si="637"/>
        <v>537.5421304402031</v>
      </c>
      <c r="P297" s="150">
        <f t="shared" ca="1" si="637"/>
        <v>547.90282469743181</v>
      </c>
      <c r="Q297" s="150">
        <f t="shared" ca="1" si="637"/>
        <v>558.47073283980535</v>
      </c>
      <c r="R297" s="150">
        <f t="shared" ca="1" si="637"/>
        <v>569.24999914502609</v>
      </c>
      <c r="S297" s="150">
        <f t="shared" ca="1" si="637"/>
        <v>580.24485077635143</v>
      </c>
      <c r="T297" s="150">
        <f t="shared" ca="1" si="637"/>
        <v>591.45959944030324</v>
      </c>
      <c r="U297" s="150">
        <f t="shared" ca="1" si="637"/>
        <v>602.89864307753396</v>
      </c>
      <c r="V297" s="150">
        <f t="shared" ca="1" si="637"/>
        <v>616.87578446538555</v>
      </c>
      <c r="W297" s="150">
        <f t="shared" ca="1" si="637"/>
        <v>628.95778797939056</v>
      </c>
      <c r="X297" s="150">
        <f t="shared" ca="1" si="637"/>
        <v>641.28143156367571</v>
      </c>
      <c r="Y297" s="150">
        <f t="shared" ca="1" si="637"/>
        <v>653.85154801964666</v>
      </c>
      <c r="Z297" s="150">
        <f t="shared" ca="1" si="637"/>
        <v>666.67306680473689</v>
      </c>
      <c r="AA297" s="150">
        <f t="shared" ca="1" si="637"/>
        <v>679.75101596552895</v>
      </c>
      <c r="AB297" s="150">
        <f t="shared" ca="1" si="637"/>
        <v>693.09052410953677</v>
      </c>
      <c r="AC297" s="150">
        <f t="shared" ca="1" si="637"/>
        <v>706.69682241642488</v>
      </c>
      <c r="AD297" s="150">
        <f t="shared" ca="1" si="637"/>
        <v>720.57524668945075</v>
      </c>
      <c r="AE297" s="150">
        <f t="shared" ca="1" si="637"/>
        <v>734.73123944793701</v>
      </c>
      <c r="AF297" s="150">
        <f t="shared" ca="1" si="637"/>
        <v>749.17035206159301</v>
      </c>
      <c r="AG297" s="150">
        <f t="shared" ca="1" si="637"/>
        <v>763.89824692752222</v>
      </c>
      <c r="AH297" s="150">
        <f t="shared" ca="1" si="637"/>
        <v>793.81613560054961</v>
      </c>
      <c r="AI297" s="150">
        <f t="shared" ca="1" si="637"/>
        <v>809.63590027530893</v>
      </c>
      <c r="AJ297" s="150">
        <f t="shared" ca="1" si="637"/>
        <v>825.77206024356326</v>
      </c>
      <c r="AK297" s="150">
        <f t="shared" ca="1" si="637"/>
        <v>842.23094341118269</v>
      </c>
      <c r="AL297" s="150">
        <f t="shared" ca="1" si="637"/>
        <v>859.01900424215444</v>
      </c>
      <c r="AM297" s="150">
        <f t="shared" ca="1" si="637"/>
        <v>876.14282628974581</v>
      </c>
      <c r="AN297" s="150">
        <f t="shared" ca="1" si="637"/>
        <v>895.5549707915045</v>
      </c>
      <c r="AO297" s="150">
        <f t="shared" ca="1" si="637"/>
        <v>913.44604468790408</v>
      </c>
      <c r="AP297" s="150">
        <f t="shared" ref="AP297:BU297" ca="1" si="638">_TotalNewInstallations</f>
        <v>931.69494006223181</v>
      </c>
      <c r="AQ297" s="150">
        <f t="shared" ca="1" si="638"/>
        <v>950.30881334404592</v>
      </c>
      <c r="AR297" s="150">
        <f t="shared" ca="1" si="638"/>
        <v>969.29496409149647</v>
      </c>
      <c r="AS297" s="150">
        <f t="shared" ca="1" si="638"/>
        <v>988.66083785389583</v>
      </c>
      <c r="AT297" s="150">
        <f t="shared" ca="1" si="638"/>
        <v>1008.4321728894547</v>
      </c>
      <c r="AU297" s="150">
        <f t="shared" ca="1" si="638"/>
        <v>1028.5818486348198</v>
      </c>
      <c r="AV297" s="150">
        <f t="shared" ca="1" si="638"/>
        <v>1049.1345178950924</v>
      </c>
      <c r="AW297" s="150">
        <f t="shared" ca="1" si="638"/>
        <v>1070.0982405405703</v>
      </c>
      <c r="AX297" s="150">
        <f t="shared" ca="1" si="638"/>
        <v>1091.4812376389577</v>
      </c>
      <c r="AY297" s="150">
        <f t="shared" ca="1" si="638"/>
        <v>1113.2918946793131</v>
      </c>
      <c r="AZ297" s="150">
        <f t="shared" ca="1" si="638"/>
        <v>1135.5387648604753</v>
      </c>
      <c r="BA297" s="150">
        <f t="shared" ca="1" si="638"/>
        <v>1158.230572445261</v>
      </c>
      <c r="BB297" s="150">
        <f t="shared" ca="1" si="638"/>
        <v>1181.3762161817424</v>
      </c>
      <c r="BC297" s="150">
        <f t="shared" ca="1" si="638"/>
        <v>1204.9847727929532</v>
      </c>
      <c r="BD297" s="150">
        <f t="shared" ca="1" si="638"/>
        <v>1229.0655005363885</v>
      </c>
      <c r="BE297" s="150">
        <f t="shared" ca="1" si="638"/>
        <v>1253.6278428346923</v>
      </c>
      <c r="BF297" s="150">
        <f t="shared" ca="1" si="638"/>
        <v>1279.8372596689874</v>
      </c>
      <c r="BG297" s="150">
        <f t="shared" ca="1" si="638"/>
        <v>1305.4298246799569</v>
      </c>
      <c r="BH297" s="150">
        <f t="shared" ca="1" si="638"/>
        <v>1331.5342409911464</v>
      </c>
      <c r="BI297" s="150">
        <f t="shared" ca="1" si="638"/>
        <v>1358.160745628559</v>
      </c>
      <c r="BJ297" s="150">
        <f t="shared" ca="1" si="638"/>
        <v>1385.3197803587204</v>
      </c>
      <c r="BK297" s="150">
        <f t="shared" ca="1" si="638"/>
        <v>1413.0219957834847</v>
      </c>
      <c r="BL297" s="150">
        <f t="shared" ca="1" si="638"/>
        <v>1441.2782555167446</v>
      </c>
      <c r="BM297" s="150">
        <f t="shared" ca="1" si="638"/>
        <v>1470.0996404446696</v>
      </c>
      <c r="BN297" s="150">
        <f t="shared" ca="1" si="638"/>
        <v>1499.4974530711531</v>
      </c>
      <c r="BO297" s="150">
        <f t="shared" ca="1" si="638"/>
        <v>1529.4832219501661</v>
      </c>
      <c r="BP297" s="150">
        <f t="shared" ca="1" si="638"/>
        <v>1560.0687062067595</v>
      </c>
      <c r="BQ297" s="150">
        <f t="shared" ca="1" si="638"/>
        <v>1591.2659001484849</v>
      </c>
      <c r="BR297" s="150">
        <f t="shared" ca="1" si="638"/>
        <v>1593.0456315701899</v>
      </c>
      <c r="BS297" s="150">
        <f t="shared" ca="1" si="638"/>
        <v>1594.7195913888875</v>
      </c>
      <c r="BT297" s="150">
        <f t="shared" ca="1" si="638"/>
        <v>1596.4270304039592</v>
      </c>
      <c r="BU297" s="150">
        <f t="shared" ca="1" si="638"/>
        <v>1598.1686181993323</v>
      </c>
      <c r="BV297" s="150">
        <f t="shared" ref="BV297:DY297" ca="1" si="639">_TotalNewInstallations</f>
        <v>1599.9450377506128</v>
      </c>
      <c r="BW297" s="150">
        <f t="shared" ca="1" si="639"/>
        <v>1601.7569856929192</v>
      </c>
      <c r="BX297" s="150">
        <f t="shared" ca="1" si="639"/>
        <v>1603.6051725940715</v>
      </c>
      <c r="BY297" s="150">
        <f t="shared" ca="1" si="639"/>
        <v>1605.490323233247</v>
      </c>
      <c r="BZ297" s="150">
        <f t="shared" ca="1" si="639"/>
        <v>1607.4131768852058</v>
      </c>
      <c r="CA297" s="150">
        <f t="shared" ca="1" si="639"/>
        <v>1609.3744876102037</v>
      </c>
      <c r="CB297" s="150">
        <f t="shared" ca="1" si="639"/>
        <v>1611.3750245497019</v>
      </c>
      <c r="CC297" s="150">
        <f t="shared" ca="1" si="639"/>
        <v>1613.41557222799</v>
      </c>
      <c r="CD297" s="150">
        <f t="shared" ca="1" si="639"/>
        <v>1615.0059767837881</v>
      </c>
      <c r="CE297" s="150">
        <f t="shared" ca="1" si="639"/>
        <v>1616.5386474897414</v>
      </c>
      <c r="CF297" s="150">
        <f t="shared" ca="1" si="639"/>
        <v>1618.1019716098135</v>
      </c>
      <c r="CG297" s="150">
        <f t="shared" ca="1" si="639"/>
        <v>1619.6965622122871</v>
      </c>
      <c r="CH297" s="150">
        <f t="shared" ca="1" si="639"/>
        <v>1621.3230446268101</v>
      </c>
      <c r="CI297" s="150">
        <f t="shared" ca="1" si="639"/>
        <v>1622.9820566896237</v>
      </c>
      <c r="CJ297" s="150">
        <f t="shared" ca="1" si="639"/>
        <v>1624.6742489936935</v>
      </c>
      <c r="CK297" s="150">
        <f t="shared" ca="1" si="639"/>
        <v>1626.4002851438449</v>
      </c>
      <c r="CL297" s="150">
        <f t="shared" ca="1" si="639"/>
        <v>1628.1608420169991</v>
      </c>
      <c r="CM297" s="150">
        <f t="shared" ca="1" si="639"/>
        <v>1629.9566100276165</v>
      </c>
      <c r="CN297" s="150">
        <f t="shared" ca="1" si="639"/>
        <v>1631.7882933984463</v>
      </c>
      <c r="CO297" s="150">
        <f t="shared" ca="1" si="639"/>
        <v>1633.6566104366923</v>
      </c>
      <c r="CP297" s="150">
        <f t="shared" ca="1" si="639"/>
        <v>1633.9640377504672</v>
      </c>
      <c r="CQ297" s="150">
        <f t="shared" ca="1" si="639"/>
        <v>1634.2776125558162</v>
      </c>
      <c r="CR297" s="150">
        <f t="shared" ca="1" si="639"/>
        <v>1634.5974588572717</v>
      </c>
      <c r="CS297" s="150">
        <f t="shared" ca="1" si="639"/>
        <v>1634.9237020847568</v>
      </c>
      <c r="CT297" s="150">
        <f t="shared" ca="1" si="639"/>
        <v>1635.2564701767915</v>
      </c>
      <c r="CU297" s="150">
        <f t="shared" ca="1" si="639"/>
        <v>1635.595893630667</v>
      </c>
      <c r="CV297" s="150">
        <f t="shared" ca="1" si="639"/>
        <v>1635.7100544094064</v>
      </c>
      <c r="CW297" s="150">
        <f t="shared" ca="1" si="639"/>
        <v>1635.8160514681069</v>
      </c>
      <c r="CX297" s="150">
        <f t="shared" ca="1" si="639"/>
        <v>1635.9241684679814</v>
      </c>
      <c r="CY297" s="150">
        <f t="shared" ca="1" si="639"/>
        <v>1636.034447807853</v>
      </c>
      <c r="CZ297" s="150">
        <f t="shared" ca="1" si="639"/>
        <v>1636.1469327345226</v>
      </c>
      <c r="DA297" s="150">
        <f t="shared" ca="1" si="639"/>
        <v>1636.2616673597252</v>
      </c>
      <c r="DB297" s="150">
        <f t="shared" ca="1" si="639"/>
        <v>1636.3812517531644</v>
      </c>
      <c r="DC297" s="150">
        <f t="shared" ca="1" si="639"/>
        <v>1636.4961935612866</v>
      </c>
      <c r="DD297" s="150">
        <f t="shared" ca="1" si="639"/>
        <v>1636.6134342055714</v>
      </c>
      <c r="DE297" s="150">
        <f t="shared" ca="1" si="639"/>
        <v>1636.733019662742</v>
      </c>
      <c r="DF297" s="150">
        <f t="shared" ca="1" si="639"/>
        <v>1636.8549968290561</v>
      </c>
      <c r="DG297" s="150">
        <f t="shared" ca="1" si="639"/>
        <v>1636.9794135386962</v>
      </c>
      <c r="DH297" s="150">
        <f t="shared" ca="1" si="639"/>
        <v>1637.1063185825294</v>
      </c>
      <c r="DI297" s="150">
        <f t="shared" ca="1" si="639"/>
        <v>1637.2357617272387</v>
      </c>
      <c r="DJ297" s="150">
        <f t="shared" ca="1" si="639"/>
        <v>1637.367793734843</v>
      </c>
      <c r="DK297" s="150">
        <f t="shared" ca="1" si="639"/>
        <v>1637.5024663825989</v>
      </c>
      <c r="DL297" s="150">
        <f t="shared" ca="1" si="639"/>
        <v>1637.6398324833099</v>
      </c>
      <c r="DM297" s="150">
        <f t="shared" ca="1" si="639"/>
        <v>1637.7799459060352</v>
      </c>
      <c r="DN297" s="150">
        <f t="shared" ca="1" si="639"/>
        <v>1637.8009356589557</v>
      </c>
      <c r="DO297" s="150">
        <f t="shared" ca="1" si="639"/>
        <v>1637.8223451986482</v>
      </c>
      <c r="DP297" s="150">
        <f t="shared" ca="1" si="639"/>
        <v>1637.8441829291348</v>
      </c>
      <c r="DQ297" s="150">
        <f t="shared" ca="1" si="639"/>
        <v>1637.866457414231</v>
      </c>
      <c r="DR297" s="150">
        <f t="shared" ca="1" si="639"/>
        <v>1637.8891773890289</v>
      </c>
      <c r="DS297" s="150">
        <f t="shared" ca="1" si="639"/>
        <v>1637.9123517633229</v>
      </c>
      <c r="DT297" s="150">
        <f t="shared" ca="1" si="639"/>
        <v>1637.9359896251028</v>
      </c>
      <c r="DU297" s="150">
        <f t="shared" ca="1" si="639"/>
        <v>1637.9601002441182</v>
      </c>
      <c r="DV297" s="150">
        <f t="shared" ca="1" si="639"/>
        <v>1637.9846930755141</v>
      </c>
      <c r="DW297" s="150">
        <f t="shared" ca="1" si="639"/>
        <v>1638.0097777635378</v>
      </c>
      <c r="DX297" s="150">
        <f t="shared" ca="1" si="639"/>
        <v>1638.0353641453221</v>
      </c>
      <c r="DY297" s="150">
        <f t="shared" ca="1" si="639"/>
        <v>1638.0614622547419</v>
      </c>
    </row>
    <row r="298" spans="2:129" outlineLevel="1">
      <c r="D298" s="5" t="s">
        <v>105</v>
      </c>
      <c r="J298" s="150">
        <f ca="1">_TotalInstalledAssets</f>
        <v>9488.707417578762</v>
      </c>
      <c r="K298" s="150">
        <f t="shared" ref="K298:AO298" ca="1" si="640">_TotalInstalledAssets</f>
        <v>9986.7988351575259</v>
      </c>
      <c r="L298" s="150">
        <f t="shared" ca="1" si="640"/>
        <v>10494.461932736289</v>
      </c>
      <c r="M298" s="150">
        <f t="shared" ca="1" si="640"/>
        <v>11011.888143915052</v>
      </c>
      <c r="N298" s="150">
        <f t="shared" ca="1" si="640"/>
        <v>11539.272730965815</v>
      </c>
      <c r="O298" s="150">
        <f t="shared" ca="1" si="640"/>
        <v>12076.814861406019</v>
      </c>
      <c r="P298" s="150">
        <f t="shared" ca="1" si="640"/>
        <v>12624.71768610345</v>
      </c>
      <c r="Q298" s="150">
        <f t="shared" ca="1" si="640"/>
        <v>13183.188418943257</v>
      </c>
      <c r="R298" s="150">
        <f t="shared" ca="1" si="640"/>
        <v>13752.438418088283</v>
      </c>
      <c r="S298" s="150">
        <f t="shared" ca="1" si="640"/>
        <v>14332.683268864634</v>
      </c>
      <c r="T298" s="150">
        <f t="shared" ca="1" si="640"/>
        <v>14924.142868304936</v>
      </c>
      <c r="U298" s="150">
        <f t="shared" ca="1" si="640"/>
        <v>15527.041511382471</v>
      </c>
      <c r="V298" s="150">
        <f t="shared" ca="1" si="640"/>
        <v>16143.917295847856</v>
      </c>
      <c r="W298" s="150">
        <f t="shared" ca="1" si="640"/>
        <v>16772.875083827246</v>
      </c>
      <c r="X298" s="150">
        <f t="shared" ca="1" si="640"/>
        <v>17414.156515390921</v>
      </c>
      <c r="Y298" s="150">
        <f t="shared" ca="1" si="640"/>
        <v>18068.008063410569</v>
      </c>
      <c r="Z298" s="150">
        <f t="shared" ca="1" si="640"/>
        <v>18734.681130215307</v>
      </c>
      <c r="AA298" s="150">
        <f t="shared" ca="1" si="640"/>
        <v>19414.432146180836</v>
      </c>
      <c r="AB298" s="150">
        <f t="shared" ca="1" si="640"/>
        <v>20107.522670290371</v>
      </c>
      <c r="AC298" s="150">
        <f t="shared" ca="1" si="640"/>
        <v>20814.219492706798</v>
      </c>
      <c r="AD298" s="150">
        <f t="shared" ca="1" si="640"/>
        <v>21534.794739396246</v>
      </c>
      <c r="AE298" s="150">
        <f t="shared" ca="1" si="640"/>
        <v>22269.525978844184</v>
      </c>
      <c r="AF298" s="150">
        <f t="shared" ca="1" si="640"/>
        <v>23018.696330905779</v>
      </c>
      <c r="AG298" s="150">
        <f t="shared" ca="1" si="640"/>
        <v>23782.594577833301</v>
      </c>
      <c r="AH298" s="150">
        <f t="shared" ca="1" si="640"/>
        <v>24576.410713433848</v>
      </c>
      <c r="AI298" s="150">
        <f t="shared" ca="1" si="640"/>
        <v>25386.046613709157</v>
      </c>
      <c r="AJ298" s="150">
        <f t="shared" ca="1" si="640"/>
        <v>26211.818673952723</v>
      </c>
      <c r="AK298" s="150">
        <f t="shared" ca="1" si="640"/>
        <v>27054.049617363904</v>
      </c>
      <c r="AL298" s="150">
        <f t="shared" ca="1" si="640"/>
        <v>27913.068621606057</v>
      </c>
      <c r="AM298" s="150">
        <f t="shared" ca="1" si="640"/>
        <v>28789.211447895806</v>
      </c>
      <c r="AN298" s="150">
        <f t="shared" ca="1" si="640"/>
        <v>29684.766418687308</v>
      </c>
      <c r="AO298" s="150">
        <f t="shared" ca="1" si="640"/>
        <v>30598.21246337521</v>
      </c>
      <c r="AP298" s="150">
        <f t="shared" ref="AP298:BU298" ca="1" si="641">_TotalInstalledAssets</f>
        <v>31529.907403437443</v>
      </c>
      <c r="AQ298" s="150">
        <f t="shared" ca="1" si="641"/>
        <v>32480.216216781489</v>
      </c>
      <c r="AR298" s="150">
        <f t="shared" ca="1" si="641"/>
        <v>33449.511180872985</v>
      </c>
      <c r="AS298" s="150">
        <f t="shared" ca="1" si="641"/>
        <v>34438.17201872688</v>
      </c>
      <c r="AT298" s="150">
        <f t="shared" ca="1" si="641"/>
        <v>35446.604191616338</v>
      </c>
      <c r="AU298" s="150">
        <f t="shared" ca="1" si="641"/>
        <v>36475.186040251152</v>
      </c>
      <c r="AV298" s="150">
        <f t="shared" ca="1" si="641"/>
        <v>37524.320558146246</v>
      </c>
      <c r="AW298" s="150">
        <f t="shared" ca="1" si="641"/>
        <v>38594.41879868682</v>
      </c>
      <c r="AX298" s="150">
        <f t="shared" ca="1" si="641"/>
        <v>39685.900036325773</v>
      </c>
      <c r="AY298" s="150">
        <f t="shared" ca="1" si="641"/>
        <v>40799.191931005087</v>
      </c>
      <c r="AZ298" s="150">
        <f t="shared" ca="1" si="641"/>
        <v>41934.730695865561</v>
      </c>
      <c r="BA298" s="150">
        <f t="shared" ca="1" si="641"/>
        <v>43092.961268310828</v>
      </c>
      <c r="BB298" s="150">
        <f t="shared" ca="1" si="641"/>
        <v>44274.337484492571</v>
      </c>
      <c r="BC298" s="150">
        <f t="shared" ca="1" si="641"/>
        <v>45479.322257285516</v>
      </c>
      <c r="BD298" s="150">
        <f t="shared" ca="1" si="641"/>
        <v>46708.387757821904</v>
      </c>
      <c r="BE298" s="150">
        <f t="shared" ca="1" si="641"/>
        <v>47962.015600656596</v>
      </c>
      <c r="BF298" s="150">
        <f t="shared" ca="1" si="641"/>
        <v>49241.852860325584</v>
      </c>
      <c r="BG298" s="150">
        <f t="shared" ca="1" si="641"/>
        <v>50547.282685005543</v>
      </c>
      <c r="BH298" s="150">
        <f t="shared" ca="1" si="641"/>
        <v>51878.816925996696</v>
      </c>
      <c r="BI298" s="150">
        <f t="shared" ca="1" si="641"/>
        <v>53236.977671625253</v>
      </c>
      <c r="BJ298" s="150">
        <f t="shared" ca="1" si="641"/>
        <v>54622.297451983963</v>
      </c>
      <c r="BK298" s="150">
        <f t="shared" ca="1" si="641"/>
        <v>56035.319447767448</v>
      </c>
      <c r="BL298" s="150">
        <f t="shared" ca="1" si="641"/>
        <v>57476.597703284206</v>
      </c>
      <c r="BM298" s="150">
        <f t="shared" ca="1" si="641"/>
        <v>58946.697343728869</v>
      </c>
      <c r="BN298" s="150">
        <f t="shared" ca="1" si="641"/>
        <v>60446.194796800024</v>
      </c>
      <c r="BO298" s="150">
        <f t="shared" ca="1" si="641"/>
        <v>61975.678018750186</v>
      </c>
      <c r="BP298" s="150">
        <f t="shared" ca="1" si="641"/>
        <v>63535.746724956938</v>
      </c>
      <c r="BQ298" s="150">
        <f t="shared" ca="1" si="641"/>
        <v>65127.012625105432</v>
      </c>
      <c r="BR298" s="150">
        <f t="shared" ca="1" si="641"/>
        <v>66720.05825667562</v>
      </c>
      <c r="BS298" s="150">
        <f t="shared" ca="1" si="641"/>
        <v>68314.777848064507</v>
      </c>
      <c r="BT298" s="150">
        <f t="shared" ca="1" si="641"/>
        <v>69911.204878468474</v>
      </c>
      <c r="BU298" s="150">
        <f t="shared" ca="1" si="641"/>
        <v>71509.373496667802</v>
      </c>
      <c r="BV298" s="150">
        <f t="shared" ref="BV298:DY298" ca="1" si="642">_TotalInstalledAssets</f>
        <v>73109.318534418417</v>
      </c>
      <c r="BW298" s="150">
        <f t="shared" ca="1" si="642"/>
        <v>74711.075520111335</v>
      </c>
      <c r="BX298" s="150">
        <f t="shared" ca="1" si="642"/>
        <v>76314.680692705413</v>
      </c>
      <c r="BY298" s="150">
        <f t="shared" ca="1" si="642"/>
        <v>77920.171015938642</v>
      </c>
      <c r="BZ298" s="150">
        <f t="shared" ca="1" si="642"/>
        <v>79527.584192823851</v>
      </c>
      <c r="CA298" s="150">
        <f t="shared" ca="1" si="642"/>
        <v>81136.958680434051</v>
      </c>
      <c r="CB298" s="150">
        <f t="shared" ca="1" si="642"/>
        <v>82748.333704983757</v>
      </c>
      <c r="CC298" s="150">
        <f t="shared" ca="1" si="642"/>
        <v>84361.74927721174</v>
      </c>
      <c r="CD298" s="150">
        <f t="shared" ca="1" si="642"/>
        <v>85976.755253995521</v>
      </c>
      <c r="CE298" s="150">
        <f t="shared" ca="1" si="642"/>
        <v>87593.293901485275</v>
      </c>
      <c r="CF298" s="150">
        <f t="shared" ca="1" si="642"/>
        <v>89211.395873095084</v>
      </c>
      <c r="CG298" s="150">
        <f t="shared" ca="1" si="642"/>
        <v>90831.092435307379</v>
      </c>
      <c r="CH298" s="150">
        <f t="shared" ca="1" si="642"/>
        <v>92452.415479934192</v>
      </c>
      <c r="CI298" s="150">
        <f t="shared" ca="1" si="642"/>
        <v>94075.397536623816</v>
      </c>
      <c r="CJ298" s="150">
        <f t="shared" ca="1" si="642"/>
        <v>95700.071785617489</v>
      </c>
      <c r="CK298" s="150">
        <f t="shared" ca="1" si="642"/>
        <v>97326.472070761345</v>
      </c>
      <c r="CL298" s="150">
        <f t="shared" ca="1" si="642"/>
        <v>98954.632912778354</v>
      </c>
      <c r="CM298" s="150">
        <f t="shared" ca="1" si="642"/>
        <v>100584.58952280597</v>
      </c>
      <c r="CN298" s="150">
        <f t="shared" ca="1" si="642"/>
        <v>102216.3778162044</v>
      </c>
      <c r="CO298" s="150">
        <f t="shared" ca="1" si="642"/>
        <v>103850.0344266411</v>
      </c>
      <c r="CP298" s="150">
        <f t="shared" ca="1" si="642"/>
        <v>105483.99846439157</v>
      </c>
      <c r="CQ298" s="150">
        <f t="shared" ca="1" si="642"/>
        <v>107118.2760769474</v>
      </c>
      <c r="CR298" s="150">
        <f t="shared" ca="1" si="642"/>
        <v>108752.87353580467</v>
      </c>
      <c r="CS298" s="150">
        <f t="shared" ca="1" si="642"/>
        <v>110387.79723788942</v>
      </c>
      <c r="CT298" s="150">
        <f t="shared" ca="1" si="642"/>
        <v>112023.0537080662</v>
      </c>
      <c r="CU298" s="150">
        <f t="shared" ca="1" si="642"/>
        <v>113658.6496016969</v>
      </c>
      <c r="CV298" s="150">
        <f t="shared" ca="1" si="642"/>
        <v>115294.3596561063</v>
      </c>
      <c r="CW298" s="150">
        <f t="shared" ca="1" si="642"/>
        <v>116930.17570757441</v>
      </c>
      <c r="CX298" s="150">
        <f t="shared" ca="1" si="642"/>
        <v>118566.09987604237</v>
      </c>
      <c r="CY298" s="150">
        <f t="shared" ca="1" si="642"/>
        <v>120202.13432385023</v>
      </c>
      <c r="CZ298" s="150">
        <f t="shared" ca="1" si="642"/>
        <v>121838.28125658476</v>
      </c>
      <c r="DA298" s="150">
        <f t="shared" ca="1" si="642"/>
        <v>123474.54292394448</v>
      </c>
      <c r="DB298" s="150">
        <f t="shared" ca="1" si="642"/>
        <v>125110.92417569764</v>
      </c>
      <c r="DC298" s="150">
        <f t="shared" ca="1" si="642"/>
        <v>126747.42036925894</v>
      </c>
      <c r="DD298" s="150">
        <f t="shared" ca="1" si="642"/>
        <v>128384.0338034645</v>
      </c>
      <c r="DE298" s="150">
        <f t="shared" ca="1" si="642"/>
        <v>130020.76682312724</v>
      </c>
      <c r="DF298" s="150">
        <f t="shared" ca="1" si="642"/>
        <v>131657.62181995629</v>
      </c>
      <c r="DG298" s="150">
        <f t="shared" ca="1" si="642"/>
        <v>133294.60123349499</v>
      </c>
      <c r="DH298" s="150">
        <f t="shared" ca="1" si="642"/>
        <v>134931.70755207751</v>
      </c>
      <c r="DI298" s="150">
        <f t="shared" ca="1" si="642"/>
        <v>136568.94331380475</v>
      </c>
      <c r="DJ298" s="150">
        <f t="shared" ca="1" si="642"/>
        <v>138206.3111075396</v>
      </c>
      <c r="DK298" s="150">
        <f t="shared" ca="1" si="642"/>
        <v>139843.81357392221</v>
      </c>
      <c r="DL298" s="150">
        <f t="shared" ca="1" si="642"/>
        <v>141481.45340640552</v>
      </c>
      <c r="DM298" s="150">
        <f t="shared" ca="1" si="642"/>
        <v>143119.23335231157</v>
      </c>
      <c r="DN298" s="150">
        <f t="shared" ca="1" si="642"/>
        <v>144757.03428797051</v>
      </c>
      <c r="DO298" s="150">
        <f t="shared" ca="1" si="642"/>
        <v>146394.85663316917</v>
      </c>
      <c r="DP298" s="150">
        <f t="shared" ca="1" si="642"/>
        <v>148032.70081609828</v>
      </c>
      <c r="DQ298" s="150">
        <f t="shared" ca="1" si="642"/>
        <v>149670.56727351254</v>
      </c>
      <c r="DR298" s="150">
        <f t="shared" ca="1" si="642"/>
        <v>151308.45645090158</v>
      </c>
      <c r="DS298" s="150">
        <f t="shared" ca="1" si="642"/>
        <v>152946.36880266489</v>
      </c>
      <c r="DT298" s="150">
        <f t="shared" ca="1" si="642"/>
        <v>154584.30479229</v>
      </c>
      <c r="DU298" s="150">
        <f t="shared" ca="1" si="642"/>
        <v>156222.26489253412</v>
      </c>
      <c r="DV298" s="150">
        <f t="shared" ca="1" si="642"/>
        <v>157860.24958560962</v>
      </c>
      <c r="DW298" s="150">
        <f t="shared" ca="1" si="642"/>
        <v>159498.25936337316</v>
      </c>
      <c r="DX298" s="150">
        <f t="shared" ca="1" si="642"/>
        <v>161136.29472751849</v>
      </c>
      <c r="DY298" s="150">
        <f t="shared" ca="1" si="642"/>
        <v>162774.35618977324</v>
      </c>
    </row>
    <row r="299" spans="2:129" outlineLevel="1">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row>
    <row r="300" spans="2:129" outlineLevel="1">
      <c r="C300" s="120" t="s">
        <v>193</v>
      </c>
      <c r="D300" s="120"/>
      <c r="E300" s="120"/>
      <c r="F300" s="120"/>
      <c r="G300" s="120"/>
      <c r="H300" s="120"/>
      <c r="I300" s="120"/>
      <c r="J300" s="120"/>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c r="CA300" s="139"/>
      <c r="CB300" s="139"/>
      <c r="CC300" s="139"/>
      <c r="CD300" s="139"/>
      <c r="CE300" s="139"/>
      <c r="CF300" s="139"/>
      <c r="CG300" s="139"/>
      <c r="CH300" s="139"/>
      <c r="CI300" s="139"/>
      <c r="CJ300" s="139"/>
      <c r="CK300" s="139"/>
      <c r="CL300" s="139"/>
      <c r="CM300" s="139"/>
      <c r="CN300" s="139"/>
      <c r="CO300" s="139"/>
      <c r="CP300" s="139"/>
      <c r="CQ300" s="139"/>
      <c r="CR300" s="139"/>
      <c r="CS300" s="139"/>
      <c r="CT300" s="139"/>
      <c r="CU300" s="139"/>
      <c r="CV300" s="139"/>
      <c r="CW300" s="139"/>
      <c r="CX300" s="139"/>
      <c r="CY300" s="139"/>
      <c r="CZ300" s="139"/>
      <c r="DA300" s="139"/>
      <c r="DB300" s="139"/>
      <c r="DC300" s="139"/>
      <c r="DD300" s="139"/>
      <c r="DE300" s="139"/>
      <c r="DF300" s="139"/>
      <c r="DG300" s="139"/>
      <c r="DH300" s="139"/>
      <c r="DI300" s="139"/>
      <c r="DJ300" s="139"/>
      <c r="DK300" s="139"/>
      <c r="DL300" s="139"/>
      <c r="DM300" s="139"/>
      <c r="DN300" s="139"/>
      <c r="DO300" s="139"/>
      <c r="DP300" s="139"/>
      <c r="DQ300" s="139"/>
      <c r="DR300" s="139"/>
      <c r="DS300" s="139"/>
      <c r="DT300" s="139"/>
      <c r="DU300" s="139"/>
      <c r="DV300" s="139"/>
      <c r="DW300" s="139"/>
      <c r="DX300" s="139"/>
      <c r="DY300" s="139"/>
    </row>
    <row r="301" spans="2:129" outlineLevel="1">
      <c r="D301" s="5" t="s">
        <v>194</v>
      </c>
      <c r="J301" s="35">
        <f ca="1">_EBITDAcash</f>
        <v>4843400.7080839295</v>
      </c>
      <c r="K301" s="35">
        <f t="shared" ref="K301:BU301" ca="1" si="643">_EBITDAcash</f>
        <v>-148498.18212375266</v>
      </c>
      <c r="L301" s="35">
        <f t="shared" ca="1" si="643"/>
        <v>-140073.90716981259</v>
      </c>
      <c r="M301" s="35">
        <f t="shared" ca="1" si="643"/>
        <v>-131321.61518067576</v>
      </c>
      <c r="N301" s="35">
        <f t="shared" ca="1" si="643"/>
        <v>-122236.34113099915</v>
      </c>
      <c r="O301" s="35">
        <f t="shared" ca="1" si="643"/>
        <v>-112813.00474177976</v>
      </c>
      <c r="P301" s="35">
        <f t="shared" ca="1" si="643"/>
        <v>-103046.4083348118</v>
      </c>
      <c r="Q301" s="35">
        <f t="shared" ca="1" si="643"/>
        <v>-92931.234642640455</v>
      </c>
      <c r="R301" s="35">
        <f t="shared" ca="1" si="643"/>
        <v>-82462.044573132414</v>
      </c>
      <c r="S301" s="35">
        <f t="shared" ca="1" si="643"/>
        <v>-71633.274927774561</v>
      </c>
      <c r="T301" s="35">
        <f t="shared" ca="1" si="643"/>
        <v>-60439.236072796164</v>
      </c>
      <c r="U301" s="35">
        <f t="shared" ca="1" si="643"/>
        <v>-48874.109562171157</v>
      </c>
      <c r="V301" s="35">
        <f t="shared" ca="1" si="643"/>
        <v>-23466.721897396492</v>
      </c>
      <c r="W301" s="35">
        <f t="shared" ca="1" si="643"/>
        <v>-12390.524288749089</v>
      </c>
      <c r="X301" s="35">
        <f t="shared" ca="1" si="643"/>
        <v>-1046.9602889076341</v>
      </c>
      <c r="Y301" s="35">
        <f t="shared" ca="1" si="643"/>
        <v>10568.859005562495</v>
      </c>
      <c r="Z301" s="35">
        <f t="shared" ca="1" si="643"/>
        <v>22461.92486040527</v>
      </c>
      <c r="AA301" s="35">
        <f t="shared" ca="1" si="643"/>
        <v>34637.332905086223</v>
      </c>
      <c r="AB301" s="35">
        <f t="shared" ca="1" si="643"/>
        <v>3047100.2851746734</v>
      </c>
      <c r="AC301" s="35">
        <f t="shared" ca="1" si="643"/>
        <v>59856.092193024</v>
      </c>
      <c r="AD301" s="35">
        <f t="shared" ca="1" si="643"/>
        <v>72910.175098081585</v>
      </c>
      <c r="AE301" s="35">
        <f t="shared" ca="1" si="643"/>
        <v>86268.06781011424</v>
      </c>
      <c r="AF301" s="35">
        <f t="shared" ca="1" si="643"/>
        <v>99935.419243774377</v>
      </c>
      <c r="AG301" s="35">
        <f t="shared" ca="1" si="643"/>
        <v>113917.99556482187</v>
      </c>
      <c r="AH301" s="35">
        <f t="shared" ca="1" si="643"/>
        <v>140513.63899363833</v>
      </c>
      <c r="AI301" s="35">
        <f t="shared" ca="1" si="643"/>
        <v>152859.42634566571</v>
      </c>
      <c r="AJ301" s="35">
        <f t="shared" ca="1" si="643"/>
        <v>165477.65216077445</v>
      </c>
      <c r="AK301" s="35">
        <f t="shared" ca="1" si="643"/>
        <v>178373.50998106552</v>
      </c>
      <c r="AL301" s="35">
        <f t="shared" ca="1" si="643"/>
        <v>191552.29977175221</v>
      </c>
      <c r="AM301" s="35">
        <f t="shared" ca="1" si="643"/>
        <v>205019.43002410396</v>
      </c>
      <c r="AN301" s="35">
        <f t="shared" ca="1" si="643"/>
        <v>221785.53583735507</v>
      </c>
      <c r="AO301" s="35">
        <f t="shared" ca="1" si="643"/>
        <v>234176.84792408766</v>
      </c>
      <c r="AP301" s="35">
        <f t="shared" ca="1" si="643"/>
        <v>246824.34661880997</v>
      </c>
      <c r="AQ301" s="35">
        <f t="shared" ca="1" si="643"/>
        <v>259733.0720500201</v>
      </c>
      <c r="AR301" s="35">
        <f t="shared" ca="1" si="643"/>
        <v>272908.16598482034</v>
      </c>
      <c r="AS301" s="35">
        <f t="shared" ca="1" si="643"/>
        <v>286354.87385333516</v>
      </c>
      <c r="AT301" s="35">
        <f t="shared" ca="1" si="643"/>
        <v>396230.30761773651</v>
      </c>
      <c r="AU301" s="35">
        <f t="shared" ca="1" si="643"/>
        <v>412085.45642044721</v>
      </c>
      <c r="AV301" s="35">
        <f t="shared" ca="1" si="643"/>
        <v>428265.5694502499</v>
      </c>
      <c r="AW301" s="35">
        <f t="shared" ca="1" si="643"/>
        <v>444777.06737917732</v>
      </c>
      <c r="AX301" s="35">
        <f t="shared" ca="1" si="643"/>
        <v>461626.50007882528</v>
      </c>
      <c r="AY301" s="35">
        <f t="shared" ca="1" si="643"/>
        <v>478820.54919648869</v>
      </c>
      <c r="AZ301" s="35">
        <f t="shared" ca="1" si="643"/>
        <v>496366.03078288515</v>
      </c>
      <c r="BA301" s="35">
        <f t="shared" ca="1" si="643"/>
        <v>514269.89797252859</v>
      </c>
      <c r="BB301" s="35">
        <f t="shared" ca="1" si="643"/>
        <v>532539.24371776567</v>
      </c>
      <c r="BC301" s="35">
        <f t="shared" ca="1" si="643"/>
        <v>551181.30357759306</v>
      </c>
      <c r="BD301" s="35">
        <f t="shared" ca="1" si="643"/>
        <v>570203.45856230333</v>
      </c>
      <c r="BE301" s="35">
        <f t="shared" ca="1" si="643"/>
        <v>589613.2380351196</v>
      </c>
      <c r="BF301" s="35">
        <f t="shared" ca="1" si="643"/>
        <v>609695.16013337974</v>
      </c>
      <c r="BG301" s="35">
        <f t="shared" ca="1" si="643"/>
        <v>629692.57598020672</v>
      </c>
      <c r="BH301" s="35">
        <f t="shared" ca="1" si="643"/>
        <v>650096.23026262922</v>
      </c>
      <c r="BI301" s="35">
        <f t="shared" ca="1" si="643"/>
        <v>670914.18484817073</v>
      </c>
      <c r="BJ301" s="35">
        <f t="shared" ca="1" si="643"/>
        <v>692154.66347072041</v>
      </c>
      <c r="BK301" s="35">
        <f t="shared" ca="1" si="643"/>
        <v>713826.05496156542</v>
      </c>
      <c r="BL301" s="35">
        <f t="shared" ca="1" si="643"/>
        <v>735936.91654511169</v>
      </c>
      <c r="BM301" s="35">
        <f t="shared" ca="1" si="643"/>
        <v>758495.97720058588</v>
      </c>
      <c r="BN301" s="35">
        <f t="shared" ca="1" si="643"/>
        <v>781512.14109102497</v>
      </c>
      <c r="BO301" s="35">
        <f t="shared" ca="1" si="643"/>
        <v>804994.49106090702</v>
      </c>
      <c r="BP301" s="35">
        <f t="shared" ca="1" si="643"/>
        <v>828952.2922038082</v>
      </c>
      <c r="BQ301" s="35">
        <f t="shared" ca="1" si="643"/>
        <v>853394.99550144747</v>
      </c>
      <c r="BR301" s="35">
        <f t="shared" ca="1" si="643"/>
        <v>816908.05447849678</v>
      </c>
      <c r="BS301" s="35">
        <f t="shared" ca="1" si="643"/>
        <v>840067.99554957636</v>
      </c>
      <c r="BT301" s="35">
        <f t="shared" ca="1" si="643"/>
        <v>862238.22583091026</v>
      </c>
      <c r="BU301" s="35">
        <f t="shared" ca="1" si="643"/>
        <v>883413.48020281503</v>
      </c>
      <c r="BV301" s="35">
        <f t="shared" ref="BV301:DY301" ca="1" si="644">_EBITDAcash</f>
        <v>903588.242952256</v>
      </c>
      <c r="BW301" s="35">
        <f t="shared" ca="1" si="644"/>
        <v>922756.74421387725</v>
      </c>
      <c r="BX301" s="35">
        <f t="shared" ca="1" si="644"/>
        <v>940912.95632535499</v>
      </c>
      <c r="BY301" s="35">
        <f t="shared" ca="1" si="644"/>
        <v>958050.59009543853</v>
      </c>
      <c r="BZ301" s="35">
        <f t="shared" ca="1" si="644"/>
        <v>974163.09098313469</v>
      </c>
      <c r="CA301" s="35">
        <f t="shared" ca="1" si="644"/>
        <v>989243.63518637652</v>
      </c>
      <c r="CB301" s="35">
        <f t="shared" ca="1" si="644"/>
        <v>1003285.1256384961</v>
      </c>
      <c r="CC301" s="35">
        <f t="shared" ca="1" si="644"/>
        <v>1016280.1879108204</v>
      </c>
      <c r="CD301" s="35">
        <f t="shared" ca="1" si="644"/>
        <v>1026308.7235669326</v>
      </c>
      <c r="CE301" s="35">
        <f t="shared" ca="1" si="644"/>
        <v>1035774.7540873364</v>
      </c>
      <c r="CF301" s="35">
        <f t="shared" ca="1" si="644"/>
        <v>1044711.6384859793</v>
      </c>
      <c r="CG301" s="35">
        <f t="shared" ca="1" si="644"/>
        <v>1053115.9785077493</v>
      </c>
      <c r="CH301" s="35">
        <f t="shared" ca="1" si="644"/>
        <v>1060984.2360857539</v>
      </c>
      <c r="CI301" s="35">
        <f t="shared" ca="1" si="644"/>
        <v>1068312.7312635644</v>
      </c>
      <c r="CJ301" s="35">
        <f t="shared" ca="1" si="644"/>
        <v>1075097.6400686922</v>
      </c>
      <c r="CK301" s="35">
        <f t="shared" ca="1" si="644"/>
        <v>1081334.992336445</v>
      </c>
      <c r="CL301" s="35">
        <f t="shared" ca="1" si="644"/>
        <v>1087020.6694832118</v>
      </c>
      <c r="CM301" s="35">
        <f t="shared" ca="1" si="644"/>
        <v>1092150.4022282353</v>
      </c>
      <c r="CN301" s="35">
        <f t="shared" ca="1" si="644"/>
        <v>1096719.7682629293</v>
      </c>
      <c r="CO301" s="35">
        <f t="shared" ca="1" si="644"/>
        <v>1100724.1898667361</v>
      </c>
      <c r="CP301" s="35">
        <f t="shared" ca="1" si="644"/>
        <v>1103626.8512955839</v>
      </c>
      <c r="CQ301" s="35">
        <f t="shared" ca="1" si="644"/>
        <v>1106276.1396342446</v>
      </c>
      <c r="CR301" s="35">
        <f t="shared" ca="1" si="644"/>
        <v>1108670.1061982177</v>
      </c>
      <c r="CS301" s="35">
        <f t="shared" ca="1" si="644"/>
        <v>1110806.7276274264</v>
      </c>
      <c r="CT301" s="35">
        <f t="shared" ca="1" si="644"/>
        <v>1112683.9092638339</v>
      </c>
      <c r="CU301" s="35">
        <f t="shared" ca="1" si="644"/>
        <v>1114299.4840337979</v>
      </c>
      <c r="CV301" s="35">
        <f t="shared" ca="1" si="644"/>
        <v>1115289.9018721622</v>
      </c>
      <c r="CW301" s="35">
        <f t="shared" ca="1" si="644"/>
        <v>1116215.7122899788</v>
      </c>
      <c r="CX301" s="35">
        <f t="shared" ca="1" si="644"/>
        <v>1117102.7024189071</v>
      </c>
      <c r="CY301" s="35">
        <f t="shared" ca="1" si="644"/>
        <v>1117950.6692181407</v>
      </c>
      <c r="CZ301" s="35">
        <f t="shared" ca="1" si="644"/>
        <v>1118759.3998524128</v>
      </c>
      <c r="DA301" s="35">
        <f t="shared" ca="1" si="644"/>
        <v>1119528.6715534283</v>
      </c>
      <c r="DB301" s="35">
        <f t="shared" ca="1" si="644"/>
        <v>1120244.7212024536</v>
      </c>
      <c r="DC301" s="35">
        <f t="shared" ca="1" si="644"/>
        <v>1120922.149781235</v>
      </c>
      <c r="DD301" s="35">
        <f t="shared" ca="1" si="644"/>
        <v>1121563.6159966514</v>
      </c>
      <c r="DE301" s="35">
        <f t="shared" ca="1" si="644"/>
        <v>1122168.8957107868</v>
      </c>
      <c r="DF301" s="35">
        <f t="shared" ca="1" si="644"/>
        <v>1122737.7553518708</v>
      </c>
      <c r="DG301" s="35">
        <f t="shared" ca="1" si="644"/>
        <v>1123269.9517751131</v>
      </c>
      <c r="DH301" s="35">
        <f t="shared" ca="1" si="644"/>
        <v>1123765.2321202662</v>
      </c>
      <c r="DI301" s="35">
        <f t="shared" ca="1" si="644"/>
        <v>1124223.3336658333</v>
      </c>
      <c r="DJ301" s="35">
        <f t="shared" ca="1" si="644"/>
        <v>1124643.9836798869</v>
      </c>
      <c r="DK301" s="35">
        <f t="shared" ca="1" si="644"/>
        <v>1125026.899267423</v>
      </c>
      <c r="DL301" s="35">
        <f t="shared" ca="1" si="644"/>
        <v>1125371.7872141767</v>
      </c>
      <c r="DM301" s="35">
        <f t="shared" ca="1" si="644"/>
        <v>1125678.3438268597</v>
      </c>
      <c r="DN301" s="35">
        <f t="shared" ca="1" si="644"/>
        <v>1125916.5695924857</v>
      </c>
      <c r="DO301" s="35">
        <f t="shared" ca="1" si="644"/>
        <v>1126137.6984682241</v>
      </c>
      <c r="DP301" s="35">
        <f t="shared" ca="1" si="644"/>
        <v>1126341.6071657976</v>
      </c>
      <c r="DQ301" s="35">
        <f t="shared" ca="1" si="644"/>
        <v>1126528.1677091997</v>
      </c>
      <c r="DR301" s="35">
        <f t="shared" ca="1" si="644"/>
        <v>1126697.2473986247</v>
      </c>
      <c r="DS301" s="35">
        <f t="shared" ca="1" si="644"/>
        <v>1126848.7087376448</v>
      </c>
      <c r="DT301" s="35">
        <f t="shared" ca="1" si="644"/>
        <v>1126982.4093586928</v>
      </c>
      <c r="DU301" s="35">
        <f t="shared" ca="1" si="644"/>
        <v>1127098.2019468555</v>
      </c>
      <c r="DV301" s="35">
        <f t="shared" ca="1" si="644"/>
        <v>1127195.9341619313</v>
      </c>
      <c r="DW301" s="35">
        <f t="shared" ca="1" si="644"/>
        <v>1127275.4485587045</v>
      </c>
      <c r="DX301" s="35">
        <f t="shared" ca="1" si="644"/>
        <v>1127336.5825054334</v>
      </c>
      <c r="DY301" s="35">
        <f t="shared" ca="1" si="644"/>
        <v>1127379.1681005028</v>
      </c>
    </row>
    <row r="302" spans="2:129" outlineLevel="1">
      <c r="D302" s="5" t="s">
        <v>195</v>
      </c>
      <c r="J302" s="35">
        <f ca="1">_NetIncomeCash</f>
        <v>2763702.8241691752</v>
      </c>
      <c r="K302" s="35">
        <f t="shared" ref="K302:BU302" ca="1" si="645">_NetIncomeCash</f>
        <v>-255970.40434597491</v>
      </c>
      <c r="L302" s="35">
        <f t="shared" ca="1" si="645"/>
        <v>-249157.70346610891</v>
      </c>
      <c r="M302" s="35">
        <f t="shared" ca="1" si="645"/>
        <v>-241990.12598314491</v>
      </c>
      <c r="N302" s="35">
        <f t="shared" ca="1" si="645"/>
        <v>-234463.15453120493</v>
      </c>
      <c r="O302" s="35">
        <f t="shared" ca="1" si="645"/>
        <v>-226572.14902975989</v>
      </c>
      <c r="P302" s="35">
        <f t="shared" ca="1" si="645"/>
        <v>-218312.34466243672</v>
      </c>
      <c r="Q302" s="35">
        <f t="shared" ca="1" si="645"/>
        <v>-209678.8498092494</v>
      </c>
      <c r="R302" s="35">
        <f t="shared" ca="1" si="645"/>
        <v>-200666.64393140899</v>
      </c>
      <c r="S302" s="35">
        <f t="shared" ca="1" si="645"/>
        <v>-191270.57540785763</v>
      </c>
      <c r="T302" s="35">
        <f t="shared" ca="1" si="645"/>
        <v>-181485.35932265563</v>
      </c>
      <c r="U302" s="35">
        <f t="shared" ca="1" si="645"/>
        <v>-171305.57520231075</v>
      </c>
      <c r="V302" s="35">
        <f t="shared" ca="1" si="645"/>
        <v>-142920.1631102004</v>
      </c>
      <c r="W302" s="35">
        <f t="shared" ca="1" si="645"/>
        <v>-128843.23685170998</v>
      </c>
      <c r="X302" s="35">
        <f t="shared" ca="1" si="645"/>
        <v>-114476.6183832266</v>
      </c>
      <c r="Y302" s="35">
        <f t="shared" ca="1" si="645"/>
        <v>-99815.790898295585</v>
      </c>
      <c r="Z302" s="35">
        <f t="shared" ca="1" si="645"/>
        <v>-84856.129026536655</v>
      </c>
      <c r="AA302" s="35">
        <f t="shared" ca="1" si="645"/>
        <v>-69592.896935591853</v>
      </c>
      <c r="AB302" s="35">
        <f t="shared" ca="1" si="645"/>
        <v>1741813.8776083344</v>
      </c>
      <c r="AC302" s="35">
        <f t="shared" ca="1" si="645"/>
        <v>-49093.719592381953</v>
      </c>
      <c r="AD302" s="35">
        <f t="shared" ca="1" si="645"/>
        <v>-39820.125578853673</v>
      </c>
      <c r="AE302" s="35">
        <f t="shared" ca="1" si="645"/>
        <v>-30362.408412846245</v>
      </c>
      <c r="AF302" s="35">
        <f t="shared" ca="1" si="645"/>
        <v>-20717.567638145036</v>
      </c>
      <c r="AG302" s="35">
        <f t="shared" ca="1" si="645"/>
        <v>-10882.533058329987</v>
      </c>
      <c r="AH302" s="35">
        <f t="shared" ca="1" si="645"/>
        <v>-649869.75954125705</v>
      </c>
      <c r="AI302" s="35">
        <f t="shared" ca="1" si="645"/>
        <v>-134278.57758401847</v>
      </c>
      <c r="AJ302" s="35">
        <f t="shared" ca="1" si="645"/>
        <v>-118396.70911082238</v>
      </c>
      <c r="AK302" s="35">
        <f t="shared" ca="1" si="645"/>
        <v>-102219.26471378248</v>
      </c>
      <c r="AL302" s="35">
        <f t="shared" ca="1" si="645"/>
        <v>-85741.243492996466</v>
      </c>
      <c r="AM302" s="35">
        <f t="shared" ca="1" si="645"/>
        <v>-72281.85436432928</v>
      </c>
      <c r="AN302" s="35">
        <f t="shared" ca="1" si="645"/>
        <v>-58414.241208877662</v>
      </c>
      <c r="AO302" s="35">
        <f t="shared" ca="1" si="645"/>
        <v>-47114.013743003452</v>
      </c>
      <c r="AP302" s="35">
        <f t="shared" ca="1" si="645"/>
        <v>-35659.579237673148</v>
      </c>
      <c r="AQ302" s="35">
        <f t="shared" ca="1" si="645"/>
        <v>-24048.264552284687</v>
      </c>
      <c r="AR302" s="35">
        <f t="shared" ca="1" si="645"/>
        <v>-12277.336553773777</v>
      </c>
      <c r="AS302" s="35">
        <f t="shared" ca="1" si="645"/>
        <v>-344.00102238466934</v>
      </c>
      <c r="AT302" s="35">
        <f t="shared" ca="1" si="645"/>
        <v>68551.618377321865</v>
      </c>
      <c r="AU302" s="35">
        <f t="shared" ca="1" si="645"/>
        <v>79357.279816864728</v>
      </c>
      <c r="AV302" s="35">
        <f t="shared" ca="1" si="645"/>
        <v>90357.00675849762</v>
      </c>
      <c r="AW302" s="35">
        <f t="shared" ca="1" si="645"/>
        <v>101554.30677383927</v>
      </c>
      <c r="AX302" s="35">
        <f t="shared" ca="1" si="645"/>
        <v>112952.76351086903</v>
      </c>
      <c r="AY302" s="35">
        <f t="shared" ca="1" si="645"/>
        <v>124556.03811974908</v>
      </c>
      <c r="AZ302" s="35">
        <f t="shared" ca="1" si="645"/>
        <v>136367.87070871986</v>
      </c>
      <c r="BA302" s="35">
        <f t="shared" ca="1" si="645"/>
        <v>148392.08183066297</v>
      </c>
      <c r="BB302" s="35">
        <f t="shared" ca="1" si="645"/>
        <v>160632.57400089569</v>
      </c>
      <c r="BC302" s="35">
        <f t="shared" ca="1" si="645"/>
        <v>173093.333246825</v>
      </c>
      <c r="BD302" s="35">
        <f t="shared" ca="1" si="645"/>
        <v>185778.43069004369</v>
      </c>
      <c r="BE302" s="35">
        <f t="shared" ca="1" si="645"/>
        <v>198692.02416152277</v>
      </c>
      <c r="BF302" s="35">
        <f t="shared" ca="1" si="645"/>
        <v>7998.671042526621</v>
      </c>
      <c r="BG302" s="35">
        <f t="shared" ca="1" si="645"/>
        <v>165259.87688248686</v>
      </c>
      <c r="BH302" s="35">
        <f t="shared" ca="1" si="645"/>
        <v>178759.75264808242</v>
      </c>
      <c r="BI302" s="35">
        <f t="shared" ca="1" si="645"/>
        <v>192502.76703709271</v>
      </c>
      <c r="BJ302" s="35">
        <f t="shared" ca="1" si="645"/>
        <v>206493.48295625663</v>
      </c>
      <c r="BK302" s="35">
        <f t="shared" ca="1" si="645"/>
        <v>220736.55932729907</v>
      </c>
      <c r="BL302" s="35">
        <f t="shared" ca="1" si="645"/>
        <v>236347.86404147011</v>
      </c>
      <c r="BM302" s="35">
        <f t="shared" ca="1" si="645"/>
        <v>252221.14250776742</v>
      </c>
      <c r="BN302" s="35">
        <f t="shared" ca="1" si="645"/>
        <v>268361.35290668957</v>
      </c>
      <c r="BO302" s="35">
        <f t="shared" ca="1" si="645"/>
        <v>284773.55703916767</v>
      </c>
      <c r="BP302" s="35">
        <f t="shared" ca="1" si="645"/>
        <v>301462.92232701415</v>
      </c>
      <c r="BQ302" s="35">
        <f t="shared" ca="1" si="645"/>
        <v>318434.72385454149</v>
      </c>
      <c r="BR302" s="35">
        <f t="shared" ca="1" si="645"/>
        <v>127832.76460763984</v>
      </c>
      <c r="BS302" s="35">
        <f t="shared" ca="1" si="645"/>
        <v>264275.89771414601</v>
      </c>
      <c r="BT302" s="35">
        <f t="shared" ca="1" si="645"/>
        <v>280158.50713954389</v>
      </c>
      <c r="BU302" s="35">
        <f t="shared" ca="1" si="645"/>
        <v>295477.50340319547</v>
      </c>
      <c r="BV302" s="35">
        <f t="shared" ref="BV302:DY302" ca="1" si="646">_NetIncomeCash</f>
        <v>310229.65548634349</v>
      </c>
      <c r="BW302" s="35">
        <f t="shared" ca="1" si="646"/>
        <v>324411.58877446922</v>
      </c>
      <c r="BX302" s="35">
        <f t="shared" ca="1" si="646"/>
        <v>338945.70887711784</v>
      </c>
      <c r="BY302" s="35">
        <f t="shared" ca="1" si="646"/>
        <v>352902.42169461708</v>
      </c>
      <c r="BZ302" s="35">
        <f t="shared" ca="1" si="646"/>
        <v>366277.90899006254</v>
      </c>
      <c r="CA302" s="35">
        <f t="shared" ca="1" si="646"/>
        <v>379068.20020635519</v>
      </c>
      <c r="CB302" s="35">
        <f t="shared" ca="1" si="646"/>
        <v>391269.17015695246</v>
      </c>
      <c r="CC302" s="35">
        <f t="shared" ca="1" si="646"/>
        <v>402876.53666344378</v>
      </c>
      <c r="CD302" s="35">
        <f t="shared" ca="1" si="646"/>
        <v>242746.21135245974</v>
      </c>
      <c r="CE302" s="35">
        <f t="shared" ca="1" si="646"/>
        <v>372295.43793000327</v>
      </c>
      <c r="CF302" s="35">
        <f t="shared" ca="1" si="646"/>
        <v>381543.42608993239</v>
      </c>
      <c r="CG302" s="35">
        <f t="shared" ca="1" si="646"/>
        <v>390488.13125329162</v>
      </c>
      <c r="CH302" s="35">
        <f t="shared" ca="1" si="646"/>
        <v>399127.42934214411</v>
      </c>
      <c r="CI302" s="35">
        <f t="shared" ca="1" si="646"/>
        <v>407459.1155557668</v>
      </c>
      <c r="CJ302" s="35">
        <f t="shared" ca="1" si="646"/>
        <v>416406.8290449467</v>
      </c>
      <c r="CK302" s="35">
        <f t="shared" ca="1" si="646"/>
        <v>425042.27385425381</v>
      </c>
      <c r="CL302" s="35">
        <f t="shared" ca="1" si="646"/>
        <v>433362.99539099226</v>
      </c>
      <c r="CM302" s="35">
        <f t="shared" ca="1" si="646"/>
        <v>441366.45316101826</v>
      </c>
      <c r="CN302" s="35">
        <f t="shared" ca="1" si="646"/>
        <v>449050.01940050832</v>
      </c>
      <c r="CO302" s="35">
        <f t="shared" ca="1" si="646"/>
        <v>456410.97767715843</v>
      </c>
      <c r="CP302" s="35">
        <f t="shared" ca="1" si="646"/>
        <v>290820.9843513426</v>
      </c>
      <c r="CQ302" s="35">
        <f t="shared" ca="1" si="646"/>
        <v>415087.77491632081</v>
      </c>
      <c r="CR302" s="35">
        <f t="shared" ca="1" si="646"/>
        <v>419210.14970757923</v>
      </c>
      <c r="CS302" s="35">
        <f t="shared" ca="1" si="646"/>
        <v>423186.86675350793</v>
      </c>
      <c r="CT302" s="35">
        <f t="shared" ca="1" si="646"/>
        <v>427016.64375594689</v>
      </c>
      <c r="CU302" s="35">
        <f t="shared" ca="1" si="646"/>
        <v>430698.1574222577</v>
      </c>
      <c r="CV302" s="35">
        <f t="shared" ca="1" si="646"/>
        <v>434941.90013599925</v>
      </c>
      <c r="CW302" s="35">
        <f t="shared" ca="1" si="646"/>
        <v>439151.69150629663</v>
      </c>
      <c r="CX302" s="35">
        <f t="shared" ca="1" si="646"/>
        <v>443342.64787272498</v>
      </c>
      <c r="CY302" s="35">
        <f t="shared" ca="1" si="646"/>
        <v>447514.59210556233</v>
      </c>
      <c r="CZ302" s="35">
        <f t="shared" ca="1" si="646"/>
        <v>451667.34241946106</v>
      </c>
      <c r="DA302" s="35">
        <f t="shared" ca="1" si="646"/>
        <v>455800.71227674658</v>
      </c>
      <c r="DB302" s="35">
        <f t="shared" ca="1" si="646"/>
        <v>289906.42124781845</v>
      </c>
      <c r="DC302" s="35">
        <f t="shared" ca="1" si="646"/>
        <v>413993.06948468799</v>
      </c>
      <c r="DD302" s="35">
        <f t="shared" ca="1" si="646"/>
        <v>418062.13898488239</v>
      </c>
      <c r="DE302" s="35">
        <f t="shared" ca="1" si="646"/>
        <v>422113.44563292002</v>
      </c>
      <c r="DF302" s="35">
        <f t="shared" ca="1" si="646"/>
        <v>426146.8007544147</v>
      </c>
      <c r="DG302" s="35">
        <f t="shared" ca="1" si="646"/>
        <v>430162.01102036517</v>
      </c>
      <c r="DH302" s="35">
        <f t="shared" ca="1" si="646"/>
        <v>435084.80427572504</v>
      </c>
      <c r="DI302" s="35">
        <f t="shared" ca="1" si="646"/>
        <v>439989.05166257464</v>
      </c>
      <c r="DJ302" s="35">
        <f t="shared" ca="1" si="646"/>
        <v>444874.54529712762</v>
      </c>
      <c r="DK302" s="35">
        <f t="shared" ca="1" si="646"/>
        <v>449741.07224126795</v>
      </c>
      <c r="DL302" s="35">
        <f t="shared" ca="1" si="646"/>
        <v>454588.41439819668</v>
      </c>
      <c r="DM302" s="35">
        <f t="shared" ca="1" si="646"/>
        <v>459416.3484062393</v>
      </c>
      <c r="DN302" s="35">
        <f t="shared" ca="1" si="646"/>
        <v>242096.3412986832</v>
      </c>
      <c r="DO302" s="35">
        <f t="shared" ca="1" si="646"/>
        <v>401769.10314188048</v>
      </c>
      <c r="DP302" s="35">
        <f t="shared" ca="1" si="646"/>
        <v>405434.51710597292</v>
      </c>
      <c r="DQ302" s="35">
        <f t="shared" ca="1" si="646"/>
        <v>409092.46438899473</v>
      </c>
      <c r="DR302" s="35">
        <f t="shared" ca="1" si="646"/>
        <v>412742.82418362913</v>
      </c>
      <c r="DS302" s="35">
        <f t="shared" ca="1" si="646"/>
        <v>416385.47362253029</v>
      </c>
      <c r="DT302" s="35">
        <f t="shared" ca="1" si="646"/>
        <v>421223.99142656813</v>
      </c>
      <c r="DU302" s="35">
        <f t="shared" ca="1" si="646"/>
        <v>426054.54673748079</v>
      </c>
      <c r="DV302" s="35">
        <f t="shared" ca="1" si="646"/>
        <v>430877.01017193816</v>
      </c>
      <c r="DW302" s="35">
        <f t="shared" ca="1" si="646"/>
        <v>435691.25005994923</v>
      </c>
      <c r="DX302" s="35">
        <f t="shared" ca="1" si="646"/>
        <v>440497.13238612877</v>
      </c>
      <c r="DY302" s="35">
        <f t="shared" ca="1" si="646"/>
        <v>445294.52073008451</v>
      </c>
    </row>
    <row r="303" spans="2:129" outlineLevel="1">
      <c r="D303" s="5" t="s">
        <v>202</v>
      </c>
      <c r="E303" s="239"/>
      <c r="F303" s="513"/>
      <c r="J303" s="140">
        <f ca="1">(_TotalRevenueCash+_TotalOpex)/_TotalRevenueCash</f>
        <v>0.37772058275029929</v>
      </c>
      <c r="K303" s="140">
        <f ca="1">(_TotalRevenueCash+_TotalOpex)/_TotalRevenueCash</f>
        <v>0.38689905079192694</v>
      </c>
      <c r="L303" s="140">
        <f t="shared" ref="L303:AO303" ca="1" si="647">(_TotalRevenueCash+_TotalOpex)/_TotalRevenueCash</f>
        <v>0.39591270177811994</v>
      </c>
      <c r="M303" s="140">
        <f t="shared" ca="1" si="647"/>
        <v>0.40474938726707815</v>
      </c>
      <c r="N303" s="140">
        <f t="shared" ca="1" si="647"/>
        <v>0.41339913271361584</v>
      </c>
      <c r="O303" s="140">
        <f t="shared" ca="1" si="647"/>
        <v>0.42185395006467047</v>
      </c>
      <c r="P303" s="140">
        <f t="shared" ca="1" si="647"/>
        <v>0.43010765336308271</v>
      </c>
      <c r="Q303" s="140">
        <f t="shared" ca="1" si="647"/>
        <v>0.43815567999957572</v>
      </c>
      <c r="R303" s="140">
        <f ca="1">(_TotalRevenueCash+_TotalOpex)/_TotalRevenueCash</f>
        <v>0.44599491961302118</v>
      </c>
      <c r="S303" s="140">
        <f t="shared" ca="1" si="647"/>
        <v>0.45362355208230065</v>
      </c>
      <c r="T303" s="140">
        <f t="shared" ca="1" si="647"/>
        <v>0.46104089557842504</v>
      </c>
      <c r="U303" s="140">
        <f t="shared" ca="1" si="647"/>
        <v>0.46824726524903409</v>
      </c>
      <c r="V303" s="140">
        <f t="shared" ca="1" si="647"/>
        <v>0.47514466017711571</v>
      </c>
      <c r="W303" s="140">
        <f t="shared" ca="1" si="647"/>
        <v>0.48039098595420399</v>
      </c>
      <c r="X303" s="140">
        <f t="shared" ca="1" si="647"/>
        <v>0.48549126666130971</v>
      </c>
      <c r="Y303" s="140">
        <f t="shared" ca="1" si="647"/>
        <v>0.490449685958741</v>
      </c>
      <c r="Z303" s="140">
        <f t="shared" ca="1" si="647"/>
        <v>0.49527033409987531</v>
      </c>
      <c r="AA303" s="140">
        <f t="shared" ca="1" si="647"/>
        <v>0.49995720616061162</v>
      </c>
      <c r="AB303" s="140">
        <f t="shared" ca="1" si="647"/>
        <v>0.5045142008274458</v>
      </c>
      <c r="AC303" s="140">
        <f t="shared" ca="1" si="647"/>
        <v>0.50894511967883649</v>
      </c>
      <c r="AD303" s="140">
        <f t="shared" ca="1" si="647"/>
        <v>0.51325366690061325</v>
      </c>
      <c r="AE303" s="140">
        <f t="shared" ca="1" si="647"/>
        <v>0.51744344938180276</v>
      </c>
      <c r="AF303" s="140">
        <f t="shared" ca="1" si="647"/>
        <v>0.52151797714242798</v>
      </c>
      <c r="AG303" s="140">
        <f t="shared" ca="1" si="647"/>
        <v>0.52548066404958582</v>
      </c>
      <c r="AH303" s="140">
        <f t="shared" ca="1" si="647"/>
        <v>0.52854970286596725</v>
      </c>
      <c r="AI303" s="140">
        <f t="shared" ca="1" si="647"/>
        <v>0.53149935230311196</v>
      </c>
      <c r="AJ303" s="140">
        <f t="shared" ca="1" si="647"/>
        <v>0.53438843373728306</v>
      </c>
      <c r="AK303" s="140">
        <f t="shared" ca="1" si="647"/>
        <v>0.5372180437137174</v>
      </c>
      <c r="AL303" s="140">
        <f t="shared" ca="1" si="647"/>
        <v>0.53998927220931714</v>
      </c>
      <c r="AM303" s="140">
        <f t="shared" ca="1" si="647"/>
        <v>0.5427032015462725</v>
      </c>
      <c r="AN303" s="140">
        <f t="shared" ca="1" si="647"/>
        <v>0.5453057050173068</v>
      </c>
      <c r="AO303" s="140">
        <f t="shared" ca="1" si="647"/>
        <v>0.54757180770777769</v>
      </c>
      <c r="AP303" s="140">
        <f t="shared" ref="AP303:BU303" ca="1" si="648">(_TotalRevenueCash+_TotalOpex)/_TotalRevenueCash</f>
        <v>0.54979665196264038</v>
      </c>
      <c r="AQ303" s="140">
        <f t="shared" ca="1" si="648"/>
        <v>0.55198087446993538</v>
      </c>
      <c r="AR303" s="140">
        <f t="shared" ca="1" si="648"/>
        <v>0.55412510837728102</v>
      </c>
      <c r="AS303" s="140">
        <f t="shared" ca="1" si="648"/>
        <v>0.55622998292308845</v>
      </c>
      <c r="AT303" s="140">
        <f t="shared" ca="1" si="648"/>
        <v>0.58031006041392119</v>
      </c>
      <c r="AU303" s="140">
        <f t="shared" ca="1" si="648"/>
        <v>0.58232331294907147</v>
      </c>
      <c r="AV303" s="140">
        <f t="shared" ca="1" si="648"/>
        <v>0.58429923476334322</v>
      </c>
      <c r="AW303" s="140">
        <f t="shared" ca="1" si="648"/>
        <v>0.58623844370439238</v>
      </c>
      <c r="AX303" s="140">
        <f t="shared" ca="1" si="648"/>
        <v>0.58814155140022917</v>
      </c>
      <c r="AY303" s="140">
        <f t="shared" ca="1" si="648"/>
        <v>0.59000916308930096</v>
      </c>
      <c r="AZ303" s="140">
        <f t="shared" ca="1" si="648"/>
        <v>0.59184187746747519</v>
      </c>
      <c r="BA303" s="140">
        <f t="shared" ca="1" si="648"/>
        <v>0.59364028655102952</v>
      </c>
      <c r="BB303" s="140">
        <f t="shared" ca="1" si="648"/>
        <v>0.59540497555478378</v>
      </c>
      <c r="BC303" s="140">
        <f t="shared" ca="1" si="648"/>
        <v>0.59713652278455465</v>
      </c>
      <c r="BD303" s="140">
        <f t="shared" ca="1" si="648"/>
        <v>0.59883549954313298</v>
      </c>
      <c r="BE303" s="140">
        <f t="shared" ca="1" si="648"/>
        <v>0.60050247004903345</v>
      </c>
      <c r="BF303" s="140">
        <f t="shared" ca="1" si="648"/>
        <v>0.60209793852967064</v>
      </c>
      <c r="BG303" s="140">
        <f t="shared" ca="1" si="648"/>
        <v>0.60367596240059518</v>
      </c>
      <c r="BH303" s="140">
        <f t="shared" ca="1" si="648"/>
        <v>0.60522460871567429</v>
      </c>
      <c r="BI303" s="140">
        <f t="shared" ca="1" si="648"/>
        <v>0.60674437887652433</v>
      </c>
      <c r="BJ303" s="140">
        <f t="shared" ca="1" si="648"/>
        <v>0.60823576801729495</v>
      </c>
      <c r="BK303" s="140">
        <f t="shared" ca="1" si="648"/>
        <v>0.60969926496028182</v>
      </c>
      <c r="BL303" s="140">
        <f t="shared" ca="1" si="648"/>
        <v>0.61113535217996329</v>
      </c>
      <c r="BM303" s="140">
        <f t="shared" ca="1" si="648"/>
        <v>0.61254450577497821</v>
      </c>
      <c r="BN303" s="140">
        <f t="shared" ca="1" si="648"/>
        <v>0.61392719544758489</v>
      </c>
      <c r="BO303" s="140">
        <f t="shared" ca="1" si="648"/>
        <v>0.61528388449015958</v>
      </c>
      <c r="BP303" s="140">
        <f t="shared" ca="1" si="648"/>
        <v>0.61661502977831517</v>
      </c>
      <c r="BQ303" s="140">
        <f t="shared" ca="1" si="648"/>
        <v>0.6179210817702353</v>
      </c>
      <c r="BR303" s="140">
        <f t="shared" ca="1" si="648"/>
        <v>0.6100667543172662</v>
      </c>
      <c r="BS303" s="140">
        <f t="shared" ca="1" si="648"/>
        <v>0.61202704366593552</v>
      </c>
      <c r="BT303" s="140">
        <f t="shared" ca="1" si="648"/>
        <v>0.61382103606391081</v>
      </c>
      <c r="BU303" s="140">
        <f t="shared" ca="1" si="648"/>
        <v>0.61545962231761808</v>
      </c>
      <c r="BV303" s="140">
        <f t="shared" ref="BV303:DY303" ca="1" si="649">(_TotalRevenueCash+_TotalOpex)/_TotalRevenueCash</f>
        <v>0.61695234462883841</v>
      </c>
      <c r="BW303" s="140">
        <f t="shared" ca="1" si="649"/>
        <v>0.61830755592410147</v>
      </c>
      <c r="BX303" s="140">
        <f t="shared" ca="1" si="649"/>
        <v>0.61953255332472945</v>
      </c>
      <c r="BY303" s="140">
        <f t="shared" ca="1" si="649"/>
        <v>0.62063369002446256</v>
      </c>
      <c r="BZ303" s="140">
        <f t="shared" ca="1" si="649"/>
        <v>0.62161646898946188</v>
      </c>
      <c r="CA303" s="140">
        <f t="shared" ca="1" si="649"/>
        <v>0.62248562121901641</v>
      </c>
      <c r="CB303" s="140">
        <f t="shared" ca="1" si="649"/>
        <v>0.623245170763155</v>
      </c>
      <c r="CC303" s="140">
        <f t="shared" ca="1" si="649"/>
        <v>0.62389848825433813</v>
      </c>
      <c r="CD303" s="140">
        <f t="shared" ca="1" si="649"/>
        <v>0.62446764086969031</v>
      </c>
      <c r="CE303" s="140">
        <f t="shared" ca="1" si="649"/>
        <v>0.62499514495986186</v>
      </c>
      <c r="CF303" s="140">
        <f t="shared" ca="1" si="649"/>
        <v>0.62548077852586581</v>
      </c>
      <c r="CG303" s="140">
        <f t="shared" ca="1" si="649"/>
        <v>0.62592531300766197</v>
      </c>
      <c r="CH303" s="140">
        <f t="shared" ca="1" si="649"/>
        <v>0.62632942349621368</v>
      </c>
      <c r="CI303" s="140">
        <f t="shared" ca="1" si="649"/>
        <v>0.62669369203509206</v>
      </c>
      <c r="CJ303" s="140">
        <f t="shared" ca="1" si="649"/>
        <v>0.62701861038324347</v>
      </c>
      <c r="CK303" s="140">
        <f t="shared" ca="1" si="649"/>
        <v>0.62730458226523733</v>
      </c>
      <c r="CL303" s="140">
        <f t="shared" ca="1" si="649"/>
        <v>0.62755192512984093</v>
      </c>
      <c r="CM303" s="140">
        <f t="shared" ca="1" si="649"/>
        <v>0.6277608714326125</v>
      </c>
      <c r="CN303" s="140">
        <f t="shared" ca="1" si="649"/>
        <v>0.62793156945329209</v>
      </c>
      <c r="CO303" s="140">
        <f t="shared" ca="1" si="649"/>
        <v>0.62806408365400612</v>
      </c>
      <c r="CP303" s="140">
        <f t="shared" ca="1" si="649"/>
        <v>0.62819790477806148</v>
      </c>
      <c r="CQ303" s="140">
        <f t="shared" ca="1" si="649"/>
        <v>0.62831704246046616</v>
      </c>
      <c r="CR303" s="140">
        <f t="shared" ca="1" si="649"/>
        <v>0.62842147670127102</v>
      </c>
      <c r="CS303" s="140">
        <f t="shared" ca="1" si="649"/>
        <v>0.62851117277384116</v>
      </c>
      <c r="CT303" s="140">
        <f t="shared" ca="1" si="649"/>
        <v>0.6285860811206494</v>
      </c>
      <c r="CU303" s="140">
        <f t="shared" ca="1" si="649"/>
        <v>0.62864613715082485</v>
      </c>
      <c r="CV303" s="140">
        <f t="shared" ca="1" si="649"/>
        <v>0.62869686263217051</v>
      </c>
      <c r="CW303" s="140">
        <f t="shared" ca="1" si="649"/>
        <v>0.62874471552991107</v>
      </c>
      <c r="CX303" s="140">
        <f t="shared" ca="1" si="649"/>
        <v>0.62878996661353981</v>
      </c>
      <c r="CY303" s="140">
        <f t="shared" ca="1" si="649"/>
        <v>0.62883260631188487</v>
      </c>
      <c r="CZ303" s="140">
        <f t="shared" ca="1" si="649"/>
        <v>0.62887262406936761</v>
      </c>
      <c r="DA303" s="140">
        <f t="shared" ca="1" si="649"/>
        <v>0.6289100083333613</v>
      </c>
      <c r="DB303" s="140">
        <f t="shared" ca="1" si="649"/>
        <v>0.6289447397611283</v>
      </c>
      <c r="DC303" s="140">
        <f t="shared" ca="1" si="649"/>
        <v>0.62897732315554011</v>
      </c>
      <c r="DD303" s="140">
        <f t="shared" ca="1" si="649"/>
        <v>0.62900766108956319</v>
      </c>
      <c r="DE303" s="140">
        <f t="shared" ca="1" si="649"/>
        <v>0.62903574164940523</v>
      </c>
      <c r="DF303" s="140">
        <f t="shared" ca="1" si="649"/>
        <v>0.6290615520837689</v>
      </c>
      <c r="DG303" s="140">
        <f t="shared" ca="1" si="649"/>
        <v>0.62908507879105302</v>
      </c>
      <c r="DH303" s="140">
        <f t="shared" ca="1" si="649"/>
        <v>0.62910630730590456</v>
      </c>
      <c r="DI303" s="140">
        <f t="shared" ca="1" si="649"/>
        <v>0.62912522228511036</v>
      </c>
      <c r="DJ303" s="140">
        <f t="shared" ca="1" si="649"/>
        <v>0.62914180749280446</v>
      </c>
      <c r="DK303" s="140">
        <f t="shared" ca="1" si="649"/>
        <v>0.62915604578497242</v>
      </c>
      <c r="DL303" s="140">
        <f t="shared" ca="1" si="649"/>
        <v>0.62916791909322911</v>
      </c>
      <c r="DM303" s="140">
        <f t="shared" ca="1" si="649"/>
        <v>0.62917740840785019</v>
      </c>
      <c r="DN303" s="140">
        <f t="shared" ca="1" si="649"/>
        <v>0.62918743934344523</v>
      </c>
      <c r="DO303" s="140">
        <f t="shared" ca="1" si="649"/>
        <v>0.6291965363641665</v>
      </c>
      <c r="DP303" s="140">
        <f t="shared" ca="1" si="649"/>
        <v>0.62920469263192436</v>
      </c>
      <c r="DQ303" s="140">
        <f t="shared" ca="1" si="649"/>
        <v>0.629211901006279</v>
      </c>
      <c r="DR303" s="140">
        <f t="shared" ca="1" si="649"/>
        <v>0.6292181540398496</v>
      </c>
      <c r="DS303" s="140">
        <f t="shared" ca="1" si="649"/>
        <v>0.62922344397309082</v>
      </c>
      <c r="DT303" s="140">
        <f t="shared" ca="1" si="649"/>
        <v>0.62922776272889314</v>
      </c>
      <c r="DU303" s="140">
        <f t="shared" ca="1" si="649"/>
        <v>0.62923110190700604</v>
      </c>
      <c r="DV303" s="140">
        <f t="shared" ca="1" si="649"/>
        <v>0.62923345277827525</v>
      </c>
      <c r="DW303" s="140">
        <f t="shared" ca="1" si="649"/>
        <v>0.62923480627869188</v>
      </c>
      <c r="DX303" s="140">
        <f t="shared" ca="1" si="649"/>
        <v>0.62923515300324728</v>
      </c>
      <c r="DY303" s="140">
        <f t="shared" ca="1" si="649"/>
        <v>0.62923448319958675</v>
      </c>
    </row>
    <row r="304" spans="2:129" outlineLevel="1">
      <c r="D304" s="5" t="s">
        <v>513</v>
      </c>
      <c r="F304" s="334"/>
      <c r="J304" s="140">
        <f ca="1">(_TotalRevenueCash+_VAT+_TotalOpex+_Interest+_cfDebtRepayment)/(_TotalRevenueCash+_VAT)</f>
        <v>0.16711537349967162</v>
      </c>
      <c r="K304" s="140">
        <f t="shared" ref="K304:AO304" ca="1" si="650">(_TotalRevenueCash+_VAT+_TotalOpex+_Interest+_cfDebtRepayment)/(_TotalRevenueCash+_VAT)</f>
        <v>0.2521915233737429</v>
      </c>
      <c r="L304" s="140">
        <f t="shared" ca="1" si="650"/>
        <v>0.2643625197680099</v>
      </c>
      <c r="M304" s="140">
        <f t="shared" ca="1" si="650"/>
        <v>0.27628718429431937</v>
      </c>
      <c r="N304" s="140">
        <f t="shared" ca="1" si="650"/>
        <v>0.2879526675569466</v>
      </c>
      <c r="O304" s="140">
        <f t="shared" ca="1" si="650"/>
        <v>0.29934877409545685</v>
      </c>
      <c r="P304" s="140">
        <f t="shared" ca="1" si="650"/>
        <v>0.31046771203581169</v>
      </c>
      <c r="Q304" s="140">
        <f t="shared" ca="1" si="650"/>
        <v>0.32130385093670283</v>
      </c>
      <c r="R304" s="140">
        <f ca="1">(_TotalRevenueCash+_VAT+_TotalOpex+_Interest+_cfDebtRepayment)/(_TotalRevenueCash+_VAT)</f>
        <v>0.33185349044650786</v>
      </c>
      <c r="S304" s="140">
        <f t="shared" ca="1" si="650"/>
        <v>0.3421146416407036</v>
      </c>
      <c r="T304" s="140">
        <f t="shared" ca="1" si="650"/>
        <v>0.35208682227568866</v>
      </c>
      <c r="U304" s="140">
        <f t="shared" ca="1" si="650"/>
        <v>0.36177086666691005</v>
      </c>
      <c r="V304" s="140">
        <f t="shared" ca="1" si="650"/>
        <v>0.1671306019550991</v>
      </c>
      <c r="W304" s="140">
        <f t="shared" ca="1" si="650"/>
        <v>0.18163178341193406</v>
      </c>
      <c r="X304" s="140">
        <f t="shared" ca="1" si="650"/>
        <v>0.19567306487967684</v>
      </c>
      <c r="Y304" s="140">
        <f t="shared" ca="1" si="650"/>
        <v>0.20926942253264641</v>
      </c>
      <c r="Z304" s="140">
        <f t="shared" ca="1" si="650"/>
        <v>0.2224354018958187</v>
      </c>
      <c r="AA304" s="140">
        <f t="shared" ca="1" si="650"/>
        <v>0.23518512073871337</v>
      </c>
      <c r="AB304" s="140">
        <f t="shared" ca="1" si="650"/>
        <v>0.24753227327137745</v>
      </c>
      <c r="AC304" s="140">
        <f t="shared" ca="1" si="650"/>
        <v>0.25949013545354133</v>
      </c>
      <c r="AD304" s="140">
        <f t="shared" ca="1" si="650"/>
        <v>0.27107157124777309</v>
      </c>
      <c r="AE304" s="140">
        <f t="shared" ca="1" si="650"/>
        <v>0.28228903966548496</v>
      </c>
      <c r="AF304" s="140">
        <f t="shared" ca="1" si="650"/>
        <v>0.29315460247108671</v>
      </c>
      <c r="AG304" s="140">
        <f t="shared" ca="1" si="650"/>
        <v>0.30367993242449359</v>
      </c>
      <c r="AH304" s="140">
        <f t="shared" ca="1" si="650"/>
        <v>5.6621353265097686E-2</v>
      </c>
      <c r="AI304" s="140">
        <f t="shared" ca="1" si="650"/>
        <v>0.24766474581854608</v>
      </c>
      <c r="AJ304" s="140">
        <f t="shared" ca="1" si="650"/>
        <v>0.25736047234441212</v>
      </c>
      <c r="AK304" s="140">
        <f t="shared" ca="1" si="650"/>
        <v>0.26682064131042088</v>
      </c>
      <c r="AL304" s="140">
        <f t="shared" ca="1" si="650"/>
        <v>0.27605055142107449</v>
      </c>
      <c r="AM304" s="140">
        <f t="shared" ca="1" si="650"/>
        <v>0.28505541944286239</v>
      </c>
      <c r="AN304" s="140">
        <f t="shared" ca="1" si="650"/>
        <v>0.14771467707870062</v>
      </c>
      <c r="AO304" s="140">
        <f t="shared" ca="1" si="650"/>
        <v>0.15957473774731182</v>
      </c>
      <c r="AP304" s="140">
        <f t="shared" ref="AP304:BU304" ca="1" si="651">(_TotalRevenueCash+_VAT+_TotalOpex+_Interest+_cfDebtRepayment)/(_TotalRevenueCash+_VAT)</f>
        <v>0.17116425733241369</v>
      </c>
      <c r="AQ304" s="140">
        <f t="shared" ca="1" si="651"/>
        <v>0.18248871231399688</v>
      </c>
      <c r="AR304" s="140">
        <f t="shared" ca="1" si="651"/>
        <v>0.19355350162400417</v>
      </c>
      <c r="AS304" s="140">
        <f t="shared" ca="1" si="651"/>
        <v>0.20436394579946832</v>
      </c>
      <c r="AT304" s="140">
        <f t="shared" ca="1" si="651"/>
        <v>0.35589946006094508</v>
      </c>
      <c r="AU304" s="140">
        <f t="shared" ca="1" si="651"/>
        <v>0.36272318009901255</v>
      </c>
      <c r="AV304" s="140">
        <f t="shared" ca="1" si="651"/>
        <v>0.36939776438617145</v>
      </c>
      <c r="AW304" s="140">
        <f t="shared" ca="1" si="651"/>
        <v>0.37592619608873562</v>
      </c>
      <c r="AX304" s="140">
        <f t="shared" ca="1" si="651"/>
        <v>0.38231141230501342</v>
      </c>
      <c r="AY304" s="140">
        <f t="shared" ca="1" si="651"/>
        <v>0.38855630400610514</v>
      </c>
      <c r="AZ304" s="140">
        <f t="shared" ca="1" si="651"/>
        <v>0.39466371603216094</v>
      </c>
      <c r="BA304" s="140">
        <f t="shared" ca="1" si="651"/>
        <v>0.40063644714038904</v>
      </c>
      <c r="BB304" s="140">
        <f t="shared" ca="1" si="651"/>
        <v>0.406477250101279</v>
      </c>
      <c r="BC304" s="140">
        <f t="shared" ca="1" si="651"/>
        <v>0.41218883183968069</v>
      </c>
      <c r="BD304" s="140">
        <f t="shared" ca="1" si="651"/>
        <v>0.41777385361753738</v>
      </c>
      <c r="BE304" s="140">
        <f t="shared" ca="1" si="651"/>
        <v>0.4232349312552442</v>
      </c>
      <c r="BF304" s="140">
        <f t="shared" ca="1" si="651"/>
        <v>0.35247913550940607</v>
      </c>
      <c r="BG304" s="140">
        <f t="shared" ca="1" si="651"/>
        <v>0.4117677556658631</v>
      </c>
      <c r="BH304" s="140">
        <f t="shared" ca="1" si="651"/>
        <v>0.41724666472824995</v>
      </c>
      <c r="BI304" s="140">
        <f t="shared" ca="1" si="651"/>
        <v>0.42260616961921982</v>
      </c>
      <c r="BJ304" s="140">
        <f t="shared" ca="1" si="651"/>
        <v>0.42784869495577321</v>
      </c>
      <c r="BK304" s="140">
        <f t="shared" ca="1" si="651"/>
        <v>0.43297662409409488</v>
      </c>
      <c r="BL304" s="140">
        <f t="shared" ca="1" si="651"/>
        <v>0.39415090731896874</v>
      </c>
      <c r="BM304" s="140">
        <f t="shared" ca="1" si="651"/>
        <v>0.40026791174913789</v>
      </c>
      <c r="BN304" s="140">
        <f t="shared" ca="1" si="651"/>
        <v>0.40624708469848897</v>
      </c>
      <c r="BO304" s="140">
        <f t="shared" ca="1" si="651"/>
        <v>0.41209133420064353</v>
      </c>
      <c r="BP304" s="140">
        <f t="shared" ca="1" si="651"/>
        <v>0.41780351500645391</v>
      </c>
      <c r="BQ304" s="140">
        <f t="shared" ca="1" si="651"/>
        <v>0.42338642915392299</v>
      </c>
      <c r="BR304" s="140">
        <f t="shared" ca="1" si="651"/>
        <v>0.3681386967155898</v>
      </c>
      <c r="BS304" s="140">
        <f t="shared" ca="1" si="651"/>
        <v>0.40937513925122709</v>
      </c>
      <c r="BT304" s="140">
        <f t="shared" ca="1" si="651"/>
        <v>0.41471575451529091</v>
      </c>
      <c r="BU304" s="140">
        <f t="shared" ca="1" si="651"/>
        <v>0.41965957281836352</v>
      </c>
      <c r="BV304" s="140">
        <f t="shared" ref="BV304:DY304" ca="1" si="652">(_TotalRevenueCash+_VAT+_TotalOpex+_Interest+_cfDebtRepayment)/(_TotalRevenueCash+_VAT)</f>
        <v>0.42423298085700006</v>
      </c>
      <c r="BW304" s="140">
        <f t="shared" ca="1" si="652"/>
        <v>0.4284592570983986</v>
      </c>
      <c r="BX304" s="140">
        <f t="shared" ca="1" si="652"/>
        <v>0.40226549950671942</v>
      </c>
      <c r="BY304" s="140">
        <f t="shared" ca="1" si="652"/>
        <v>0.40640037254164085</v>
      </c>
      <c r="BZ304" s="140">
        <f t="shared" ca="1" si="652"/>
        <v>0.41020874582975214</v>
      </c>
      <c r="CA304" s="140">
        <f t="shared" ca="1" si="652"/>
        <v>0.41370650104301432</v>
      </c>
      <c r="CB304" s="140">
        <f t="shared" ca="1" si="652"/>
        <v>0.41690752219641442</v>
      </c>
      <c r="CC304" s="140">
        <f t="shared" ca="1" si="652"/>
        <v>0.41982386898514906</v>
      </c>
      <c r="CD304" s="140">
        <f t="shared" ca="1" si="652"/>
        <v>0.37810421558945451</v>
      </c>
      <c r="CE304" s="140">
        <f t="shared" ca="1" si="652"/>
        <v>0.41201463119679577</v>
      </c>
      <c r="CF304" s="140">
        <f t="shared" ca="1" si="652"/>
        <v>0.41448709336779299</v>
      </c>
      <c r="CG304" s="140">
        <f t="shared" ca="1" si="652"/>
        <v>0.41684282011052448</v>
      </c>
      <c r="CH304" s="140">
        <f t="shared" ca="1" si="652"/>
        <v>0.4190848443770307</v>
      </c>
      <c r="CI304" s="140">
        <f t="shared" ca="1" si="652"/>
        <v>0.4212159312396942</v>
      </c>
      <c r="CJ304" s="140">
        <f t="shared" ca="1" si="652"/>
        <v>0.39518911523169292</v>
      </c>
      <c r="CK304" s="140">
        <f t="shared" ca="1" si="652"/>
        <v>0.39742441833490921</v>
      </c>
      <c r="CL304" s="140">
        <f t="shared" ca="1" si="652"/>
        <v>0.39954493751965842</v>
      </c>
      <c r="CM304" s="140">
        <f t="shared" ca="1" si="652"/>
        <v>0.40155278020525925</v>
      </c>
      <c r="CN304" s="140">
        <f t="shared" ca="1" si="652"/>
        <v>0.40344980942834546</v>
      </c>
      <c r="CO304" s="140">
        <f t="shared" ca="1" si="652"/>
        <v>0.40523765013304047</v>
      </c>
      <c r="CP304" s="140">
        <f t="shared" ca="1" si="652"/>
        <v>0.43345299985606861</v>
      </c>
      <c r="CQ304" s="140">
        <f t="shared" ca="1" si="652"/>
        <v>0.46463083965022162</v>
      </c>
      <c r="CR304" s="140">
        <f t="shared" ca="1" si="652"/>
        <v>0.4656203433721785</v>
      </c>
      <c r="CS304" s="140">
        <f t="shared" ca="1" si="652"/>
        <v>0.46657587392411293</v>
      </c>
      <c r="CT304" s="140">
        <f t="shared" ca="1" si="652"/>
        <v>0.46749762108145559</v>
      </c>
      <c r="CU304" s="140">
        <f t="shared" ca="1" si="652"/>
        <v>0.46838574290089341</v>
      </c>
      <c r="CV304" s="140">
        <f t="shared" ca="1" si="652"/>
        <v>0.44169384169245562</v>
      </c>
      <c r="CW304" s="140">
        <f t="shared" ca="1" si="652"/>
        <v>0.44278696940547385</v>
      </c>
      <c r="CX304" s="140">
        <f t="shared" ca="1" si="652"/>
        <v>0.4438729687410089</v>
      </c>
      <c r="CY304" s="140">
        <f t="shared" ca="1" si="652"/>
        <v>0.44495188495169452</v>
      </c>
      <c r="CZ304" s="140">
        <f t="shared" ca="1" si="652"/>
        <v>0.44602376124556109</v>
      </c>
      <c r="DA304" s="140">
        <f t="shared" ca="1" si="652"/>
        <v>0.44708863879843119</v>
      </c>
      <c r="DB304" s="140">
        <f t="shared" ca="1" si="652"/>
        <v>0.40574533245543037</v>
      </c>
      <c r="DC304" s="140">
        <f t="shared" ca="1" si="652"/>
        <v>0.4367314541407703</v>
      </c>
      <c r="DD304" s="140">
        <f t="shared" ca="1" si="652"/>
        <v>0.43778123520384193</v>
      </c>
      <c r="DE304" s="140">
        <f t="shared" ca="1" si="652"/>
        <v>0.43882491997276168</v>
      </c>
      <c r="DF304" s="140">
        <f t="shared" ca="1" si="652"/>
        <v>0.4398625364072572</v>
      </c>
      <c r="DG304" s="140">
        <f t="shared" ca="1" si="652"/>
        <v>0.44089411081451862</v>
      </c>
      <c r="DH304" s="140">
        <f t="shared" ca="1" si="652"/>
        <v>0.41448253244327043</v>
      </c>
      <c r="DI304" s="140">
        <f t="shared" ca="1" si="652"/>
        <v>0.41573820293969149</v>
      </c>
      <c r="DJ304" s="140">
        <f t="shared" ca="1" si="652"/>
        <v>0.41698725743004722</v>
      </c>
      <c r="DK304" s="140">
        <f t="shared" ca="1" si="652"/>
        <v>0.41822972598692854</v>
      </c>
      <c r="DL304" s="140">
        <f t="shared" ca="1" si="652"/>
        <v>0.41946563695799532</v>
      </c>
      <c r="DM304" s="140">
        <f t="shared" ca="1" si="652"/>
        <v>0.42069501697063483</v>
      </c>
      <c r="DN304" s="140">
        <f t="shared" ca="1" si="652"/>
        <v>0.39983420543463738</v>
      </c>
      <c r="DO304" s="140">
        <f t="shared" ca="1" si="652"/>
        <v>0.43958926340273718</v>
      </c>
      <c r="DP304" s="140">
        <f t="shared" ca="1" si="652"/>
        <v>0.44053179764052403</v>
      </c>
      <c r="DQ304" s="140">
        <f t="shared" ca="1" si="652"/>
        <v>0.44147187640800611</v>
      </c>
      <c r="DR304" s="140">
        <f t="shared" ca="1" si="652"/>
        <v>0.44240950511768229</v>
      </c>
      <c r="DS304" s="140">
        <f t="shared" ca="1" si="652"/>
        <v>0.44334468866614557</v>
      </c>
      <c r="DT304" s="140">
        <f t="shared" ca="1" si="652"/>
        <v>0.40865617677677152</v>
      </c>
      <c r="DU304" s="140">
        <f t="shared" ca="1" si="652"/>
        <v>0.40988716499324723</v>
      </c>
      <c r="DV304" s="140">
        <f t="shared" ca="1" si="652"/>
        <v>0.41111539075481784</v>
      </c>
      <c r="DW304" s="140">
        <f t="shared" ca="1" si="652"/>
        <v>0.41234086202286752</v>
      </c>
      <c r="DX304" s="140">
        <f t="shared" ca="1" si="652"/>
        <v>0.4135635862304497</v>
      </c>
      <c r="DY304" s="140">
        <f t="shared" ca="1" si="652"/>
        <v>0.41478357028377305</v>
      </c>
    </row>
    <row r="305" spans="3:129" outlineLevel="1">
      <c r="D305" s="5" t="s">
        <v>514</v>
      </c>
      <c r="F305" s="334"/>
      <c r="J305" s="140">
        <f ca="1">(_TotalRevenueCash+_TotalCOGSCash+_VAT+_TotalOpex+_CorporateTax+_Interest+_cfDebtRepayment)/(_TotalRevenueCash+_VAT)</f>
        <v>-1.6240083373677379</v>
      </c>
      <c r="K305" s="140">
        <f t="shared" ref="K305:AO305" ca="1" si="653">(_TotalRevenueCash+_TotalCOGSCash+_VAT+_TotalOpex+_CorporateTax+_Interest+_cfDebtRepayment)/(_TotalRevenueCash+_VAT)</f>
        <v>-0.17803153136212491</v>
      </c>
      <c r="L305" s="140">
        <f t="shared" ca="1" si="653"/>
        <v>-0.16680603941700983</v>
      </c>
      <c r="M305" s="140">
        <f t="shared" ca="1" si="653"/>
        <v>-0.15584533492103189</v>
      </c>
      <c r="N305" s="140">
        <f t="shared" ca="1" si="653"/>
        <v>-0.14515811477778526</v>
      </c>
      <c r="O305" s="140">
        <f t="shared" ca="1" si="653"/>
        <v>-0.13475077280186851</v>
      </c>
      <c r="P305" s="140">
        <f t="shared" ca="1" si="653"/>
        <v>-0.12462763755624834</v>
      </c>
      <c r="Q305" s="140">
        <f t="shared" ca="1" si="653"/>
        <v>-0.11479119973422999</v>
      </c>
      <c r="R305" s="140">
        <f ca="1">(_TotalRevenueCash+_TotalCOGSCash+_VAT+_TotalOpex+_CorporateTax+_Interest+_cfDebtRepayment)/(_TotalRevenueCash+_VAT)</f>
        <v>-0.10524232710837955</v>
      </c>
      <c r="S305" s="140">
        <f t="shared" ca="1" si="653"/>
        <v>-9.5980465724559066E-2</v>
      </c>
      <c r="T305" s="140">
        <f t="shared" ca="1" si="653"/>
        <v>-8.7003826568082726E-2</v>
      </c>
      <c r="U305" s="140">
        <f t="shared" ca="1" si="653"/>
        <v>-7.8309557378398745E-2</v>
      </c>
      <c r="V305" s="140">
        <f t="shared" ca="1" si="653"/>
        <v>-0.26713839343484425</v>
      </c>
      <c r="W305" s="140">
        <f t="shared" ca="1" si="653"/>
        <v>-0.25276909828524663</v>
      </c>
      <c r="X305" s="140">
        <f t="shared" ca="1" si="653"/>
        <v>-0.23885877189796995</v>
      </c>
      <c r="Y305" s="140">
        <f t="shared" ca="1" si="653"/>
        <v>-0.22539235761625986</v>
      </c>
      <c r="Z305" s="140">
        <f t="shared" ca="1" si="653"/>
        <v>-0.21235523729495415</v>
      </c>
      <c r="AA305" s="140">
        <f t="shared" ca="1" si="653"/>
        <v>-0.19973322785852671</v>
      </c>
      <c r="AB305" s="140">
        <f t="shared" ca="1" si="653"/>
        <v>-0.69680658002610718</v>
      </c>
      <c r="AC305" s="140">
        <f t="shared" ca="1" si="653"/>
        <v>-0.18019606394114196</v>
      </c>
      <c r="AD305" s="140">
        <f t="shared" ca="1" si="653"/>
        <v>-0.17140708524702605</v>
      </c>
      <c r="AE305" s="140">
        <f t="shared" ca="1" si="653"/>
        <v>-0.16289737271775784</v>
      </c>
      <c r="AF305" s="140">
        <f t="shared" ca="1" si="653"/>
        <v>-0.15465747364313612</v>
      </c>
      <c r="AG305" s="140">
        <f t="shared" ca="1" si="653"/>
        <v>-0.14667825107275367</v>
      </c>
      <c r="AH305" s="140">
        <f t="shared" ca="1" si="653"/>
        <v>-0.37388738852515169</v>
      </c>
      <c r="AI305" s="140">
        <f t="shared" ca="1" si="653"/>
        <v>-0.18278769768055991</v>
      </c>
      <c r="AJ305" s="140">
        <f t="shared" ca="1" si="653"/>
        <v>-0.1730368102197419</v>
      </c>
      <c r="AK305" s="140">
        <f t="shared" ca="1" si="653"/>
        <v>-0.16352259774744668</v>
      </c>
      <c r="AL305" s="140">
        <f t="shared" ca="1" si="653"/>
        <v>-0.15423974171669669</v>
      </c>
      <c r="AM305" s="140">
        <f t="shared" ca="1" si="653"/>
        <v>-0.14626509349596231</v>
      </c>
      <c r="AN305" s="140">
        <f t="shared" ca="1" si="653"/>
        <v>-0.28577006302792773</v>
      </c>
      <c r="AO305" s="140">
        <f t="shared" ca="1" si="653"/>
        <v>-0.27640767022753532</v>
      </c>
      <c r="AP305" s="140">
        <f t="shared" ref="AP305:BU305" ca="1" si="654">(_TotalRevenueCash+_TotalCOGSCash+_VAT+_TotalOpex+_CorporateTax+_Interest+_cfDebtRepayment)/(_TotalRevenueCash+_VAT)</f>
        <v>-0.26725394755814147</v>
      </c>
      <c r="AQ305" s="140">
        <f t="shared" ca="1" si="654"/>
        <v>-0.25830468594682948</v>
      </c>
      <c r="AR305" s="140">
        <f t="shared" ca="1" si="654"/>
        <v>-0.24955573801365477</v>
      </c>
      <c r="AS305" s="140">
        <f t="shared" ca="1" si="654"/>
        <v>-0.24100301855720413</v>
      </c>
      <c r="AT305" s="140">
        <f t="shared" ca="1" si="654"/>
        <v>-9.8571979091605672E-2</v>
      </c>
      <c r="AU305" s="140">
        <f t="shared" ca="1" si="654"/>
        <v>-9.3411532175389944E-2</v>
      </c>
      <c r="AV305" s="140">
        <f t="shared" ca="1" si="654"/>
        <v>-8.8364316302934814E-2</v>
      </c>
      <c r="AW305" s="140">
        <f t="shared" ca="1" si="654"/>
        <v>-8.3427998247640661E-2</v>
      </c>
      <c r="AX305" s="140">
        <f t="shared" ca="1" si="654"/>
        <v>-7.8600284546224697E-2</v>
      </c>
      <c r="AY305" s="140">
        <f t="shared" ca="1" si="654"/>
        <v>-7.3878921314411705E-2</v>
      </c>
      <c r="AZ305" s="140">
        <f t="shared" ca="1" si="654"/>
        <v>-6.9261694029333673E-2</v>
      </c>
      <c r="BA305" s="140">
        <f t="shared" ca="1" si="654"/>
        <v>-6.4746427281196714E-2</v>
      </c>
      <c r="BB305" s="140">
        <f t="shared" ca="1" si="654"/>
        <v>-6.0330984496651724E-2</v>
      </c>
      <c r="BC305" s="140">
        <f t="shared" ca="1" si="654"/>
        <v>-5.6013267636165751E-2</v>
      </c>
      <c r="BD305" s="140">
        <f t="shared" ca="1" si="654"/>
        <v>-5.1791216867581501E-2</v>
      </c>
      <c r="BE305" s="140">
        <f t="shared" ca="1" si="654"/>
        <v>-4.7662810217918829E-2</v>
      </c>
      <c r="BF305" s="140">
        <f t="shared" ca="1" si="654"/>
        <v>-8.9222801212706371E-2</v>
      </c>
      <c r="BG305" s="140">
        <f t="shared" ca="1" si="654"/>
        <v>-5.2838311138500939E-2</v>
      </c>
      <c r="BH305" s="140">
        <f t="shared" ca="1" si="654"/>
        <v>-4.8757296233205037E-2</v>
      </c>
      <c r="BI305" s="140">
        <f t="shared" ca="1" si="654"/>
        <v>-4.4765176694050383E-2</v>
      </c>
      <c r="BJ305" s="140">
        <f t="shared" ca="1" si="654"/>
        <v>-4.0860110969257811E-2</v>
      </c>
      <c r="BK305" s="140">
        <f t="shared" ca="1" si="654"/>
        <v>-3.7040290952291353E-2</v>
      </c>
      <c r="BL305" s="140">
        <f t="shared" ca="1" si="654"/>
        <v>-7.7292699753790162E-2</v>
      </c>
      <c r="BM305" s="140">
        <f t="shared" ca="1" si="654"/>
        <v>-7.2568449326928144E-2</v>
      </c>
      <c r="BN305" s="140">
        <f t="shared" ca="1" si="654"/>
        <v>-6.7948806445633142E-2</v>
      </c>
      <c r="BO305" s="140">
        <f t="shared" ca="1" si="654"/>
        <v>-6.3431565301881848E-2</v>
      </c>
      <c r="BP305" s="140">
        <f t="shared" ca="1" si="654"/>
        <v>-5.9014561557896972E-2</v>
      </c>
      <c r="BQ305" s="140">
        <f t="shared" ca="1" si="654"/>
        <v>-5.4695671834830185E-2</v>
      </c>
      <c r="BR305" s="140">
        <f t="shared" ca="1" si="654"/>
        <v>-8.7471009862656532E-2</v>
      </c>
      <c r="BS305" s="140">
        <f t="shared" ca="1" si="654"/>
        <v>-6.2181335517217981E-2</v>
      </c>
      <c r="BT305" s="140">
        <f t="shared" ca="1" si="654"/>
        <v>-5.8442759991922277E-2</v>
      </c>
      <c r="BU305" s="140">
        <f t="shared" ca="1" si="654"/>
        <v>-5.495382224165684E-2</v>
      </c>
      <c r="BV305" s="140">
        <f t="shared" ref="BV305:DY305" ca="1" si="655">(_TotalRevenueCash+_TotalCOGSCash+_VAT+_TotalOpex+_CorporateTax+_Interest+_cfDebtRepayment)/(_TotalRevenueCash+_VAT)</f>
        <v>-5.1696803368553708E-2</v>
      </c>
      <c r="BW305" s="140">
        <f t="shared" ca="1" si="655"/>
        <v>-4.8655979854191844E-2</v>
      </c>
      <c r="BX305" s="140">
        <f t="shared" ca="1" si="655"/>
        <v>-7.6011972783167334E-2</v>
      </c>
      <c r="BY305" s="140">
        <f t="shared" ca="1" si="655"/>
        <v>-7.2918668429219499E-2</v>
      </c>
      <c r="BZ305" s="140">
        <f t="shared" ca="1" si="655"/>
        <v>-7.0036368692678763E-2</v>
      </c>
      <c r="CA305" s="140">
        <f t="shared" ca="1" si="655"/>
        <v>-6.7353615548461615E-2</v>
      </c>
      <c r="CB305" s="140">
        <f t="shared" ca="1" si="655"/>
        <v>-6.4860262341807445E-2</v>
      </c>
      <c r="CC305" s="140">
        <f t="shared" ca="1" si="655"/>
        <v>-6.2547350945474742E-2</v>
      </c>
      <c r="CD305" s="140">
        <f t="shared" ca="1" si="655"/>
        <v>-8.7211528807874625E-2</v>
      </c>
      <c r="CE305" s="140">
        <f t="shared" ca="1" si="655"/>
        <v>-6.6516716793062383E-2</v>
      </c>
      <c r="CF305" s="140">
        <f t="shared" ca="1" si="655"/>
        <v>-6.4699612337823925E-2</v>
      </c>
      <c r="CG305" s="140">
        <f t="shared" ca="1" si="655"/>
        <v>-6.2967005083138822E-2</v>
      </c>
      <c r="CH305" s="140">
        <f t="shared" ca="1" si="655"/>
        <v>-6.1316631201629931E-2</v>
      </c>
      <c r="CI305" s="140">
        <f t="shared" ca="1" si="655"/>
        <v>-5.9746421163312739E-2</v>
      </c>
      <c r="CJ305" s="140">
        <f t="shared" ca="1" si="655"/>
        <v>-8.6398249392129117E-2</v>
      </c>
      <c r="CK305" s="140">
        <f t="shared" ca="1" si="655"/>
        <v>-8.4757803690444958E-2</v>
      </c>
      <c r="CL305" s="140">
        <f t="shared" ca="1" si="655"/>
        <v>-8.3202573321307136E-2</v>
      </c>
      <c r="CM305" s="140">
        <f t="shared" ca="1" si="655"/>
        <v>-8.1730972366038296E-2</v>
      </c>
      <c r="CN305" s="140">
        <f t="shared" ca="1" si="655"/>
        <v>-8.0341596442993157E-2</v>
      </c>
      <c r="CO305" s="140">
        <f t="shared" ca="1" si="655"/>
        <v>-7.9033217963573002E-2</v>
      </c>
      <c r="CP305" s="140">
        <f t="shared" ca="1" si="655"/>
        <v>-3.4034362088039685E-2</v>
      </c>
      <c r="CQ305" s="140">
        <f t="shared" ca="1" si="655"/>
        <v>-1.5220534710110607E-2</v>
      </c>
      <c r="CR305" s="140">
        <f t="shared" ca="1" si="655"/>
        <v>-1.4525443433745415E-2</v>
      </c>
      <c r="CS305" s="140">
        <f t="shared" ca="1" si="655"/>
        <v>-1.3856441570565666E-2</v>
      </c>
      <c r="CT305" s="140">
        <f t="shared" ca="1" si="655"/>
        <v>-1.3213391846434058E-2</v>
      </c>
      <c r="CU305" s="140">
        <f t="shared" ca="1" si="655"/>
        <v>-1.2596181563634073E-2</v>
      </c>
      <c r="CV305" s="140">
        <f t="shared" ca="1" si="655"/>
        <v>-3.9678280849359024E-2</v>
      </c>
      <c r="CW305" s="140">
        <f t="shared" ca="1" si="655"/>
        <v>-3.8974737791721711E-2</v>
      </c>
      <c r="CX305" s="140">
        <f t="shared" ca="1" si="655"/>
        <v>-3.8276421910022375E-2</v>
      </c>
      <c r="CY305" s="140">
        <f t="shared" ca="1" si="655"/>
        <v>-3.758329592055764E-2</v>
      </c>
      <c r="CZ305" s="140">
        <f t="shared" ca="1" si="655"/>
        <v>-3.6895324097479157E-2</v>
      </c>
      <c r="DA305" s="140">
        <f t="shared" ca="1" si="655"/>
        <v>-3.6212472261913986E-2</v>
      </c>
      <c r="DB305" s="140">
        <f t="shared" ca="1" si="655"/>
        <v>-6.0976620431789801E-2</v>
      </c>
      <c r="DC305" s="140">
        <f t="shared" ca="1" si="655"/>
        <v>-4.2344390669596027E-2</v>
      </c>
      <c r="DD305" s="140">
        <f t="shared" ca="1" si="655"/>
        <v>-4.1674978046571477E-2</v>
      </c>
      <c r="DE305" s="140">
        <f t="shared" ca="1" si="655"/>
        <v>-4.1010229722353915E-2</v>
      </c>
      <c r="DF305" s="140">
        <f t="shared" ca="1" si="655"/>
        <v>-4.0350123029071226E-2</v>
      </c>
      <c r="DG305" s="140">
        <f t="shared" ca="1" si="655"/>
        <v>-3.9694636641062417E-2</v>
      </c>
      <c r="DH305" s="140">
        <f t="shared" ca="1" si="655"/>
        <v>-6.6573111647079491E-2</v>
      </c>
      <c r="DI305" s="140">
        <f t="shared" ca="1" si="655"/>
        <v>-6.5782887515458285E-2</v>
      </c>
      <c r="DJ305" s="140">
        <f t="shared" ca="1" si="655"/>
        <v>-6.4997838807483346E-2</v>
      </c>
      <c r="DK305" s="140">
        <f t="shared" ca="1" si="655"/>
        <v>-6.4217944882546521E-2</v>
      </c>
      <c r="DL305" s="140">
        <f t="shared" ca="1" si="655"/>
        <v>-6.3443186573538327E-2</v>
      </c>
      <c r="DM305" s="140">
        <f t="shared" ca="1" si="655"/>
        <v>-6.2673546186256077E-2</v>
      </c>
      <c r="DN305" s="140">
        <f t="shared" ca="1" si="655"/>
        <v>-6.1895196674474302E-2</v>
      </c>
      <c r="DO305" s="140">
        <f t="shared" ca="1" si="655"/>
        <v>-3.8017715793988292E-2</v>
      </c>
      <c r="DP305" s="140">
        <f t="shared" ca="1" si="655"/>
        <v>-3.7428449018385677E-2</v>
      </c>
      <c r="DQ305" s="140">
        <f t="shared" ca="1" si="655"/>
        <v>-3.6841352802280999E-2</v>
      </c>
      <c r="DR305" s="140">
        <f t="shared" ca="1" si="655"/>
        <v>-3.6256421524125199E-2</v>
      </c>
      <c r="DS305" s="140">
        <f t="shared" ca="1" si="655"/>
        <v>-3.5673650087576926E-2</v>
      </c>
      <c r="DT305" s="140">
        <f t="shared" ca="1" si="655"/>
        <v>-7.0834023888922681E-2</v>
      </c>
      <c r="DU305" s="140">
        <f t="shared" ca="1" si="655"/>
        <v>-7.0074602782122658E-2</v>
      </c>
      <c r="DV305" s="140">
        <f t="shared" ca="1" si="655"/>
        <v>-6.9317652297777893E-2</v>
      </c>
      <c r="DW305" s="140">
        <f t="shared" ca="1" si="655"/>
        <v>-6.8563167492686622E-2</v>
      </c>
      <c r="DX305" s="140">
        <f t="shared" ca="1" si="655"/>
        <v>-6.7811144002593013E-2</v>
      </c>
      <c r="DY305" s="140">
        <f t="shared" ca="1" si="655"/>
        <v>-6.7061578043062453E-2</v>
      </c>
    </row>
    <row r="306" spans="3:129" outlineLevel="1">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row>
    <row r="307" spans="3:129" outlineLevel="1">
      <c r="C307" s="120" t="s">
        <v>191</v>
      </c>
      <c r="D307" s="120"/>
      <c r="E307" s="120"/>
      <c r="F307" s="120" t="s">
        <v>354</v>
      </c>
      <c r="G307" s="120"/>
      <c r="H307" s="120"/>
      <c r="I307" s="120"/>
      <c r="J307" s="120"/>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c r="CA307" s="139"/>
      <c r="CB307" s="139"/>
      <c r="CC307" s="139"/>
      <c r="CD307" s="139"/>
      <c r="CE307" s="139"/>
      <c r="CF307" s="139"/>
      <c r="CG307" s="139"/>
      <c r="CH307" s="139"/>
      <c r="CI307" s="139"/>
      <c r="CJ307" s="139"/>
      <c r="CK307" s="139"/>
      <c r="CL307" s="139"/>
      <c r="CM307" s="139"/>
      <c r="CN307" s="139"/>
      <c r="CO307" s="139"/>
      <c r="CP307" s="139"/>
      <c r="CQ307" s="139"/>
      <c r="CR307" s="139"/>
      <c r="CS307" s="139"/>
      <c r="CT307" s="139"/>
      <c r="CU307" s="139"/>
      <c r="CV307" s="139"/>
      <c r="CW307" s="139"/>
      <c r="CX307" s="139"/>
      <c r="CY307" s="139"/>
      <c r="CZ307" s="139"/>
      <c r="DA307" s="139"/>
      <c r="DB307" s="139"/>
      <c r="DC307" s="139"/>
      <c r="DD307" s="139"/>
      <c r="DE307" s="139"/>
      <c r="DF307" s="139"/>
      <c r="DG307" s="139"/>
      <c r="DH307" s="139"/>
      <c r="DI307" s="139"/>
      <c r="DJ307" s="139"/>
      <c r="DK307" s="139"/>
      <c r="DL307" s="139"/>
      <c r="DM307" s="139"/>
      <c r="DN307" s="139"/>
      <c r="DO307" s="139"/>
      <c r="DP307" s="139"/>
      <c r="DQ307" s="139"/>
      <c r="DR307" s="139"/>
      <c r="DS307" s="139"/>
      <c r="DT307" s="139"/>
      <c r="DU307" s="139"/>
      <c r="DV307" s="139"/>
      <c r="DW307" s="139"/>
      <c r="DX307" s="139"/>
      <c r="DY307" s="139"/>
    </row>
    <row r="308" spans="3:129" outlineLevel="1">
      <c r="D308" s="5" t="s">
        <v>187</v>
      </c>
      <c r="J308" s="35">
        <f ca="1">J275</f>
        <v>1790983.8907174054</v>
      </c>
      <c r="K308" s="35">
        <f t="shared" ref="K308:BV308" ca="1" si="656">K275</f>
        <v>2778232.8564123148</v>
      </c>
      <c r="L308" s="35">
        <f t="shared" ca="1" si="656"/>
        <v>3760521.520334952</v>
      </c>
      <c r="M308" s="35">
        <f t="shared" ca="1" si="656"/>
        <v>4736611.5049830414</v>
      </c>
      <c r="N308" s="35">
        <f t="shared" ca="1" si="656"/>
        <v>5705251.0570189254</v>
      </c>
      <c r="O308" s="35">
        <f t="shared" ca="1" si="656"/>
        <v>6665174.6658357196</v>
      </c>
      <c r="P308" s="35">
        <f t="shared" ca="1" si="656"/>
        <v>7615102.6756339483</v>
      </c>
      <c r="Q308" s="35">
        <f t="shared" ca="1" si="656"/>
        <v>8553740.8908674959</v>
      </c>
      <c r="R308" s="35">
        <f t="shared" ca="1" si="656"/>
        <v>9479780.1749149766</v>
      </c>
      <c r="S308" s="35">
        <f t="shared" ca="1" si="656"/>
        <v>10391896.041829888</v>
      </c>
      <c r="T308" s="35">
        <f t="shared" ca="1" si="656"/>
        <v>11288748.24102002</v>
      </c>
      <c r="U308" s="35">
        <f t="shared" ca="1" si="656"/>
        <v>12168980.334703812</v>
      </c>
      <c r="V308" s="35">
        <f t="shared" ca="1" si="656"/>
        <v>13094441.790486103</v>
      </c>
      <c r="W308" s="35">
        <f t="shared" ca="1" si="656"/>
        <v>14019254.023975573</v>
      </c>
      <c r="X308" s="35">
        <f t="shared" ca="1" si="656"/>
        <v>14943149.146094207</v>
      </c>
      <c r="Y308" s="35">
        <f t="shared" ca="1" si="656"/>
        <v>15865856.459028747</v>
      </c>
      <c r="Z308" s="35">
        <f t="shared" ca="1" si="656"/>
        <v>16787102.374565534</v>
      </c>
      <c r="AA308" s="35">
        <f t="shared" ca="1" si="656"/>
        <v>17706610.331046935</v>
      </c>
      <c r="AB308" s="35">
        <f t="shared" ca="1" si="656"/>
        <v>18624100.708919257</v>
      </c>
      <c r="AC308" s="35">
        <f t="shared" ca="1" si="656"/>
        <v>19539290.74484146</v>
      </c>
      <c r="AD308" s="35">
        <f t="shared" ca="1" si="656"/>
        <v>20451894.444323376</v>
      </c>
      <c r="AE308" s="35">
        <f t="shared" ca="1" si="656"/>
        <v>21361622.492861539</v>
      </c>
      <c r="AF308" s="35">
        <f t="shared" ca="1" si="656"/>
        <v>22268182.165540159</v>
      </c>
      <c r="AG308" s="35">
        <f t="shared" ca="1" si="656"/>
        <v>23171277.235064108</v>
      </c>
      <c r="AH308" s="35">
        <f t="shared" ca="1" si="656"/>
        <v>24166264.931060508</v>
      </c>
      <c r="AI308" s="35">
        <f t="shared" ca="1" si="656"/>
        <v>25174670.479568087</v>
      </c>
      <c r="AJ308" s="35">
        <f t="shared" ca="1" si="656"/>
        <v>26196642.508359689</v>
      </c>
      <c r="AK308" s="35">
        <f t="shared" ca="1" si="656"/>
        <v>27232333.815056391</v>
      </c>
      <c r="AL308" s="35">
        <f t="shared" ca="1" si="656"/>
        <v>28281901.438551534</v>
      </c>
      <c r="AM308" s="35">
        <f t="shared" ca="1" si="656"/>
        <v>29345506.731982976</v>
      </c>
      <c r="AN308" s="35">
        <f t="shared" ca="1" si="656"/>
        <v>30446665.589441903</v>
      </c>
      <c r="AO308" s="35">
        <f t="shared" ca="1" si="656"/>
        <v>31570864.465736374</v>
      </c>
      <c r="AP308" s="35">
        <f t="shared" ca="1" si="656"/>
        <v>32718519.538384244</v>
      </c>
      <c r="AQ308" s="35">
        <f t="shared" ca="1" si="656"/>
        <v>33890055.75468231</v>
      </c>
      <c r="AR308" s="35">
        <f t="shared" ca="1" si="656"/>
        <v>35085907.002639599</v>
      </c>
      <c r="AS308" s="35">
        <f t="shared" ca="1" si="656"/>
        <v>36306516.285373963</v>
      </c>
      <c r="AT308" s="35">
        <f t="shared" ca="1" si="656"/>
        <v>37627789.414701425</v>
      </c>
      <c r="AU308" s="35">
        <f t="shared" ca="1" si="656"/>
        <v>38976358.657793462</v>
      </c>
      <c r="AV308" s="35">
        <f t="shared" ca="1" si="656"/>
        <v>40352734.568166204</v>
      </c>
      <c r="AW308" s="35">
        <f t="shared" ca="1" si="656"/>
        <v>41757438.264093675</v>
      </c>
      <c r="AX308" s="35">
        <f t="shared" ca="1" si="656"/>
        <v>43191001.636366121</v>
      </c>
      <c r="AY308" s="35">
        <f t="shared" ca="1" si="656"/>
        <v>44653967.560238779</v>
      </c>
      <c r="AZ308" s="35">
        <f t="shared" ca="1" si="656"/>
        <v>46146890.111654729</v>
      </c>
      <c r="BA308" s="35">
        <f t="shared" ca="1" si="656"/>
        <v>47670334.787826769</v>
      </c>
      <c r="BB308" s="35">
        <f t="shared" ca="1" si="656"/>
        <v>49224878.732265361</v>
      </c>
      <c r="BC308" s="35">
        <f t="shared" ca="1" si="656"/>
        <v>50811110.96434103</v>
      </c>
      <c r="BD308" s="35">
        <f t="shared" ca="1" si="656"/>
        <v>52429632.613471627</v>
      </c>
      <c r="BE308" s="35">
        <f t="shared" ca="1" si="656"/>
        <v>54081057.158026733</v>
      </c>
      <c r="BF308" s="35">
        <f t="shared" ca="1" si="656"/>
        <v>55768796.234818444</v>
      </c>
      <c r="BG308" s="35">
        <f t="shared" ca="1" si="656"/>
        <v>57491813.237635918</v>
      </c>
      <c r="BH308" s="35">
        <f t="shared" ca="1" si="656"/>
        <v>59250785.634949446</v>
      </c>
      <c r="BI308" s="35">
        <f t="shared" ca="1" si="656"/>
        <v>61046404.72549922</v>
      </c>
      <c r="BJ308" s="35">
        <f t="shared" ca="1" si="656"/>
        <v>62879375.912091725</v>
      </c>
      <c r="BK308" s="35">
        <f t="shared" ca="1" si="656"/>
        <v>64750418.980900191</v>
      </c>
      <c r="BL308" s="35">
        <f t="shared" ca="1" si="656"/>
        <v>66660268.38637875</v>
      </c>
      <c r="BM308" s="35">
        <f t="shared" ca="1" si="656"/>
        <v>68609673.541902527</v>
      </c>
      <c r="BN308" s="35">
        <f t="shared" ca="1" si="656"/>
        <v>70599399.116247758</v>
      </c>
      <c r="BO308" s="35">
        <f t="shared" ca="1" si="656"/>
        <v>72630225.336028427</v>
      </c>
      <c r="BP308" s="35">
        <f t="shared" ca="1" si="656"/>
        <v>74702948.294208407</v>
      </c>
      <c r="BQ308" s="35">
        <f t="shared" ca="1" si="656"/>
        <v>76818380.264810339</v>
      </c>
      <c r="BR308" s="35">
        <f t="shared" ca="1" si="656"/>
        <v>78829463.600120097</v>
      </c>
      <c r="BS308" s="35">
        <f t="shared" ca="1" si="656"/>
        <v>80741050.987650752</v>
      </c>
      <c r="BT308" s="35">
        <f t="shared" ca="1" si="656"/>
        <v>82559152.953650936</v>
      </c>
      <c r="BU308" s="35">
        <f t="shared" ca="1" si="656"/>
        <v>84289820.230442196</v>
      </c>
      <c r="BV308" s="35">
        <f t="shared" ca="1" si="656"/>
        <v>85939145.360584974</v>
      </c>
      <c r="BW308" s="35">
        <f t="shared" ref="BW308:DY308" ca="1" si="657">BW275</f>
        <v>87513264.325127512</v>
      </c>
      <c r="BX308" s="35">
        <f t="shared" ca="1" si="657"/>
        <v>89018358.196499169</v>
      </c>
      <c r="BY308" s="35">
        <f t="shared" ca="1" si="657"/>
        <v>90460654.816620514</v>
      </c>
      <c r="BZ308" s="35">
        <f t="shared" ca="1" si="657"/>
        <v>91846430.500812665</v>
      </c>
      <c r="CA308" s="35">
        <f t="shared" ca="1" si="657"/>
        <v>93182011.768099695</v>
      </c>
      <c r="CB308" s="35">
        <f t="shared" ca="1" si="657"/>
        <v>94473777.098508731</v>
      </c>
      <c r="CC308" s="35">
        <f t="shared" ca="1" si="657"/>
        <v>95728158.717983827</v>
      </c>
      <c r="CD308" s="35">
        <f t="shared" ca="1" si="657"/>
        <v>96946278.324016318</v>
      </c>
      <c r="CE308" s="35">
        <f t="shared" ca="1" si="657"/>
        <v>98130627.066271737</v>
      </c>
      <c r="CF308" s="35">
        <f t="shared" ca="1" si="657"/>
        <v>99283848.35228838</v>
      </c>
      <c r="CG308" s="35">
        <f t="shared" ca="1" si="657"/>
        <v>100408605.2695072</v>
      </c>
      <c r="CH308" s="35">
        <f t="shared" ca="1" si="657"/>
        <v>101507581.31075227</v>
      </c>
      <c r="CI308" s="35">
        <f t="shared" ca="1" si="657"/>
        <v>102583481.11090216</v>
      </c>
      <c r="CJ308" s="35">
        <f t="shared" ca="1" si="657"/>
        <v>103639031.19500901</v>
      </c>
      <c r="CK308" s="35">
        <f t="shared" ca="1" si="657"/>
        <v>104676980.73812728</v>
      </c>
      <c r="CL308" s="35">
        <f t="shared" ca="1" si="657"/>
        <v>105700102.33711879</v>
      </c>
      <c r="CM308" s="35">
        <f t="shared" ca="1" si="657"/>
        <v>106711192.79470575</v>
      </c>
      <c r="CN308" s="35">
        <f t="shared" ca="1" si="657"/>
        <v>107713073.91604877</v>
      </c>
      <c r="CO308" s="35">
        <f t="shared" ca="1" si="657"/>
        <v>108708593.31813177</v>
      </c>
      <c r="CP308" s="35">
        <f t="shared" ca="1" si="657"/>
        <v>109696418.23762828</v>
      </c>
      <c r="CQ308" s="35">
        <f t="shared" ca="1" si="657"/>
        <v>110677678.18398696</v>
      </c>
      <c r="CR308" s="35">
        <f t="shared" ca="1" si="657"/>
        <v>111653512.42596796</v>
      </c>
      <c r="CS308" s="35">
        <f t="shared" ca="1" si="657"/>
        <v>112625070.31202435</v>
      </c>
      <c r="CT308" s="35">
        <f t="shared" ca="1" si="657"/>
        <v>113593511.59895289</v>
      </c>
      <c r="CU308" s="35">
        <f t="shared" ca="1" si="657"/>
        <v>114560006.7858471</v>
      </c>
      <c r="CV308" s="35">
        <f t="shared" ca="1" si="657"/>
        <v>115522952.83974105</v>
      </c>
      <c r="CW308" s="35">
        <f t="shared" ca="1" si="657"/>
        <v>116482461.23801996</v>
      </c>
      <c r="CX308" s="35">
        <f t="shared" ca="1" si="657"/>
        <v>117438727.43327768</v>
      </c>
      <c r="CY308" s="35">
        <f t="shared" ca="1" si="657"/>
        <v>118391948.14510292</v>
      </c>
      <c r="CZ308" s="35">
        <f t="shared" ca="1" si="657"/>
        <v>119342321.41183965</v>
      </c>
      <c r="DA308" s="35">
        <f t="shared" ca="1" si="657"/>
        <v>120290046.64311859</v>
      </c>
      <c r="DB308" s="35">
        <f t="shared" ca="1" si="657"/>
        <v>121235297.90274808</v>
      </c>
      <c r="DC308" s="35">
        <f t="shared" ca="1" si="657"/>
        <v>122178236.36401042</v>
      </c>
      <c r="DD308" s="35">
        <f t="shared" ca="1" si="657"/>
        <v>123119034.88977447</v>
      </c>
      <c r="DE308" s="35">
        <f t="shared" ca="1" si="657"/>
        <v>124057867.60897811</v>
      </c>
      <c r="DF308" s="35">
        <f t="shared" ca="1" si="657"/>
        <v>124994909.96386147</v>
      </c>
      <c r="DG308" s="35">
        <f t="shared" ca="1" si="657"/>
        <v>125930338.75792579</v>
      </c>
      <c r="DH308" s="35">
        <f t="shared" ca="1" si="657"/>
        <v>126864332.20463447</v>
      </c>
      <c r="DI308" s="35">
        <f t="shared" ca="1" si="657"/>
        <v>127797069.97687337</v>
      </c>
      <c r="DJ308" s="35">
        <f t="shared" ca="1" si="657"/>
        <v>128728733.25718775</v>
      </c>
      <c r="DK308" s="35">
        <f t="shared" ca="1" si="657"/>
        <v>129659504.78881337</v>
      </c>
      <c r="DL308" s="35">
        <f t="shared" ca="1" si="657"/>
        <v>130589568.92752004</v>
      </c>
      <c r="DM308" s="35">
        <f t="shared" ca="1" si="657"/>
        <v>131519111.69428547</v>
      </c>
      <c r="DN308" s="35">
        <f t="shared" ca="1" si="657"/>
        <v>132448025.29012908</v>
      </c>
      <c r="DO308" s="35">
        <f t="shared" ca="1" si="657"/>
        <v>133376384.57534483</v>
      </c>
      <c r="DP308" s="35">
        <f t="shared" ca="1" si="657"/>
        <v>134304265.0330199</v>
      </c>
      <c r="DQ308" s="35">
        <f t="shared" ca="1" si="657"/>
        <v>135231742.79021016</v>
      </c>
      <c r="DR308" s="35">
        <f t="shared" ca="1" si="657"/>
        <v>136158894.6394766</v>
      </c>
      <c r="DS308" s="35">
        <f t="shared" ca="1" si="657"/>
        <v>137085798.06076571</v>
      </c>
      <c r="DT308" s="35">
        <f t="shared" ca="1" si="657"/>
        <v>138012531.24364179</v>
      </c>
      <c r="DU308" s="35">
        <f t="shared" ca="1" si="657"/>
        <v>138939173.10987934</v>
      </c>
      <c r="DV308" s="35">
        <f t="shared" ca="1" si="657"/>
        <v>139865803.33642274</v>
      </c>
      <c r="DW308" s="35">
        <f t="shared" ca="1" si="657"/>
        <v>140792502.37872264</v>
      </c>
      <c r="DX308" s="35">
        <f t="shared" ca="1" si="657"/>
        <v>141719351.49445617</v>
      </c>
      <c r="DY308" s="35">
        <f t="shared" ca="1" si="657"/>
        <v>142646432.76764041</v>
      </c>
    </row>
    <row r="309" spans="3:129" outlineLevel="1">
      <c r="D309" s="5" t="s">
        <v>188</v>
      </c>
      <c r="E309" s="9"/>
      <c r="F309" s="5" t="s">
        <v>407</v>
      </c>
      <c r="G309" s="650">
        <v>0.1</v>
      </c>
      <c r="H309" s="5" t="s">
        <v>451</v>
      </c>
      <c r="I309" s="661">
        <v>0.75</v>
      </c>
      <c r="J309" s="143">
        <f ca="1">-PV((_discountfactorPVcalc/12),_averagenumbermonthlypayments*$I$309,J308/_averagenumbermonthlypayments)</f>
        <v>1261954.5029493729</v>
      </c>
      <c r="K309" s="143">
        <f t="shared" ref="K309:AO309" ca="1" si="658">-PV((_discountfactorPVcalc/12),_averagenumbermonthlypayments*$I$309,K308/_averagenumbermonthlypayments)</f>
        <v>1957314.5192257806</v>
      </c>
      <c r="L309" s="143">
        <f t="shared" ca="1" si="658"/>
        <v>2649032.6867439738</v>
      </c>
      <c r="M309" s="143">
        <f t="shared" ca="1" si="658"/>
        <v>3336269.2955336906</v>
      </c>
      <c r="N309" s="143">
        <f t="shared" ca="1" si="658"/>
        <v>4018172.2689977535</v>
      </c>
      <c r="O309" s="143">
        <f t="shared" ca="1" si="658"/>
        <v>4693876.9501496246</v>
      </c>
      <c r="P309" s="143">
        <f t="shared" ca="1" si="658"/>
        <v>5362505.914808305</v>
      </c>
      <c r="Q309" s="143">
        <f t="shared" ca="1" si="658"/>
        <v>6023168.8039942924</v>
      </c>
      <c r="R309" s="143">
        <f t="shared" ca="1" si="658"/>
        <v>6674962.1688094959</v>
      </c>
      <c r="S309" s="143">
        <f t="shared" ca="1" si="658"/>
        <v>7316969.322081889</v>
      </c>
      <c r="T309" s="143">
        <f t="shared" ca="1" si="658"/>
        <v>7948260.1919847289</v>
      </c>
      <c r="U309" s="143">
        <f t="shared" ca="1" si="658"/>
        <v>8567891.1736844368</v>
      </c>
      <c r="V309" s="143">
        <f t="shared" ca="1" si="658"/>
        <v>9217943.5189785883</v>
      </c>
      <c r="W309" s="143">
        <f t="shared" ca="1" si="658"/>
        <v>9867370.2302275486</v>
      </c>
      <c r="X309" s="143">
        <f t="shared" ca="1" si="658"/>
        <v>10515991.113028493</v>
      </c>
      <c r="Y309" s="143">
        <f t="shared" ca="1" si="658"/>
        <v>11163623.732483927</v>
      </c>
      <c r="Z309" s="143">
        <f t="shared" ca="1" si="658"/>
        <v>11810083.363791844</v>
      </c>
      <c r="AA309" s="143">
        <f t="shared" ca="1" si="658"/>
        <v>12455182.942076538</v>
      </c>
      <c r="AB309" s="143">
        <f t="shared" ca="1" si="658"/>
        <v>13098733.011364864</v>
      </c>
      <c r="AC309" s="143">
        <f t="shared" ca="1" si="658"/>
        <v>13740541.672622535</v>
      </c>
      <c r="AD309" s="143">
        <f t="shared" ca="1" si="658"/>
        <v>14380414.530774519</v>
      </c>
      <c r="AE309" s="143">
        <f t="shared" ca="1" si="658"/>
        <v>15018154.640640847</v>
      </c>
      <c r="AF309" s="143">
        <f t="shared" ca="1" si="658"/>
        <v>15653562.451726228</v>
      </c>
      <c r="AG309" s="143">
        <f t="shared" ca="1" si="658"/>
        <v>16286435.751807734</v>
      </c>
      <c r="AH309" s="143">
        <f t="shared" ca="1" si="658"/>
        <v>16984536.474024836</v>
      </c>
      <c r="AI309" s="143">
        <f t="shared" ca="1" si="658"/>
        <v>17691980.290312003</v>
      </c>
      <c r="AJ309" s="143">
        <f t="shared" ca="1" si="658"/>
        <v>18408871.646195859</v>
      </c>
      <c r="AK309" s="143">
        <f t="shared" ca="1" si="658"/>
        <v>19135317.932201013</v>
      </c>
      <c r="AL309" s="143">
        <f t="shared" ca="1" si="658"/>
        <v>19871429.531453099</v>
      </c>
      <c r="AM309" s="143">
        <f t="shared" ca="1" si="658"/>
        <v>20617319.868491724</v>
      </c>
      <c r="AN309" s="143">
        <f t="shared" ca="1" si="658"/>
        <v>21390931.413179696</v>
      </c>
      <c r="AO309" s="143">
        <f t="shared" ca="1" si="658"/>
        <v>22180726.784417607</v>
      </c>
      <c r="AP309" s="143">
        <f t="shared" ref="AP309:BU309" ca="1" si="659">-PV((_discountfactorPVcalc/12),_averagenumbermonthlypayments*$I$309,AP308/_averagenumbermonthlypayments)</f>
        <v>22986998.258372836</v>
      </c>
      <c r="AQ309" s="143">
        <f t="shared" ca="1" si="659"/>
        <v>23810044.273654412</v>
      </c>
      <c r="AR309" s="143">
        <f t="shared" ca="1" si="659"/>
        <v>24650169.551328007</v>
      </c>
      <c r="AS309" s="143">
        <f t="shared" ca="1" si="659"/>
        <v>25507685.217363257</v>
      </c>
      <c r="AT309" s="143">
        <f t="shared" ca="1" si="659"/>
        <v>26435899.07099849</v>
      </c>
      <c r="AU309" s="143">
        <f t="shared" ca="1" si="659"/>
        <v>27383283.967472129</v>
      </c>
      <c r="AV309" s="143">
        <f t="shared" ca="1" si="659"/>
        <v>28350198.415409848</v>
      </c>
      <c r="AW309" s="143">
        <f t="shared" ca="1" si="659"/>
        <v>29337008.347107247</v>
      </c>
      <c r="AX309" s="143">
        <f t="shared" ca="1" si="659"/>
        <v>30344087.264353488</v>
      </c>
      <c r="AY309" s="143">
        <f t="shared" ca="1" si="659"/>
        <v>31371816.387198582</v>
      </c>
      <c r="AZ309" s="143">
        <f t="shared" ca="1" si="659"/>
        <v>32420584.805723805</v>
      </c>
      <c r="BA309" s="143">
        <f t="shared" ca="1" si="659"/>
        <v>33490789.634874769</v>
      </c>
      <c r="BB309" s="143">
        <f t="shared" ca="1" si="659"/>
        <v>34582836.172418028</v>
      </c>
      <c r="BC309" s="143">
        <f t="shared" ca="1" si="659"/>
        <v>35697138.060084388</v>
      </c>
      <c r="BD309" s="143">
        <f t="shared" ca="1" si="659"/>
        <v>36834117.447961085</v>
      </c>
      <c r="BE309" s="143">
        <f t="shared" ca="1" si="659"/>
        <v>37994205.162199132</v>
      </c>
      <c r="BF309" s="143">
        <f t="shared" ca="1" si="659"/>
        <v>39179897.059759274</v>
      </c>
      <c r="BG309" s="143">
        <f t="shared" ca="1" si="659"/>
        <v>40390369.804381743</v>
      </c>
      <c r="BH309" s="143">
        <f t="shared" ca="1" si="659"/>
        <v>41626099.22364074</v>
      </c>
      <c r="BI309" s="143">
        <f t="shared" ca="1" si="659"/>
        <v>42887570.862288155</v>
      </c>
      <c r="BJ309" s="143">
        <f t="shared" ca="1" si="659"/>
        <v>44175280.174527958</v>
      </c>
      <c r="BK309" s="143">
        <f t="shared" ca="1" si="659"/>
        <v>45489732.720157482</v>
      </c>
      <c r="BL309" s="143">
        <f t="shared" ca="1" si="659"/>
        <v>46831444.364652142</v>
      </c>
      <c r="BM309" s="143">
        <f t="shared" ca="1" si="659"/>
        <v>48200941.483272724</v>
      </c>
      <c r="BN309" s="143">
        <f t="shared" ca="1" si="659"/>
        <v>49598761.169275694</v>
      </c>
      <c r="BO309" s="143">
        <f t="shared" ca="1" si="659"/>
        <v>51025451.446307734</v>
      </c>
      <c r="BP309" s="143">
        <f t="shared" ca="1" si="659"/>
        <v>52481571.485069223</v>
      </c>
      <c r="BQ309" s="143">
        <f t="shared" ca="1" si="659"/>
        <v>53967691.824330375</v>
      </c>
      <c r="BR309" s="143">
        <f t="shared" ca="1" si="659"/>
        <v>55380153.979896456</v>
      </c>
      <c r="BS309" s="143">
        <f t="shared" ca="1" si="659"/>
        <v>56722206.546847582</v>
      </c>
      <c r="BT309" s="143">
        <f t="shared" ca="1" si="659"/>
        <v>57998057.418061122</v>
      </c>
      <c r="BU309" s="143">
        <f t="shared" ca="1" si="659"/>
        <v>59211943.167310454</v>
      </c>
      <c r="BV309" s="143">
        <f t="shared" ref="BV309:CB309" ca="1" si="660">-PV((_discountfactorPVcalc/12),_averagenumbermonthlypayments*$I$309,BV308/_averagenumbermonthlypayments)</f>
        <v>60368129.643650748</v>
      </c>
      <c r="BW309" s="143">
        <f t="shared" ca="1" si="660"/>
        <v>61470912.614203334</v>
      </c>
      <c r="BX309" s="143">
        <f t="shared" ca="1" si="660"/>
        <v>62524618.442207947</v>
      </c>
      <c r="BY309" s="143">
        <f t="shared" ca="1" si="660"/>
        <v>63533604.788894631</v>
      </c>
      <c r="BZ309" s="143">
        <f t="shared" ca="1" si="660"/>
        <v>64502261.32882899</v>
      </c>
      <c r="CA309" s="143">
        <f t="shared" ca="1" si="660"/>
        <v>65435010.469003759</v>
      </c>
      <c r="CB309" s="143">
        <f t="shared" ca="1" si="660"/>
        <v>66336308.062160641</v>
      </c>
      <c r="CC309" s="143">
        <f t="shared" ref="CC309:DH309" ca="1" si="661">-PV((_discountfactorPVcalc/12),_averagenumbermonthlypayments*$I$309,CC308/_averagenumbermonthlypayments)</f>
        <v>67210644.104667813</v>
      </c>
      <c r="CD309" s="143">
        <f t="shared" ca="1" si="661"/>
        <v>68059757.721894935</v>
      </c>
      <c r="CE309" s="143">
        <f t="shared" ca="1" si="661"/>
        <v>68885398.952546105</v>
      </c>
      <c r="CF309" s="143">
        <f t="shared" ca="1" si="661"/>
        <v>69689432.727045253</v>
      </c>
      <c r="CG309" s="143">
        <f t="shared" ca="1" si="661"/>
        <v>70473737.044020668</v>
      </c>
      <c r="CH309" s="143">
        <f t="shared" ca="1" si="661"/>
        <v>71240203.612624884</v>
      </c>
      <c r="CI309" s="143">
        <f t="shared" ca="1" si="661"/>
        <v>71990738.498051867</v>
      </c>
      <c r="CJ309" s="143">
        <f t="shared" ca="1" si="661"/>
        <v>72727262.771669775</v>
      </c>
      <c r="CK309" s="143">
        <f t="shared" ca="1" si="661"/>
        <v>73451713.16713582</v>
      </c>
      <c r="CL309" s="143">
        <f t="shared" ca="1" si="661"/>
        <v>74166042.743825704</v>
      </c>
      <c r="CM309" s="143">
        <f t="shared" ca="1" si="661"/>
        <v>74872221.558893993</v>
      </c>
      <c r="CN309" s="143">
        <f t="shared" ca="1" si="661"/>
        <v>75572237.349284992</v>
      </c>
      <c r="CO309" s="143">
        <f t="shared" ca="1" si="661"/>
        <v>76268096.22502999</v>
      </c>
      <c r="CP309" s="143">
        <f t="shared" ca="1" si="661"/>
        <v>76958809.286758393</v>
      </c>
      <c r="CQ309" s="143">
        <f t="shared" ca="1" si="661"/>
        <v>77645177.721849665</v>
      </c>
      <c r="CR309" s="143">
        <f t="shared" ca="1" si="661"/>
        <v>78328009.71510157</v>
      </c>
      <c r="CS309" s="143">
        <f t="shared" ca="1" si="661"/>
        <v>79008120.723986909</v>
      </c>
      <c r="CT309" s="143">
        <f t="shared" ca="1" si="661"/>
        <v>79686333.759252831</v>
      </c>
      <c r="CU309" s="143">
        <f t="shared" ca="1" si="661"/>
        <v>80363479.670928776</v>
      </c>
      <c r="CV309" s="143">
        <f t="shared" ca="1" si="661"/>
        <v>81038157.380814463</v>
      </c>
      <c r="CW309" s="143">
        <f t="shared" ca="1" si="661"/>
        <v>81710433.105125591</v>
      </c>
      <c r="CX309" s="143">
        <f t="shared" ca="1" si="661"/>
        <v>82380444.554506525</v>
      </c>
      <c r="CY309" s="143">
        <f t="shared" ca="1" si="661"/>
        <v>83048330.326179042</v>
      </c>
      <c r="CZ309" s="143">
        <f t="shared" ca="1" si="661"/>
        <v>83714229.940991357</v>
      </c>
      <c r="DA309" s="143">
        <f t="shared" ca="1" si="661"/>
        <v>84378283.881016031</v>
      </c>
      <c r="DB309" s="143">
        <f t="shared" ca="1" si="661"/>
        <v>85040625.064195216</v>
      </c>
      <c r="DC309" s="143">
        <f t="shared" ca="1" si="661"/>
        <v>85701366.704568788</v>
      </c>
      <c r="DD309" s="143">
        <f t="shared" ca="1" si="661"/>
        <v>86360630.987160817</v>
      </c>
      <c r="DE309" s="143">
        <f t="shared" ca="1" si="661"/>
        <v>87018540.993885517</v>
      </c>
      <c r="DF309" s="143">
        <f t="shared" ca="1" si="661"/>
        <v>87675220.737763137</v>
      </c>
      <c r="DG309" s="143">
        <f t="shared" ca="1" si="661"/>
        <v>88330795.197668806</v>
      </c>
      <c r="DH309" s="143">
        <f t="shared" ca="1" si="661"/>
        <v>88985390.353625104</v>
      </c>
      <c r="DI309" s="143">
        <f t="shared" ref="DI309:DY309" ca="1" si="662">-PV((_discountfactorPVcalc/12),_averagenumbermonthlypayments*$I$309,DI308/_averagenumbermonthlypayments)</f>
        <v>89639133.222654909</v>
      </c>
      <c r="DJ309" s="143">
        <f t="shared" ca="1" si="662"/>
        <v>90292151.895205215</v>
      </c>
      <c r="DK309" s="143">
        <f t="shared" ca="1" si="662"/>
        <v>90944575.57216002</v>
      </c>
      <c r="DL309" s="143">
        <f t="shared" ca="1" si="662"/>
        <v>91596534.602453798</v>
      </c>
      <c r="DM309" s="143">
        <f t="shared" ca="1" si="662"/>
        <v>92248160.521301791</v>
      </c>
      <c r="DN309" s="143">
        <f t="shared" ca="1" si="662"/>
        <v>92899365.09159711</v>
      </c>
      <c r="DO309" s="143">
        <f t="shared" ca="1" si="662"/>
        <v>93550201.51348266</v>
      </c>
      <c r="DP309" s="143">
        <f t="shared" ca="1" si="662"/>
        <v>94200723.435200214</v>
      </c>
      <c r="DQ309" s="143">
        <f t="shared" ca="1" si="662"/>
        <v>94850984.968508661</v>
      </c>
      <c r="DR309" s="143">
        <f t="shared" ca="1" si="662"/>
        <v>95501040.704349712</v>
      </c>
      <c r="DS309" s="143">
        <f t="shared" ca="1" si="662"/>
        <v>96150945.728769615</v>
      </c>
      <c r="DT309" s="143">
        <f t="shared" ca="1" si="662"/>
        <v>96800755.639102906</v>
      </c>
      <c r="DU309" s="143">
        <f t="shared" ca="1" si="662"/>
        <v>97450526.560423121</v>
      </c>
      <c r="DV309" s="143">
        <f t="shared" ca="1" si="662"/>
        <v>98100315.162267968</v>
      </c>
      <c r="DW309" s="143">
        <f t="shared" ca="1" si="662"/>
        <v>98750178.675645739</v>
      </c>
      <c r="DX309" s="143">
        <f t="shared" ca="1" si="662"/>
        <v>99400174.910328016</v>
      </c>
      <c r="DY309" s="143">
        <f t="shared" ca="1" si="662"/>
        <v>100050362.27243723</v>
      </c>
    </row>
    <row r="310" spans="3:129" outlineLevel="1">
      <c r="D310" s="5" t="s">
        <v>350</v>
      </c>
      <c r="E310" s="9"/>
      <c r="H310" s="27"/>
      <c r="I310" s="27"/>
      <c r="J310" s="143">
        <f ca="1">J275*(1-_Coll.rate)</f>
        <v>268647.58360761084</v>
      </c>
      <c r="K310" s="143">
        <f t="shared" ref="K310:AO310" ca="1" si="663">K275*(1-_Coll.rate)</f>
        <v>416734.9284618473</v>
      </c>
      <c r="L310" s="143">
        <f t="shared" ca="1" si="663"/>
        <v>564078.22805024288</v>
      </c>
      <c r="M310" s="143">
        <f t="shared" ca="1" si="663"/>
        <v>710491.72574745631</v>
      </c>
      <c r="N310" s="143">
        <f t="shared" ca="1" si="663"/>
        <v>855787.65855283896</v>
      </c>
      <c r="O310" s="143">
        <f t="shared" ca="1" si="663"/>
        <v>999776.19987535803</v>
      </c>
      <c r="P310" s="143">
        <f t="shared" ca="1" si="663"/>
        <v>1142265.4013450923</v>
      </c>
      <c r="Q310" s="143">
        <f t="shared" ca="1" si="663"/>
        <v>1283061.1336301246</v>
      </c>
      <c r="R310" s="143">
        <f t="shared" ca="1" si="663"/>
        <v>1421967.0262372468</v>
      </c>
      <c r="S310" s="143">
        <f t="shared" ca="1" si="663"/>
        <v>1558784.4062744833</v>
      </c>
      <c r="T310" s="143">
        <f t="shared" ca="1" si="663"/>
        <v>1693312.2361530033</v>
      </c>
      <c r="U310" s="143">
        <f t="shared" ca="1" si="663"/>
        <v>1825347.050205572</v>
      </c>
      <c r="V310" s="143">
        <f t="shared" ca="1" si="663"/>
        <v>1964166.2685729158</v>
      </c>
      <c r="W310" s="143">
        <f t="shared" ca="1" si="663"/>
        <v>2102888.1035963362</v>
      </c>
      <c r="X310" s="143">
        <f t="shared" ca="1" si="663"/>
        <v>2241472.3719141316</v>
      </c>
      <c r="Y310" s="143">
        <f t="shared" ca="1" si="663"/>
        <v>2379878.4688543123</v>
      </c>
      <c r="Z310" s="143">
        <f t="shared" ca="1" si="663"/>
        <v>2518065.3561848304</v>
      </c>
      <c r="AA310" s="143">
        <f t="shared" ca="1" si="663"/>
        <v>2655991.5496570407</v>
      </c>
      <c r="AB310" s="143">
        <f t="shared" ca="1" si="663"/>
        <v>2793615.1063378891</v>
      </c>
      <c r="AC310" s="143">
        <f t="shared" ca="1" si="663"/>
        <v>2930893.6117262193</v>
      </c>
      <c r="AD310" s="143">
        <f t="shared" ca="1" si="663"/>
        <v>3067784.1666485067</v>
      </c>
      <c r="AE310" s="143">
        <f t="shared" ca="1" si="663"/>
        <v>3204243.3739292314</v>
      </c>
      <c r="AF310" s="143">
        <f t="shared" ca="1" si="663"/>
        <v>3340227.3248310243</v>
      </c>
      <c r="AG310" s="143">
        <f t="shared" ca="1" si="663"/>
        <v>3475691.5852596168</v>
      </c>
      <c r="AH310" s="143">
        <f t="shared" ca="1" si="663"/>
        <v>3624939.7396590766</v>
      </c>
      <c r="AI310" s="143">
        <f t="shared" ca="1" si="663"/>
        <v>3776200.5719352136</v>
      </c>
      <c r="AJ310" s="143">
        <f t="shared" ca="1" si="663"/>
        <v>3929496.3762539541</v>
      </c>
      <c r="AK310" s="143">
        <f t="shared" ca="1" si="663"/>
        <v>4084850.0722584594</v>
      </c>
      <c r="AL310" s="143">
        <f t="shared" ca="1" si="663"/>
        <v>4242285.2157827308</v>
      </c>
      <c r="AM310" s="143">
        <f t="shared" ca="1" si="663"/>
        <v>4401826.0097974474</v>
      </c>
      <c r="AN310" s="143">
        <f t="shared" ca="1" si="663"/>
        <v>4566999.8384162858</v>
      </c>
      <c r="AO310" s="143">
        <f t="shared" ca="1" si="663"/>
        <v>4735629.6698604571</v>
      </c>
      <c r="AP310" s="143">
        <f t="shared" ref="AP310:BU310" ca="1" si="664">AP275*(1-_Coll.rate)</f>
        <v>4907777.9307576371</v>
      </c>
      <c r="AQ310" s="143">
        <f t="shared" ca="1" si="664"/>
        <v>5083508.3632023474</v>
      </c>
      <c r="AR310" s="143">
        <f t="shared" ca="1" si="664"/>
        <v>5262886.0503959404</v>
      </c>
      <c r="AS310" s="143">
        <f t="shared" ca="1" si="664"/>
        <v>5445977.4428060949</v>
      </c>
      <c r="AT310" s="143">
        <f t="shared" ca="1" si="664"/>
        <v>5644168.4122052146</v>
      </c>
      <c r="AU310" s="143">
        <f t="shared" ca="1" si="664"/>
        <v>5846453.7986690206</v>
      </c>
      <c r="AV310" s="143">
        <f t="shared" ca="1" si="664"/>
        <v>6052910.1852249317</v>
      </c>
      <c r="AW310" s="143">
        <f t="shared" ca="1" si="664"/>
        <v>6263615.7396140518</v>
      </c>
      <c r="AX310" s="143">
        <f t="shared" ca="1" si="664"/>
        <v>6478650.2454549195</v>
      </c>
      <c r="AY310" s="143">
        <f t="shared" ca="1" si="664"/>
        <v>6698095.1340358173</v>
      </c>
      <c r="AZ310" s="143">
        <f t="shared" ca="1" si="664"/>
        <v>6922033.5167482104</v>
      </c>
      <c r="BA310" s="143">
        <f t="shared" ca="1" si="664"/>
        <v>7150550.2181740161</v>
      </c>
      <c r="BB310" s="143">
        <f t="shared" ca="1" si="664"/>
        <v>7383731.8098398056</v>
      </c>
      <c r="BC310" s="143">
        <f t="shared" ca="1" si="664"/>
        <v>7621666.6446511559</v>
      </c>
      <c r="BD310" s="143">
        <f t="shared" ca="1" si="664"/>
        <v>7864444.8920207452</v>
      </c>
      <c r="BE310" s="143">
        <f t="shared" ca="1" si="664"/>
        <v>8112158.5737040108</v>
      </c>
      <c r="BF310" s="143">
        <f t="shared" ca="1" si="664"/>
        <v>8365319.4352227682</v>
      </c>
      <c r="BG310" s="143">
        <f t="shared" ca="1" si="664"/>
        <v>8623771.9856453892</v>
      </c>
      <c r="BH310" s="143">
        <f t="shared" ca="1" si="664"/>
        <v>8887617.8452424183</v>
      </c>
      <c r="BI310" s="143">
        <f t="shared" ca="1" si="664"/>
        <v>9156960.7088248841</v>
      </c>
      <c r="BJ310" s="143">
        <f t="shared" ca="1" si="664"/>
        <v>9431906.3868137598</v>
      </c>
      <c r="BK310" s="143">
        <f t="shared" ca="1" si="664"/>
        <v>9712562.8471350297</v>
      </c>
      <c r="BL310" s="143">
        <f t="shared" ca="1" si="664"/>
        <v>9999040.257956814</v>
      </c>
      <c r="BM310" s="143">
        <f t="shared" ca="1" si="664"/>
        <v>10291451.031285381</v>
      </c>
      <c r="BN310" s="143">
        <f t="shared" ca="1" si="664"/>
        <v>10589909.867437165</v>
      </c>
      <c r="BO310" s="143">
        <f t="shared" ca="1" si="664"/>
        <v>10894533.800404266</v>
      </c>
      <c r="BP310" s="143">
        <f t="shared" ca="1" si="664"/>
        <v>11205442.244131263</v>
      </c>
      <c r="BQ310" s="143">
        <f t="shared" ca="1" si="664"/>
        <v>11522757.039721552</v>
      </c>
      <c r="BR310" s="143">
        <f t="shared" ca="1" si="664"/>
        <v>11824419.540018016</v>
      </c>
      <c r="BS310" s="143">
        <f t="shared" ca="1" si="664"/>
        <v>12111157.648147615</v>
      </c>
      <c r="BT310" s="143">
        <f t="shared" ca="1" si="664"/>
        <v>12383872.943047643</v>
      </c>
      <c r="BU310" s="143">
        <f t="shared" ca="1" si="664"/>
        <v>12643473.034566332</v>
      </c>
      <c r="BV310" s="143">
        <f t="shared" ref="BV310:DA310" ca="1" si="665">BV275*(1-_Coll.rate)</f>
        <v>12890871.804087749</v>
      </c>
      <c r="BW310" s="143">
        <f t="shared" ca="1" si="665"/>
        <v>13126989.648769129</v>
      </c>
      <c r="BX310" s="143">
        <f t="shared" ca="1" si="665"/>
        <v>13352753.729474878</v>
      </c>
      <c r="BY310" s="143">
        <f t="shared" ca="1" si="665"/>
        <v>13569098.222493079</v>
      </c>
      <c r="BZ310" s="143">
        <f t="shared" ca="1" si="665"/>
        <v>13776964.575121902</v>
      </c>
      <c r="CA310" s="143">
        <f t="shared" ca="1" si="665"/>
        <v>13977301.765214957</v>
      </c>
      <c r="CB310" s="143">
        <f t="shared" ca="1" si="665"/>
        <v>14171066.564776313</v>
      </c>
      <c r="CC310" s="143">
        <f t="shared" ca="1" si="665"/>
        <v>14359223.807697576</v>
      </c>
      <c r="CD310" s="143">
        <f t="shared" ca="1" si="665"/>
        <v>14541941.74860245</v>
      </c>
      <c r="CE310" s="143">
        <f t="shared" ca="1" si="665"/>
        <v>14719594.059940763</v>
      </c>
      <c r="CF310" s="143">
        <f t="shared" ca="1" si="665"/>
        <v>14892577.252843259</v>
      </c>
      <c r="CG310" s="143">
        <f t="shared" ca="1" si="665"/>
        <v>15061290.790426083</v>
      </c>
      <c r="CH310" s="143">
        <f t="shared" ca="1" si="665"/>
        <v>15226137.196612842</v>
      </c>
      <c r="CI310" s="143">
        <f t="shared" ca="1" si="665"/>
        <v>15387522.166635327</v>
      </c>
      <c r="CJ310" s="143">
        <f t="shared" ca="1" si="665"/>
        <v>15545854.679251354</v>
      </c>
      <c r="CK310" s="143">
        <f t="shared" ca="1" si="665"/>
        <v>15701547.110719094</v>
      </c>
      <c r="CL310" s="143">
        <f t="shared" ca="1" si="665"/>
        <v>15855015.350567821</v>
      </c>
      <c r="CM310" s="143">
        <f t="shared" ca="1" si="665"/>
        <v>16006678.919205865</v>
      </c>
      <c r="CN310" s="143">
        <f t="shared" ca="1" si="665"/>
        <v>16156961.087407317</v>
      </c>
      <c r="CO310" s="143">
        <f t="shared" ca="1" si="665"/>
        <v>16306288.997719768</v>
      </c>
      <c r="CP310" s="143">
        <f t="shared" ca="1" si="665"/>
        <v>16454462.735644246</v>
      </c>
      <c r="CQ310" s="143">
        <f t="shared" ca="1" si="665"/>
        <v>16601651.727598047</v>
      </c>
      <c r="CR310" s="143">
        <f t="shared" ca="1" si="665"/>
        <v>16748026.863895196</v>
      </c>
      <c r="CS310" s="143">
        <f t="shared" ca="1" si="665"/>
        <v>16893760.546803657</v>
      </c>
      <c r="CT310" s="143">
        <f t="shared" ca="1" si="665"/>
        <v>17039026.739842936</v>
      </c>
      <c r="CU310" s="143">
        <f t="shared" ca="1" si="665"/>
        <v>17184001.017877068</v>
      </c>
      <c r="CV310" s="143">
        <f t="shared" ca="1" si="665"/>
        <v>17328442.925961159</v>
      </c>
      <c r="CW310" s="143">
        <f t="shared" ca="1" si="665"/>
        <v>17472369.185702994</v>
      </c>
      <c r="CX310" s="143">
        <f t="shared" ca="1" si="665"/>
        <v>17615809.114991654</v>
      </c>
      <c r="CY310" s="143">
        <f t="shared" ca="1" si="665"/>
        <v>17758792.22176544</v>
      </c>
      <c r="CZ310" s="143">
        <f t="shared" ca="1" si="665"/>
        <v>17901348.211775951</v>
      </c>
      <c r="DA310" s="143">
        <f t="shared" ca="1" si="665"/>
        <v>18043506.996467791</v>
      </c>
      <c r="DB310" s="143">
        <f t="shared" ref="DB310:DY310" ca="1" si="666">DB275*(1-_Coll.rate)</f>
        <v>18185294.685412213</v>
      </c>
      <c r="DC310" s="143">
        <f t="shared" ca="1" si="666"/>
        <v>18326735.454601567</v>
      </c>
      <c r="DD310" s="143">
        <f t="shared" ca="1" si="666"/>
        <v>18467855.233466174</v>
      </c>
      <c r="DE310" s="143">
        <f t="shared" ca="1" si="666"/>
        <v>18608680.141346719</v>
      </c>
      <c r="DF310" s="143">
        <f t="shared" ca="1" si="666"/>
        <v>18749236.494579222</v>
      </c>
      <c r="DG310" s="143">
        <f t="shared" ca="1" si="666"/>
        <v>18889550.813688871</v>
      </c>
      <c r="DH310" s="143">
        <f t="shared" ca="1" si="666"/>
        <v>19029649.830695175</v>
      </c>
      <c r="DI310" s="143">
        <f t="shared" ca="1" si="666"/>
        <v>19169560.49653101</v>
      </c>
      <c r="DJ310" s="143">
        <f t="shared" ca="1" si="666"/>
        <v>19309309.988578167</v>
      </c>
      <c r="DK310" s="143">
        <f t="shared" ca="1" si="666"/>
        <v>19448925.718322009</v>
      </c>
      <c r="DL310" s="143">
        <f t="shared" ca="1" si="666"/>
        <v>19588435.33912801</v>
      </c>
      <c r="DM310" s="143">
        <f t="shared" ca="1" si="666"/>
        <v>19727866.754142825</v>
      </c>
      <c r="DN310" s="143">
        <f t="shared" ca="1" si="666"/>
        <v>19867203.793519367</v>
      </c>
      <c r="DO310" s="143">
        <f t="shared" ca="1" si="666"/>
        <v>20006457.686301727</v>
      </c>
      <c r="DP310" s="143">
        <f t="shared" ca="1" si="666"/>
        <v>20145639.75495299</v>
      </c>
      <c r="DQ310" s="143">
        <f t="shared" ca="1" si="666"/>
        <v>20284761.418531526</v>
      </c>
      <c r="DR310" s="143">
        <f t="shared" ca="1" si="666"/>
        <v>20423834.195921492</v>
      </c>
      <c r="DS310" s="143">
        <f t="shared" ca="1" si="666"/>
        <v>20562869.709114861</v>
      </c>
      <c r="DT310" s="143">
        <f t="shared" ca="1" si="666"/>
        <v>20701879.686546274</v>
      </c>
      <c r="DU310" s="143">
        <f t="shared" ca="1" si="666"/>
        <v>20840875.966481905</v>
      </c>
      <c r="DV310" s="143">
        <f t="shared" ca="1" si="666"/>
        <v>20979870.500463415</v>
      </c>
      <c r="DW310" s="143">
        <f t="shared" ca="1" si="666"/>
        <v>21118875.356808398</v>
      </c>
      <c r="DX310" s="143">
        <f t="shared" ca="1" si="666"/>
        <v>21257902.724168427</v>
      </c>
      <c r="DY310" s="143">
        <f t="shared" ca="1" si="666"/>
        <v>21396964.915146064</v>
      </c>
    </row>
    <row r="311" spans="3:129" outlineLevel="1">
      <c r="D311" s="5" t="s">
        <v>360</v>
      </c>
      <c r="E311" s="9"/>
      <c r="F311" s="5" t="s">
        <v>361</v>
      </c>
      <c r="H311" s="236"/>
      <c r="I311" s="236"/>
      <c r="J311" s="143">
        <f t="shared" ref="J311:AO311" ca="1" si="667">J36</f>
        <v>18.909121464452998</v>
      </c>
      <c r="K311" s="143">
        <f t="shared" ca="1" si="667"/>
        <v>18.954437017916714</v>
      </c>
      <c r="L311" s="143">
        <f t="shared" ca="1" si="667"/>
        <v>18.994239085759091</v>
      </c>
      <c r="M311" s="143">
        <f t="shared" ca="1" si="667"/>
        <v>19.028887590863569</v>
      </c>
      <c r="N311" s="143">
        <f t="shared" ca="1" si="667"/>
        <v>19.058733217651131</v>
      </c>
      <c r="O311" s="143">
        <f t="shared" ca="1" si="667"/>
        <v>19.084115263701477</v>
      </c>
      <c r="P311" s="143">
        <f t="shared" ca="1" si="667"/>
        <v>19.105360005975605</v>
      </c>
      <c r="Q311" s="143">
        <f t="shared" ca="1" si="667"/>
        <v>19.122779515926336</v>
      </c>
      <c r="R311" s="143">
        <f t="shared" ca="1" si="667"/>
        <v>19.136670860573307</v>
      </c>
      <c r="S311" s="143">
        <f t="shared" ca="1" si="667"/>
        <v>19.147315630711145</v>
      </c>
      <c r="T311" s="143">
        <f t="shared" ca="1" si="667"/>
        <v>19.154979742320482</v>
      </c>
      <c r="U311" s="143">
        <f t="shared" ca="1" si="667"/>
        <v>19.159913462572078</v>
      </c>
      <c r="V311" s="143">
        <f t="shared" ca="1" si="667"/>
        <v>19.214795038870637</v>
      </c>
      <c r="W311" s="143">
        <f t="shared" ca="1" si="667"/>
        <v>19.268045968028911</v>
      </c>
      <c r="X311" s="143">
        <f t="shared" ca="1" si="667"/>
        <v>19.319717557156867</v>
      </c>
      <c r="Y311" s="143">
        <f t="shared" ca="1" si="667"/>
        <v>19.369859734497414</v>
      </c>
      <c r="Z311" s="143">
        <f t="shared" ca="1" si="667"/>
        <v>19.418521044225553</v>
      </c>
      <c r="AA311" s="143">
        <f t="shared" ca="1" si="667"/>
        <v>19.46574864770578</v>
      </c>
      <c r="AB311" s="143">
        <f t="shared" ca="1" si="667"/>
        <v>19.511588330319373</v>
      </c>
      <c r="AC311" s="143">
        <f t="shared" ca="1" si="667"/>
        <v>19.556084513067514</v>
      </c>
      <c r="AD311" s="143">
        <f t="shared" ca="1" si="667"/>
        <v>19.599280268242342</v>
      </c>
      <c r="AE311" s="143">
        <f t="shared" ca="1" si="667"/>
        <v>19.641217338535927</v>
      </c>
      <c r="AF311" s="143">
        <f t="shared" ca="1" si="667"/>
        <v>19.681936159027909</v>
      </c>
      <c r="AG311" s="143">
        <f t="shared" ca="1" si="667"/>
        <v>19.721475881556117</v>
      </c>
      <c r="AH311" s="143">
        <f t="shared" ca="1" si="667"/>
        <v>19.745579338116858</v>
      </c>
      <c r="AI311" s="143">
        <f t="shared" ca="1" si="667"/>
        <v>19.769384460377932</v>
      </c>
      <c r="AJ311" s="143">
        <f t="shared" ca="1" si="667"/>
        <v>19.792889271589988</v>
      </c>
      <c r="AK311" s="143">
        <f t="shared" ca="1" si="667"/>
        <v>19.816092208523376</v>
      </c>
      <c r="AL311" s="143">
        <f t="shared" ca="1" si="667"/>
        <v>19.838992095818583</v>
      </c>
      <c r="AM311" s="143">
        <f t="shared" ca="1" si="667"/>
        <v>19.861588121544195</v>
      </c>
      <c r="AN311" s="143">
        <f t="shared" ca="1" si="667"/>
        <v>19.862069805557979</v>
      </c>
      <c r="AO311" s="143">
        <f t="shared" ca="1" si="667"/>
        <v>19.862568018306014</v>
      </c>
      <c r="AP311" s="143">
        <f t="shared" ref="AP311:BU311" ca="1" si="668">AP36</f>
        <v>19.863081673755286</v>
      </c>
      <c r="AQ311" s="143">
        <f t="shared" ca="1" si="668"/>
        <v>19.863609727627331</v>
      </c>
      <c r="AR311" s="143">
        <f t="shared" ca="1" si="668"/>
        <v>19.864151176187409</v>
      </c>
      <c r="AS311" s="143">
        <f t="shared" ca="1" si="668"/>
        <v>19.864705055052063</v>
      </c>
      <c r="AT311" s="143">
        <f t="shared" ca="1" si="668"/>
        <v>19.865528079597173</v>
      </c>
      <c r="AU311" s="143">
        <f t="shared" ca="1" si="668"/>
        <v>19.866369032205181</v>
      </c>
      <c r="AV311" s="143">
        <f t="shared" ca="1" si="668"/>
        <v>19.867226557397551</v>
      </c>
      <c r="AW311" s="143">
        <f t="shared" ca="1" si="668"/>
        <v>19.868099354164087</v>
      </c>
      <c r="AX311" s="143">
        <f t="shared" ca="1" si="668"/>
        <v>19.868986174262673</v>
      </c>
      <c r="AY311" s="143">
        <f t="shared" ca="1" si="668"/>
        <v>19.869885820555385</v>
      </c>
      <c r="AZ311" s="143">
        <f t="shared" ca="1" si="668"/>
        <v>19.870797145381513</v>
      </c>
      <c r="BA311" s="143">
        <f t="shared" ca="1" si="668"/>
        <v>19.871719048967389</v>
      </c>
      <c r="BB311" s="143">
        <f t="shared" ca="1" si="668"/>
        <v>19.872650477873371</v>
      </c>
      <c r="BC311" s="143">
        <f t="shared" ca="1" si="668"/>
        <v>19.873590423477722</v>
      </c>
      <c r="BD311" s="143">
        <f t="shared" ca="1" si="668"/>
        <v>19.874537920497509</v>
      </c>
      <c r="BE311" s="143">
        <f t="shared" ca="1" si="668"/>
        <v>19.875492045546238</v>
      </c>
      <c r="BF311" s="143">
        <f t="shared" ca="1" si="668"/>
        <v>19.875621100618943</v>
      </c>
      <c r="BG311" s="143">
        <f t="shared" ca="1" si="668"/>
        <v>19.875769810002055</v>
      </c>
      <c r="BH311" s="143">
        <f t="shared" ca="1" si="668"/>
        <v>19.875937152865376</v>
      </c>
      <c r="BI311" s="143">
        <f t="shared" ca="1" si="668"/>
        <v>19.876122145469893</v>
      </c>
      <c r="BJ311" s="143">
        <f t="shared" ca="1" si="668"/>
        <v>19.876323840062089</v>
      </c>
      <c r="BK311" s="143">
        <f t="shared" ca="1" si="668"/>
        <v>19.876541323792583</v>
      </c>
      <c r="BL311" s="143">
        <f t="shared" ca="1" si="668"/>
        <v>19.87677371765913</v>
      </c>
      <c r="BM311" s="143">
        <f t="shared" ca="1" si="668"/>
        <v>19.877020175473785</v>
      </c>
      <c r="BN311" s="143">
        <f t="shared" ca="1" si="668"/>
        <v>19.877279882854268</v>
      </c>
      <c r="BO311" s="143">
        <f t="shared" ca="1" si="668"/>
        <v>19.877552056239303</v>
      </c>
      <c r="BP311" s="143">
        <f t="shared" ca="1" si="668"/>
        <v>19.877835941927781</v>
      </c>
      <c r="BQ311" s="143">
        <f t="shared" ca="1" si="668"/>
        <v>19.878130815141532</v>
      </c>
      <c r="BR311" s="143">
        <f t="shared" ca="1" si="668"/>
        <v>19.880480783711796</v>
      </c>
      <c r="BS311" s="143">
        <f t="shared" ca="1" si="668"/>
        <v>19.885669963520872</v>
      </c>
      <c r="BT311" s="143">
        <f t="shared" ca="1" si="668"/>
        <v>19.893602208562008</v>
      </c>
      <c r="BU311" s="143">
        <f t="shared" ca="1" si="668"/>
        <v>19.904203955559755</v>
      </c>
      <c r="BV311" s="143">
        <f t="shared" ref="BV311:DA311" ca="1" si="669">BV36</f>
        <v>19.917422024306855</v>
      </c>
      <c r="BW311" s="143">
        <f t="shared" ca="1" si="669"/>
        <v>19.933221893690551</v>
      </c>
      <c r="BX311" s="143">
        <f t="shared" ca="1" si="669"/>
        <v>19.951586378199032</v>
      </c>
      <c r="BY311" s="143">
        <f t="shared" ca="1" si="669"/>
        <v>19.972514647652435</v>
      </c>
      <c r="BZ311" s="143">
        <f t="shared" ca="1" si="669"/>
        <v>19.996021547111269</v>
      </c>
      <c r="CA311" s="143">
        <f t="shared" ca="1" si="669"/>
        <v>20.022137185385635</v>
      </c>
      <c r="CB311" s="143">
        <f t="shared" ca="1" si="669"/>
        <v>20.050906770056883</v>
      </c>
      <c r="CC311" s="143">
        <f t="shared" ca="1" si="669"/>
        <v>20.082390675007616</v>
      </c>
      <c r="CD311" s="143">
        <f t="shared" ca="1" si="669"/>
        <v>20.11193227355994</v>
      </c>
      <c r="CE311" s="143">
        <f t="shared" ca="1" si="669"/>
        <v>20.139629864975305</v>
      </c>
      <c r="CF311" s="143">
        <f t="shared" ca="1" si="669"/>
        <v>20.165532632412237</v>
      </c>
      <c r="CG311" s="143">
        <f t="shared" ca="1" si="669"/>
        <v>20.189684798186203</v>
      </c>
      <c r="CH311" s="143">
        <f t="shared" ca="1" si="669"/>
        <v>20.212125862623928</v>
      </c>
      <c r="CI311" s="143">
        <f t="shared" ca="1" si="669"/>
        <v>20.232890810709424</v>
      </c>
      <c r="CJ311" s="143">
        <f t="shared" ca="1" si="669"/>
        <v>20.252010288728311</v>
      </c>
      <c r="CK311" s="143">
        <f t="shared" ca="1" si="669"/>
        <v>20.269510752740867</v>
      </c>
      <c r="CL311" s="143">
        <f t="shared" ca="1" si="669"/>
        <v>20.285414590370948</v>
      </c>
      <c r="CM311" s="143">
        <f t="shared" ca="1" si="669"/>
        <v>20.29974021707892</v>
      </c>
      <c r="CN311" s="143">
        <f t="shared" ca="1" si="669"/>
        <v>20.312502147787896</v>
      </c>
      <c r="CO311" s="143">
        <f t="shared" ca="1" si="669"/>
        <v>20.323711044446071</v>
      </c>
      <c r="CP311" s="143">
        <f t="shared" ca="1" si="669"/>
        <v>20.333640772179066</v>
      </c>
      <c r="CQ311" s="143">
        <f t="shared" ca="1" si="669"/>
        <v>20.342290360121062</v>
      </c>
      <c r="CR311" s="143">
        <f t="shared" ca="1" si="669"/>
        <v>20.349657425711573</v>
      </c>
      <c r="CS311" s="143">
        <f t="shared" ca="1" si="669"/>
        <v>20.355738151887099</v>
      </c>
      <c r="CT311" s="143">
        <f t="shared" ca="1" si="669"/>
        <v>20.360527268579563</v>
      </c>
      <c r="CU311" s="143">
        <f t="shared" ca="1" si="669"/>
        <v>20.364018030080885</v>
      </c>
      <c r="CV311" s="143">
        <f t="shared" ca="1" si="669"/>
        <v>20.367363432254123</v>
      </c>
      <c r="CW311" s="143">
        <f t="shared" ca="1" si="669"/>
        <v>20.370615523150221</v>
      </c>
      <c r="CX311" s="143">
        <f t="shared" ca="1" si="669"/>
        <v>20.373774460743999</v>
      </c>
      <c r="CY311" s="143">
        <f t="shared" ca="1" si="669"/>
        <v>20.376840370029534</v>
      </c>
      <c r="CZ311" s="143">
        <f t="shared" ca="1" si="669"/>
        <v>20.379813342837831</v>
      </c>
      <c r="DA311" s="143">
        <f t="shared" ca="1" si="669"/>
        <v>20.382693437628237</v>
      </c>
      <c r="DB311" s="143">
        <f t="shared" ref="DB311:DY311" ca="1" si="670">DB36</f>
        <v>20.385441249005233</v>
      </c>
      <c r="DC311" s="143">
        <f t="shared" ca="1" si="670"/>
        <v>20.38805939852514</v>
      </c>
      <c r="DD311" s="143">
        <f t="shared" ca="1" si="670"/>
        <v>20.390547466457065</v>
      </c>
      <c r="DE311" s="143">
        <f t="shared" ca="1" si="670"/>
        <v>20.392904984894638</v>
      </c>
      <c r="DF311" s="143">
        <f t="shared" ca="1" si="670"/>
        <v>20.395131437125347</v>
      </c>
      <c r="DG311" s="143">
        <f t="shared" ca="1" si="670"/>
        <v>20.397226256961044</v>
      </c>
      <c r="DH311" s="143">
        <f t="shared" ca="1" si="670"/>
        <v>20.399188828028759</v>
      </c>
      <c r="DI311" s="143">
        <f t="shared" ca="1" si="670"/>
        <v>20.401018483020589</v>
      </c>
      <c r="DJ311" s="143">
        <f t="shared" ca="1" si="670"/>
        <v>20.402714502901453</v>
      </c>
      <c r="DK311" s="143">
        <f t="shared" ca="1" si="670"/>
        <v>20.404276116073635</v>
      </c>
      <c r="DL311" s="143">
        <f t="shared" ca="1" si="670"/>
        <v>20.405702497496495</v>
      </c>
      <c r="DM311" s="143">
        <f t="shared" ca="1" si="670"/>
        <v>20.406992767760254</v>
      </c>
      <c r="DN311" s="143">
        <f t="shared" ca="1" si="670"/>
        <v>20.40819442473228</v>
      </c>
      <c r="DO311" s="143">
        <f t="shared" ca="1" si="670"/>
        <v>20.409306903444101</v>
      </c>
      <c r="DP311" s="143">
        <f t="shared" ca="1" si="670"/>
        <v>20.410329610530692</v>
      </c>
      <c r="DQ311" s="143">
        <f t="shared" ca="1" si="670"/>
        <v>20.411261923703904</v>
      </c>
      <c r="DR311" s="143">
        <f t="shared" ca="1" si="670"/>
        <v>20.412103191274603</v>
      </c>
      <c r="DS311" s="143">
        <f t="shared" ca="1" si="670"/>
        <v>20.412852731657779</v>
      </c>
      <c r="DT311" s="143">
        <f t="shared" ca="1" si="670"/>
        <v>20.413509832860033</v>
      </c>
      <c r="DU311" s="143">
        <f t="shared" ca="1" si="670"/>
        <v>20.414073751949115</v>
      </c>
      <c r="DV311" s="143">
        <f t="shared" ca="1" si="670"/>
        <v>20.41454371450482</v>
      </c>
      <c r="DW311" s="143">
        <f t="shared" ca="1" si="670"/>
        <v>20.414918914050894</v>
      </c>
      <c r="DX311" s="143">
        <f t="shared" ca="1" si="670"/>
        <v>20.41519851146715</v>
      </c>
      <c r="DY311" s="143">
        <f t="shared" ca="1" si="670"/>
        <v>20.415381634381525</v>
      </c>
    </row>
    <row r="312" spans="3:129" outlineLevel="1">
      <c r="D312" s="5" t="s">
        <v>189</v>
      </c>
      <c r="F312" s="5" t="s">
        <v>449</v>
      </c>
      <c r="G312" s="650">
        <v>1</v>
      </c>
      <c r="H312" s="236"/>
      <c r="I312" s="236"/>
      <c r="J312" s="35">
        <f ca="1">+J309*$G$312</f>
        <v>1261954.5029493729</v>
      </c>
      <c r="K312" s="35">
        <f t="shared" ref="K312:AO312" ca="1" si="671">+K309*$G$312</f>
        <v>1957314.5192257806</v>
      </c>
      <c r="L312" s="35">
        <f t="shared" ca="1" si="671"/>
        <v>2649032.6867439738</v>
      </c>
      <c r="M312" s="35">
        <f t="shared" ca="1" si="671"/>
        <v>3336269.2955336906</v>
      </c>
      <c r="N312" s="35">
        <f t="shared" ca="1" si="671"/>
        <v>4018172.2689977535</v>
      </c>
      <c r="O312" s="35">
        <f t="shared" ca="1" si="671"/>
        <v>4693876.9501496246</v>
      </c>
      <c r="P312" s="35">
        <f t="shared" ca="1" si="671"/>
        <v>5362505.914808305</v>
      </c>
      <c r="Q312" s="35">
        <f t="shared" ca="1" si="671"/>
        <v>6023168.8039942924</v>
      </c>
      <c r="R312" s="35">
        <f t="shared" ca="1" si="671"/>
        <v>6674962.1688094959</v>
      </c>
      <c r="S312" s="35">
        <f t="shared" ca="1" si="671"/>
        <v>7316969.322081889</v>
      </c>
      <c r="T312" s="35">
        <f t="shared" ca="1" si="671"/>
        <v>7948260.1919847289</v>
      </c>
      <c r="U312" s="35">
        <f t="shared" ca="1" si="671"/>
        <v>8567891.1736844368</v>
      </c>
      <c r="V312" s="35">
        <f t="shared" ca="1" si="671"/>
        <v>9217943.5189785883</v>
      </c>
      <c r="W312" s="35">
        <f t="shared" ca="1" si="671"/>
        <v>9867370.2302275486</v>
      </c>
      <c r="X312" s="35">
        <f t="shared" ca="1" si="671"/>
        <v>10515991.113028493</v>
      </c>
      <c r="Y312" s="35">
        <f t="shared" ca="1" si="671"/>
        <v>11163623.732483927</v>
      </c>
      <c r="Z312" s="35">
        <f t="shared" ca="1" si="671"/>
        <v>11810083.363791844</v>
      </c>
      <c r="AA312" s="35">
        <f t="shared" ca="1" si="671"/>
        <v>12455182.942076538</v>
      </c>
      <c r="AB312" s="35">
        <f t="shared" ca="1" si="671"/>
        <v>13098733.011364864</v>
      </c>
      <c r="AC312" s="35">
        <f t="shared" ca="1" si="671"/>
        <v>13740541.672622535</v>
      </c>
      <c r="AD312" s="35">
        <f t="shared" ca="1" si="671"/>
        <v>14380414.530774519</v>
      </c>
      <c r="AE312" s="35">
        <f t="shared" ca="1" si="671"/>
        <v>15018154.640640847</v>
      </c>
      <c r="AF312" s="35">
        <f t="shared" ca="1" si="671"/>
        <v>15653562.451726228</v>
      </c>
      <c r="AG312" s="35">
        <f t="shared" ca="1" si="671"/>
        <v>16286435.751807734</v>
      </c>
      <c r="AH312" s="35">
        <f t="shared" ca="1" si="671"/>
        <v>16984536.474024836</v>
      </c>
      <c r="AI312" s="35">
        <f t="shared" ca="1" si="671"/>
        <v>17691980.290312003</v>
      </c>
      <c r="AJ312" s="35">
        <f t="shared" ca="1" si="671"/>
        <v>18408871.646195859</v>
      </c>
      <c r="AK312" s="35">
        <f t="shared" ca="1" si="671"/>
        <v>19135317.932201013</v>
      </c>
      <c r="AL312" s="35">
        <f t="shared" ca="1" si="671"/>
        <v>19871429.531453099</v>
      </c>
      <c r="AM312" s="35">
        <f t="shared" ca="1" si="671"/>
        <v>20617319.868491724</v>
      </c>
      <c r="AN312" s="35">
        <f t="shared" ca="1" si="671"/>
        <v>21390931.413179696</v>
      </c>
      <c r="AO312" s="35">
        <f t="shared" ca="1" si="671"/>
        <v>22180726.784417607</v>
      </c>
      <c r="AP312" s="35">
        <f t="shared" ref="AP312:BU312" ca="1" si="672">+AP309*$G$312</f>
        <v>22986998.258372836</v>
      </c>
      <c r="AQ312" s="35">
        <f t="shared" ca="1" si="672"/>
        <v>23810044.273654412</v>
      </c>
      <c r="AR312" s="35">
        <f t="shared" ca="1" si="672"/>
        <v>24650169.551328007</v>
      </c>
      <c r="AS312" s="35">
        <f t="shared" ca="1" si="672"/>
        <v>25507685.217363257</v>
      </c>
      <c r="AT312" s="35">
        <f t="shared" ca="1" si="672"/>
        <v>26435899.07099849</v>
      </c>
      <c r="AU312" s="35">
        <f t="shared" ca="1" si="672"/>
        <v>27383283.967472129</v>
      </c>
      <c r="AV312" s="35">
        <f t="shared" ca="1" si="672"/>
        <v>28350198.415409848</v>
      </c>
      <c r="AW312" s="35">
        <f t="shared" ca="1" si="672"/>
        <v>29337008.347107247</v>
      </c>
      <c r="AX312" s="35">
        <f t="shared" ca="1" si="672"/>
        <v>30344087.264353488</v>
      </c>
      <c r="AY312" s="35">
        <f t="shared" ca="1" si="672"/>
        <v>31371816.387198582</v>
      </c>
      <c r="AZ312" s="35">
        <f t="shared" ca="1" si="672"/>
        <v>32420584.805723805</v>
      </c>
      <c r="BA312" s="35">
        <f t="shared" ca="1" si="672"/>
        <v>33490789.634874769</v>
      </c>
      <c r="BB312" s="35">
        <f t="shared" ca="1" si="672"/>
        <v>34582836.172418028</v>
      </c>
      <c r="BC312" s="35">
        <f t="shared" ca="1" si="672"/>
        <v>35697138.060084388</v>
      </c>
      <c r="BD312" s="35">
        <f t="shared" ca="1" si="672"/>
        <v>36834117.447961085</v>
      </c>
      <c r="BE312" s="35">
        <f t="shared" ca="1" si="672"/>
        <v>37994205.162199132</v>
      </c>
      <c r="BF312" s="35">
        <f t="shared" ca="1" si="672"/>
        <v>39179897.059759274</v>
      </c>
      <c r="BG312" s="35">
        <f t="shared" ca="1" si="672"/>
        <v>40390369.804381743</v>
      </c>
      <c r="BH312" s="35">
        <f t="shared" ca="1" si="672"/>
        <v>41626099.22364074</v>
      </c>
      <c r="BI312" s="35">
        <f t="shared" ca="1" si="672"/>
        <v>42887570.862288155</v>
      </c>
      <c r="BJ312" s="35">
        <f t="shared" ca="1" si="672"/>
        <v>44175280.174527958</v>
      </c>
      <c r="BK312" s="35">
        <f t="shared" ca="1" si="672"/>
        <v>45489732.720157482</v>
      </c>
      <c r="BL312" s="35">
        <f t="shared" ca="1" si="672"/>
        <v>46831444.364652142</v>
      </c>
      <c r="BM312" s="35">
        <f t="shared" ca="1" si="672"/>
        <v>48200941.483272724</v>
      </c>
      <c r="BN312" s="35">
        <f t="shared" ca="1" si="672"/>
        <v>49598761.169275694</v>
      </c>
      <c r="BO312" s="35">
        <f t="shared" ca="1" si="672"/>
        <v>51025451.446307734</v>
      </c>
      <c r="BP312" s="35">
        <f t="shared" ca="1" si="672"/>
        <v>52481571.485069223</v>
      </c>
      <c r="BQ312" s="35">
        <f t="shared" ca="1" si="672"/>
        <v>53967691.824330375</v>
      </c>
      <c r="BR312" s="35">
        <f t="shared" ca="1" si="672"/>
        <v>55380153.979896456</v>
      </c>
      <c r="BS312" s="35">
        <f t="shared" ca="1" si="672"/>
        <v>56722206.546847582</v>
      </c>
      <c r="BT312" s="35">
        <f t="shared" ca="1" si="672"/>
        <v>57998057.418061122</v>
      </c>
      <c r="BU312" s="35">
        <f t="shared" ca="1" si="672"/>
        <v>59211943.167310454</v>
      </c>
      <c r="BV312" s="35">
        <f t="shared" ref="BV312:CB312" ca="1" si="673">+BV309*$G$312</f>
        <v>60368129.643650748</v>
      </c>
      <c r="BW312" s="35">
        <f t="shared" ca="1" si="673"/>
        <v>61470912.614203334</v>
      </c>
      <c r="BX312" s="35">
        <f t="shared" ca="1" si="673"/>
        <v>62524618.442207947</v>
      </c>
      <c r="BY312" s="35">
        <f t="shared" ca="1" si="673"/>
        <v>63533604.788894631</v>
      </c>
      <c r="BZ312" s="35">
        <f t="shared" ca="1" si="673"/>
        <v>64502261.32882899</v>
      </c>
      <c r="CA312" s="35">
        <f t="shared" ca="1" si="673"/>
        <v>65435010.469003759</v>
      </c>
      <c r="CB312" s="35">
        <f t="shared" ca="1" si="673"/>
        <v>66336308.062160641</v>
      </c>
      <c r="CC312" s="35">
        <f ca="1">+CC309*$G$312</f>
        <v>67210644.104667813</v>
      </c>
      <c r="CD312" s="35">
        <f t="shared" ref="CD312:DY312" ca="1" si="674">+CD309*$G$312</f>
        <v>68059757.721894935</v>
      </c>
      <c r="CE312" s="35">
        <f t="shared" ca="1" si="674"/>
        <v>68885398.952546105</v>
      </c>
      <c r="CF312" s="35">
        <f t="shared" ca="1" si="674"/>
        <v>69689432.727045253</v>
      </c>
      <c r="CG312" s="35">
        <f t="shared" ca="1" si="674"/>
        <v>70473737.044020668</v>
      </c>
      <c r="CH312" s="35">
        <f t="shared" ca="1" si="674"/>
        <v>71240203.612624884</v>
      </c>
      <c r="CI312" s="35">
        <f t="shared" ca="1" si="674"/>
        <v>71990738.498051867</v>
      </c>
      <c r="CJ312" s="35">
        <f t="shared" ca="1" si="674"/>
        <v>72727262.771669775</v>
      </c>
      <c r="CK312" s="35">
        <f t="shared" ca="1" si="674"/>
        <v>73451713.16713582</v>
      </c>
      <c r="CL312" s="35">
        <f t="shared" ca="1" si="674"/>
        <v>74166042.743825704</v>
      </c>
      <c r="CM312" s="35">
        <f t="shared" ca="1" si="674"/>
        <v>74872221.558893993</v>
      </c>
      <c r="CN312" s="35">
        <f t="shared" ca="1" si="674"/>
        <v>75572237.349284992</v>
      </c>
      <c r="CO312" s="35">
        <f t="shared" ca="1" si="674"/>
        <v>76268096.22502999</v>
      </c>
      <c r="CP312" s="35">
        <f t="shared" ca="1" si="674"/>
        <v>76958809.286758393</v>
      </c>
      <c r="CQ312" s="35">
        <f t="shared" ca="1" si="674"/>
        <v>77645177.721849665</v>
      </c>
      <c r="CR312" s="35">
        <f t="shared" ca="1" si="674"/>
        <v>78328009.71510157</v>
      </c>
      <c r="CS312" s="35">
        <f t="shared" ca="1" si="674"/>
        <v>79008120.723986909</v>
      </c>
      <c r="CT312" s="35">
        <f t="shared" ca="1" si="674"/>
        <v>79686333.759252831</v>
      </c>
      <c r="CU312" s="35">
        <f t="shared" ca="1" si="674"/>
        <v>80363479.670928776</v>
      </c>
      <c r="CV312" s="35">
        <f t="shared" ca="1" si="674"/>
        <v>81038157.380814463</v>
      </c>
      <c r="CW312" s="35">
        <f t="shared" ca="1" si="674"/>
        <v>81710433.105125591</v>
      </c>
      <c r="CX312" s="35">
        <f t="shared" ca="1" si="674"/>
        <v>82380444.554506525</v>
      </c>
      <c r="CY312" s="35">
        <f t="shared" ca="1" si="674"/>
        <v>83048330.326179042</v>
      </c>
      <c r="CZ312" s="35">
        <f t="shared" ca="1" si="674"/>
        <v>83714229.940991357</v>
      </c>
      <c r="DA312" s="35">
        <f t="shared" ca="1" si="674"/>
        <v>84378283.881016031</v>
      </c>
      <c r="DB312" s="35">
        <f t="shared" ca="1" si="674"/>
        <v>85040625.064195216</v>
      </c>
      <c r="DC312" s="35">
        <f t="shared" ca="1" si="674"/>
        <v>85701366.704568788</v>
      </c>
      <c r="DD312" s="35">
        <f t="shared" ca="1" si="674"/>
        <v>86360630.987160817</v>
      </c>
      <c r="DE312" s="35">
        <f t="shared" ca="1" si="674"/>
        <v>87018540.993885517</v>
      </c>
      <c r="DF312" s="35">
        <f t="shared" ca="1" si="674"/>
        <v>87675220.737763137</v>
      </c>
      <c r="DG312" s="35">
        <f t="shared" ca="1" si="674"/>
        <v>88330795.197668806</v>
      </c>
      <c r="DH312" s="35">
        <f t="shared" ca="1" si="674"/>
        <v>88985390.353625104</v>
      </c>
      <c r="DI312" s="35">
        <f t="shared" ca="1" si="674"/>
        <v>89639133.222654909</v>
      </c>
      <c r="DJ312" s="35">
        <f t="shared" ca="1" si="674"/>
        <v>90292151.895205215</v>
      </c>
      <c r="DK312" s="35">
        <f t="shared" ca="1" si="674"/>
        <v>90944575.57216002</v>
      </c>
      <c r="DL312" s="35">
        <f t="shared" ca="1" si="674"/>
        <v>91596534.602453798</v>
      </c>
      <c r="DM312" s="35">
        <f t="shared" ca="1" si="674"/>
        <v>92248160.521301791</v>
      </c>
      <c r="DN312" s="35">
        <f t="shared" ca="1" si="674"/>
        <v>92899365.09159711</v>
      </c>
      <c r="DO312" s="35">
        <f t="shared" ca="1" si="674"/>
        <v>93550201.51348266</v>
      </c>
      <c r="DP312" s="35">
        <f t="shared" ca="1" si="674"/>
        <v>94200723.435200214</v>
      </c>
      <c r="DQ312" s="35">
        <f t="shared" ca="1" si="674"/>
        <v>94850984.968508661</v>
      </c>
      <c r="DR312" s="35">
        <f t="shared" ca="1" si="674"/>
        <v>95501040.704349712</v>
      </c>
      <c r="DS312" s="35">
        <f t="shared" ca="1" si="674"/>
        <v>96150945.728769615</v>
      </c>
      <c r="DT312" s="35">
        <f t="shared" ca="1" si="674"/>
        <v>96800755.639102906</v>
      </c>
      <c r="DU312" s="35">
        <f t="shared" ca="1" si="674"/>
        <v>97450526.560423121</v>
      </c>
      <c r="DV312" s="35">
        <f t="shared" ca="1" si="674"/>
        <v>98100315.162267968</v>
      </c>
      <c r="DW312" s="35">
        <f t="shared" ca="1" si="674"/>
        <v>98750178.675645739</v>
      </c>
      <c r="DX312" s="35">
        <f t="shared" ca="1" si="674"/>
        <v>99400174.910328016</v>
      </c>
      <c r="DY312" s="35">
        <f t="shared" ca="1" si="674"/>
        <v>100050362.27243723</v>
      </c>
    </row>
    <row r="313" spans="3:129" outlineLevel="1">
      <c r="D313" s="5" t="s">
        <v>190</v>
      </c>
      <c r="J313" s="35">
        <f ca="1">+J312-_bsDebt</f>
        <v>-9238045.4970506281</v>
      </c>
      <c r="K313" s="35">
        <f t="shared" ref="K313:BV313" ca="1" si="675">+K312-_bsDebt</f>
        <v>-8542685.4807742201</v>
      </c>
      <c r="L313" s="35">
        <f t="shared" ca="1" si="675"/>
        <v>-7850967.3132560262</v>
      </c>
      <c r="M313" s="35">
        <f t="shared" ca="1" si="675"/>
        <v>-7163730.7044663094</v>
      </c>
      <c r="N313" s="35">
        <f t="shared" ca="1" si="675"/>
        <v>-6481827.731002247</v>
      </c>
      <c r="O313" s="35">
        <f t="shared" ca="1" si="675"/>
        <v>-5806123.0498503754</v>
      </c>
      <c r="P313" s="35">
        <f t="shared" ca="1" si="675"/>
        <v>-5137494.085191695</v>
      </c>
      <c r="Q313" s="35">
        <f t="shared" ca="1" si="675"/>
        <v>-4476831.1960057076</v>
      </c>
      <c r="R313" s="35">
        <f t="shared" ca="1" si="675"/>
        <v>-3825037.8311905041</v>
      </c>
      <c r="S313" s="35">
        <f t="shared" ca="1" si="675"/>
        <v>-3183030.677918111</v>
      </c>
      <c r="T313" s="35">
        <f t="shared" ca="1" si="675"/>
        <v>-2551739.8080152711</v>
      </c>
      <c r="U313" s="35">
        <f t="shared" ca="1" si="675"/>
        <v>-1932108.8263155632</v>
      </c>
      <c r="V313" s="35">
        <f t="shared" ca="1" si="675"/>
        <v>-865389.81435474567</v>
      </c>
      <c r="W313" s="35">
        <f t="shared" ca="1" si="675"/>
        <v>200703.56356088072</v>
      </c>
      <c r="X313" s="35">
        <f t="shared" ca="1" si="675"/>
        <v>1265991.1130284909</v>
      </c>
      <c r="Y313" s="35">
        <f t="shared" ca="1" si="675"/>
        <v>2330290.3991505913</v>
      </c>
      <c r="Z313" s="35">
        <f t="shared" ca="1" si="675"/>
        <v>3393416.6971251741</v>
      </c>
      <c r="AA313" s="35">
        <f t="shared" ca="1" si="675"/>
        <v>4455182.942076535</v>
      </c>
      <c r="AB313" s="35">
        <f t="shared" ca="1" si="675"/>
        <v>5515399.6780315284</v>
      </c>
      <c r="AC313" s="35">
        <f t="shared" ca="1" si="675"/>
        <v>6573875.0059558665</v>
      </c>
      <c r="AD313" s="35">
        <f t="shared" ca="1" si="675"/>
        <v>7630414.530774517</v>
      </c>
      <c r="AE313" s="35">
        <f t="shared" ca="1" si="675"/>
        <v>8684821.3073075116</v>
      </c>
      <c r="AF313" s="35">
        <f t="shared" ca="1" si="675"/>
        <v>9736895.7850595601</v>
      </c>
      <c r="AG313" s="35">
        <f t="shared" ca="1" si="675"/>
        <v>10786435.751807734</v>
      </c>
      <c r="AH313" s="35">
        <f t="shared" ca="1" si="675"/>
        <v>-13098796.859308496</v>
      </c>
      <c r="AI313" s="35">
        <f t="shared" ca="1" si="675"/>
        <v>-11974686.376354661</v>
      </c>
      <c r="AJ313" s="35">
        <f t="shared" ca="1" si="675"/>
        <v>-10841128.353804138</v>
      </c>
      <c r="AK313" s="35">
        <f t="shared" ca="1" si="675"/>
        <v>-9698015.4011323154</v>
      </c>
      <c r="AL313" s="35">
        <f t="shared" ca="1" si="675"/>
        <v>-8545237.1352135614</v>
      </c>
      <c r="AM313" s="35">
        <f t="shared" ca="1" si="675"/>
        <v>-7382680.1315082684</v>
      </c>
      <c r="AN313" s="35">
        <f t="shared" ca="1" si="675"/>
        <v>-5729438.9571906663</v>
      </c>
      <c r="AO313" s="35">
        <f t="shared" ca="1" si="675"/>
        <v>-4060013.9563231245</v>
      </c>
      <c r="AP313" s="35">
        <f t="shared" ca="1" si="675"/>
        <v>-2374112.8527382649</v>
      </c>
      <c r="AQ313" s="35">
        <f t="shared" ca="1" si="675"/>
        <v>-671437.20782705769</v>
      </c>
      <c r="AR313" s="35">
        <f t="shared" ca="1" si="675"/>
        <v>1048317.6994761676</v>
      </c>
      <c r="AS313" s="35">
        <f t="shared" ca="1" si="675"/>
        <v>2785462.995141048</v>
      </c>
      <c r="AT313" s="35">
        <f t="shared" ca="1" si="675"/>
        <v>4176639.8117392436</v>
      </c>
      <c r="AU313" s="35">
        <f t="shared" ca="1" si="675"/>
        <v>5586987.671175845</v>
      </c>
      <c r="AV313" s="35">
        <f t="shared" ca="1" si="675"/>
        <v>7016865.0820765272</v>
      </c>
      <c r="AW313" s="35">
        <f t="shared" ca="1" si="675"/>
        <v>8466637.9767368883</v>
      </c>
      <c r="AX313" s="35">
        <f t="shared" ca="1" si="675"/>
        <v>9936679.8569460921</v>
      </c>
      <c r="AY313" s="35">
        <f t="shared" ca="1" si="675"/>
        <v>11427371.942754149</v>
      </c>
      <c r="AZ313" s="35">
        <f t="shared" ca="1" si="675"/>
        <v>12939103.324242335</v>
      </c>
      <c r="BA313" s="35">
        <f t="shared" ca="1" si="675"/>
        <v>14472271.116356261</v>
      </c>
      <c r="BB313" s="35">
        <f t="shared" ca="1" si="675"/>
        <v>16027280.616862483</v>
      </c>
      <c r="BC313" s="35">
        <f t="shared" ca="1" si="675"/>
        <v>17604545.467491806</v>
      </c>
      <c r="BD313" s="35">
        <f t="shared" ca="1" si="675"/>
        <v>19204487.818331465</v>
      </c>
      <c r="BE313" s="35">
        <f t="shared" ca="1" si="675"/>
        <v>20827538.495532475</v>
      </c>
      <c r="BF313" s="35">
        <f t="shared" ca="1" si="675"/>
        <v>10476193.35605558</v>
      </c>
      <c r="BG313" s="35">
        <f t="shared" ca="1" si="675"/>
        <v>12149629.063641012</v>
      </c>
      <c r="BH313" s="35">
        <f t="shared" ca="1" si="675"/>
        <v>13848321.445862971</v>
      </c>
      <c r="BI313" s="35">
        <f t="shared" ca="1" si="675"/>
        <v>15572756.047473349</v>
      </c>
      <c r="BJ313" s="35">
        <f t="shared" ca="1" si="675"/>
        <v>17323428.322676115</v>
      </c>
      <c r="BK313" s="35">
        <f t="shared" ca="1" si="675"/>
        <v>19100843.831268601</v>
      </c>
      <c r="BL313" s="35">
        <f t="shared" ca="1" si="675"/>
        <v>21127740.660948448</v>
      </c>
      <c r="BM313" s="35">
        <f t="shared" ca="1" si="675"/>
        <v>23182422.964754216</v>
      </c>
      <c r="BN313" s="35">
        <f t="shared" ca="1" si="675"/>
        <v>25265427.835942373</v>
      </c>
      <c r="BO313" s="35">
        <f t="shared" ca="1" si="675"/>
        <v>27377303.298159599</v>
      </c>
      <c r="BP313" s="35">
        <f t="shared" ca="1" si="675"/>
        <v>29518608.522106275</v>
      </c>
      <c r="BQ313" s="35">
        <f t="shared" ca="1" si="675"/>
        <v>31689914.046552613</v>
      </c>
      <c r="BR313" s="35">
        <f t="shared" ca="1" si="675"/>
        <v>23787561.387303881</v>
      </c>
      <c r="BS313" s="35">
        <f t="shared" ca="1" si="675"/>
        <v>25814799.139440194</v>
      </c>
      <c r="BT313" s="35">
        <f t="shared" ca="1" si="675"/>
        <v>27775835.195838921</v>
      </c>
      <c r="BU313" s="35">
        <f t="shared" ca="1" si="675"/>
        <v>29674906.130273439</v>
      </c>
      <c r="BV313" s="35">
        <f t="shared" ca="1" si="675"/>
        <v>31516277.791798919</v>
      </c>
      <c r="BW313" s="35">
        <f t="shared" ref="BW313:CB313" ca="1" si="676">+BW312-_bsDebt</f>
        <v>33304245.947536692</v>
      </c>
      <c r="BX313" s="35">
        <f t="shared" ca="1" si="676"/>
        <v>35228322.145911679</v>
      </c>
      <c r="BY313" s="35">
        <f t="shared" ca="1" si="676"/>
        <v>37107678.862968728</v>
      </c>
      <c r="BZ313" s="35">
        <f t="shared" ca="1" si="676"/>
        <v>38946705.773273453</v>
      </c>
      <c r="CA313" s="35">
        <f t="shared" ca="1" si="676"/>
        <v>40749825.283818595</v>
      </c>
      <c r="CB313" s="35">
        <f t="shared" ca="1" si="676"/>
        <v>42521493.24734585</v>
      </c>
      <c r="CC313" s="35">
        <f t="shared" ref="CC313:DH313" ca="1" si="677">+CC312-_bsDebt</f>
        <v>44266199.660223387</v>
      </c>
      <c r="CD313" s="35">
        <f t="shared" ca="1" si="677"/>
        <v>35985683.647820875</v>
      </c>
      <c r="CE313" s="35">
        <f t="shared" ca="1" si="677"/>
        <v>37681695.248842418</v>
      </c>
      <c r="CF313" s="35">
        <f t="shared" ca="1" si="677"/>
        <v>39356099.393711939</v>
      </c>
      <c r="CG313" s="35">
        <f t="shared" ca="1" si="677"/>
        <v>41010774.08105772</v>
      </c>
      <c r="CH313" s="35">
        <f t="shared" ca="1" si="677"/>
        <v>42647611.020032302</v>
      </c>
      <c r="CI313" s="35">
        <f t="shared" ca="1" si="677"/>
        <v>44268516.275829658</v>
      </c>
      <c r="CJ313" s="35">
        <f t="shared" ca="1" si="677"/>
        <v>46060596.105003119</v>
      </c>
      <c r="CK313" s="35">
        <f t="shared" ca="1" si="677"/>
        <v>47840602.056024723</v>
      </c>
      <c r="CL313" s="35">
        <f t="shared" ca="1" si="677"/>
        <v>49610487.188270167</v>
      </c>
      <c r="CM313" s="35">
        <f t="shared" ca="1" si="677"/>
        <v>51372221.558894008</v>
      </c>
      <c r="CN313" s="35">
        <f t="shared" ca="1" si="677"/>
        <v>53127792.904840559</v>
      </c>
      <c r="CO313" s="35">
        <f t="shared" ca="1" si="677"/>
        <v>54879207.336141117</v>
      </c>
      <c r="CP313" s="35">
        <f t="shared" ca="1" si="677"/>
        <v>46162512.990462109</v>
      </c>
      <c r="CQ313" s="35">
        <f t="shared" ca="1" si="677"/>
        <v>47441474.018145978</v>
      </c>
      <c r="CR313" s="35">
        <f t="shared" ca="1" si="677"/>
        <v>48716898.60399048</v>
      </c>
      <c r="CS313" s="35">
        <f t="shared" ca="1" si="677"/>
        <v>49989602.205468409</v>
      </c>
      <c r="CT313" s="35">
        <f t="shared" ca="1" si="677"/>
        <v>51260407.833326921</v>
      </c>
      <c r="CU313" s="35">
        <f t="shared" ca="1" si="677"/>
        <v>52530146.337595463</v>
      </c>
      <c r="CV313" s="35">
        <f t="shared" ca="1" si="677"/>
        <v>53982601.825258926</v>
      </c>
      <c r="CW313" s="35">
        <f t="shared" ca="1" si="677"/>
        <v>55432655.32734783</v>
      </c>
      <c r="CX313" s="35">
        <f t="shared" ca="1" si="677"/>
        <v>56880444.55450654</v>
      </c>
      <c r="CY313" s="35">
        <f t="shared" ca="1" si="677"/>
        <v>58326108.103956833</v>
      </c>
      <c r="CZ313" s="35">
        <f t="shared" ca="1" si="677"/>
        <v>59769785.496546924</v>
      </c>
      <c r="DA313" s="35">
        <f t="shared" ca="1" si="677"/>
        <v>61211617.214349374</v>
      </c>
      <c r="DB313" s="35">
        <f t="shared" ca="1" si="677"/>
        <v>52651736.175306335</v>
      </c>
      <c r="DC313" s="35">
        <f t="shared" ca="1" si="677"/>
        <v>54090255.593457684</v>
      </c>
      <c r="DD313" s="35">
        <f t="shared" ca="1" si="677"/>
        <v>55527297.653827488</v>
      </c>
      <c r="DE313" s="35">
        <f t="shared" ca="1" si="677"/>
        <v>56962985.438329965</v>
      </c>
      <c r="DF313" s="35">
        <f t="shared" ca="1" si="677"/>
        <v>58397442.959985361</v>
      </c>
      <c r="DG313" s="35">
        <f t="shared" ca="1" si="677"/>
        <v>59830795.197668806</v>
      </c>
      <c r="DH313" s="35">
        <f t="shared" ca="1" si="677"/>
        <v>61448353.316588067</v>
      </c>
      <c r="DI313" s="35">
        <f t="shared" ref="DI313:DY313" ca="1" si="678">+DI312-_bsDebt</f>
        <v>63065059.148580834</v>
      </c>
      <c r="DJ313" s="35">
        <f t="shared" ca="1" si="678"/>
        <v>64681040.784094103</v>
      </c>
      <c r="DK313" s="35">
        <f t="shared" ca="1" si="678"/>
        <v>66296427.424011871</v>
      </c>
      <c r="DL313" s="35">
        <f t="shared" ca="1" si="678"/>
        <v>67911349.417268604</v>
      </c>
      <c r="DM313" s="35">
        <f t="shared" ca="1" si="678"/>
        <v>69525938.299079567</v>
      </c>
      <c r="DN313" s="35">
        <f t="shared" ca="1" si="678"/>
        <v>57917883.610115625</v>
      </c>
      <c r="DO313" s="35">
        <f t="shared" ca="1" si="678"/>
        <v>59309460.772741914</v>
      </c>
      <c r="DP313" s="35">
        <f t="shared" ca="1" si="678"/>
        <v>60700723.435200207</v>
      </c>
      <c r="DQ313" s="35">
        <f t="shared" ca="1" si="678"/>
        <v>62091725.709249392</v>
      </c>
      <c r="DR313" s="35">
        <f t="shared" ca="1" si="678"/>
        <v>63482522.185831182</v>
      </c>
      <c r="DS313" s="35">
        <f t="shared" ca="1" si="678"/>
        <v>64873167.950991824</v>
      </c>
      <c r="DT313" s="35">
        <f t="shared" ca="1" si="678"/>
        <v>66504459.342806593</v>
      </c>
      <c r="DU313" s="35">
        <f t="shared" ca="1" si="678"/>
        <v>68135711.7456083</v>
      </c>
      <c r="DV313" s="35">
        <f t="shared" ca="1" si="678"/>
        <v>69766981.828934625</v>
      </c>
      <c r="DW313" s="35">
        <f t="shared" ca="1" si="678"/>
        <v>71398326.823793873</v>
      </c>
      <c r="DX313" s="35">
        <f t="shared" ca="1" si="678"/>
        <v>73029804.539957628</v>
      </c>
      <c r="DY313" s="35">
        <f t="shared" ca="1" si="678"/>
        <v>74661473.383548319</v>
      </c>
    </row>
    <row r="314" spans="3:129" outlineLevel="1">
      <c r="D314" s="5" t="s">
        <v>337</v>
      </c>
      <c r="J314" s="140">
        <f t="shared" ref="J314:AO314" ca="1" si="679">+_bsDebt/J263</f>
        <v>1.2629751414105075</v>
      </c>
      <c r="K314" s="140">
        <f t="shared" ca="1" si="679"/>
        <v>1.3030961383339641</v>
      </c>
      <c r="L314" s="140">
        <f t="shared" ca="1" si="679"/>
        <v>1.3446756138485834</v>
      </c>
      <c r="M314" s="140">
        <f t="shared" ca="1" si="679"/>
        <v>1.3876802505264905</v>
      </c>
      <c r="N314" s="140">
        <f t="shared" ca="1" si="679"/>
        <v>1.4320548414093675</v>
      </c>
      <c r="O314" s="140">
        <f t="shared" ca="1" si="679"/>
        <v>1.4777182700690992</v>
      </c>
      <c r="P314" s="140">
        <f t="shared" ca="1" si="679"/>
        <v>1.5245591357165311</v>
      </c>
      <c r="Q314" s="140">
        <f t="shared" ca="1" si="679"/>
        <v>1.5724310975359068</v>
      </c>
      <c r="R314" s="140">
        <f t="shared" ca="1" si="679"/>
        <v>1.6211480590087408</v>
      </c>
      <c r="S314" s="140">
        <f t="shared" ca="1" si="679"/>
        <v>1.6704793706377605</v>
      </c>
      <c r="T314" s="140">
        <f t="shared" ca="1" si="679"/>
        <v>1.7201452976378868</v>
      </c>
      <c r="U314" s="140">
        <f t="shared" ca="1" si="679"/>
        <v>1.7698130755278845</v>
      </c>
      <c r="V314" s="140">
        <f t="shared" ca="1" si="679"/>
        <v>1.741535485791647</v>
      </c>
      <c r="W314" s="140">
        <f t="shared" ca="1" si="679"/>
        <v>1.7075698723728743</v>
      </c>
      <c r="X314" s="140">
        <f t="shared" ca="1" si="679"/>
        <v>1.6676913442665311</v>
      </c>
      <c r="Y314" s="140">
        <f t="shared" ca="1" si="679"/>
        <v>1.6217550285266189</v>
      </c>
      <c r="Z314" s="140">
        <f t="shared" ca="1" si="679"/>
        <v>1.5697119326221685</v>
      </c>
      <c r="AA314" s="140">
        <f t="shared" ca="1" si="679"/>
        <v>1.5116229339453706</v>
      </c>
      <c r="AB314" s="140">
        <f t="shared" ca="1" si="679"/>
        <v>1.0780755617633255</v>
      </c>
      <c r="AC314" s="140">
        <f t="shared" ca="1" si="679"/>
        <v>1.0260014643549695</v>
      </c>
      <c r="AD314" s="140">
        <f t="shared" ca="1" si="679"/>
        <v>0.97189074048804325</v>
      </c>
      <c r="AE314" s="140">
        <f t="shared" ca="1" si="679"/>
        <v>0.91590152734820196</v>
      </c>
      <c r="AF314" s="140">
        <f t="shared" ca="1" si="679"/>
        <v>0.85821614277708558</v>
      </c>
      <c r="AG314" s="140">
        <f t="shared" ca="1" si="679"/>
        <v>0.79903968486486643</v>
      </c>
      <c r="AH314" s="140">
        <f t="shared" ca="1" si="679"/>
        <v>1.8531759552484319</v>
      </c>
      <c r="AI314" s="140">
        <f t="shared" ca="1" si="679"/>
        <v>1.8427514789471033</v>
      </c>
      <c r="AJ314" s="140">
        <f t="shared" ca="1" si="679"/>
        <v>1.8303308254406467</v>
      </c>
      <c r="AK314" s="140">
        <f t="shared" ca="1" si="679"/>
        <v>1.8158728086343034</v>
      </c>
      <c r="AL314" s="140">
        <f t="shared" ca="1" si="679"/>
        <v>1.7993480515677016</v>
      </c>
      <c r="AM314" s="140">
        <f t="shared" ca="1" si="679"/>
        <v>1.7811166400561629</v>
      </c>
      <c r="AN314" s="140">
        <f t="shared" ca="1" si="679"/>
        <v>1.7315965255734107</v>
      </c>
      <c r="AO314" s="140">
        <f t="shared" ca="1" si="679"/>
        <v>1.6804886243409833</v>
      </c>
      <c r="AP314" s="140">
        <f t="shared" ref="AP314:BU314" ca="1" si="680">+_bsDebt/AP263</f>
        <v>1.6278736303307511</v>
      </c>
      <c r="AQ314" s="140">
        <f t="shared" ca="1" si="680"/>
        <v>1.5738415394398804</v>
      </c>
      <c r="AR314" s="140">
        <f t="shared" ca="1" si="680"/>
        <v>1.5184912748373873</v>
      </c>
      <c r="AS314" s="140">
        <f t="shared" ca="1" si="680"/>
        <v>1.4619301935936311</v>
      </c>
      <c r="AT314" s="140">
        <f t="shared" ca="1" si="680"/>
        <v>1.4258546998709227</v>
      </c>
      <c r="AU314" s="140">
        <f t="shared" ca="1" si="680"/>
        <v>1.3891373273364915</v>
      </c>
      <c r="AV314" s="140">
        <f t="shared" ca="1" si="680"/>
        <v>1.3518465605118337</v>
      </c>
      <c r="AW314" s="140">
        <f t="shared" ca="1" si="680"/>
        <v>1.3140533197299518</v>
      </c>
      <c r="AX314" s="140">
        <f t="shared" ca="1" si="680"/>
        <v>1.2758305012864222</v>
      </c>
      <c r="AY314" s="140">
        <f t="shared" ca="1" si="680"/>
        <v>1.2372524983047415</v>
      </c>
      <c r="AZ314" s="140">
        <f t="shared" ca="1" si="680"/>
        <v>1.1983947089052249</v>
      </c>
      <c r="BA314" s="140">
        <f t="shared" ca="1" si="680"/>
        <v>1.1593330384626874</v>
      </c>
      <c r="BB314" s="140">
        <f t="shared" ca="1" si="680"/>
        <v>1.1201434027745152</v>
      </c>
      <c r="BC314" s="140">
        <f t="shared" ca="1" si="680"/>
        <v>1.0809012388385499</v>
      </c>
      <c r="BD314" s="140">
        <f t="shared" ca="1" si="680"/>
        <v>1.0416810296660515</v>
      </c>
      <c r="BE314" s="140">
        <f t="shared" ca="1" si="680"/>
        <v>1.0025558491405915</v>
      </c>
      <c r="BF314" s="140">
        <f t="shared" ca="1" si="680"/>
        <v>1.6755512390104379</v>
      </c>
      <c r="BG314" s="140">
        <f t="shared" ca="1" si="680"/>
        <v>1.6327750225823381</v>
      </c>
      <c r="BH314" s="140">
        <f t="shared" ca="1" si="680"/>
        <v>1.589579553806385</v>
      </c>
      <c r="BI314" s="140">
        <f t="shared" ca="1" si="680"/>
        <v>1.5460553016126866</v>
      </c>
      <c r="BJ314" s="140">
        <f t="shared" ca="1" si="680"/>
        <v>1.5022924667426973</v>
      </c>
      <c r="BK314" s="140">
        <f t="shared" ca="1" si="680"/>
        <v>1.4583803906376582</v>
      </c>
      <c r="BL314" s="140">
        <f t="shared" ca="1" si="680"/>
        <v>1.4021985043017937</v>
      </c>
      <c r="BM314" s="140">
        <f t="shared" ca="1" si="680"/>
        <v>1.3462959689163134</v>
      </c>
      <c r="BN314" s="140">
        <f t="shared" ca="1" si="680"/>
        <v>1.2907845084106462</v>
      </c>
      <c r="BO314" s="140">
        <f t="shared" ca="1" si="680"/>
        <v>1.2357705672238113</v>
      </c>
      <c r="BP314" s="140">
        <f t="shared" ca="1" si="680"/>
        <v>1.1813547873614509</v>
      </c>
      <c r="BQ314" s="140">
        <f t="shared" ca="1" si="680"/>
        <v>1.1276315726803712</v>
      </c>
      <c r="BR314" s="140">
        <f t="shared" ca="1" si="680"/>
        <v>1.5888378548745945</v>
      </c>
      <c r="BS314" s="140">
        <f t="shared" ca="1" si="680"/>
        <v>1.533990885104122</v>
      </c>
      <c r="BT314" s="140">
        <f t="shared" ca="1" si="680"/>
        <v>1.4794129900615598</v>
      </c>
      <c r="BU314" s="140">
        <f t="shared" ca="1" si="680"/>
        <v>1.4252574980062021</v>
      </c>
      <c r="BV314" s="140">
        <f t="shared" ref="BV314:CB314" ca="1" si="681">+_bsDebt/BV263</f>
        <v>1.3716618911380398</v>
      </c>
      <c r="BW314" s="140">
        <f t="shared" ca="1" si="681"/>
        <v>1.3187480301131218</v>
      </c>
      <c r="BX314" s="140">
        <f t="shared" ca="1" si="681"/>
        <v>1.2580337059123099</v>
      </c>
      <c r="BY314" s="140">
        <f t="shared" ca="1" si="681"/>
        <v>1.1984280680371926</v>
      </c>
      <c r="BZ314" s="140">
        <f t="shared" ca="1" si="681"/>
        <v>1.1400196430373644</v>
      </c>
      <c r="CA314" s="140">
        <f t="shared" ca="1" si="681"/>
        <v>1.0828813319815356</v>
      </c>
      <c r="CB314" s="140">
        <f t="shared" ca="1" si="681"/>
        <v>1.0270714995585184</v>
      </c>
      <c r="CC314" s="140">
        <f t="shared" ref="CC314:DH314" ca="1" si="682">+_bsDebt/CC263</f>
        <v>0.97263511218433141</v>
      </c>
      <c r="CD314" s="140">
        <f t="shared" ca="1" si="682"/>
        <v>1.3457995352600796</v>
      </c>
      <c r="CE314" s="140">
        <f t="shared" ca="1" si="682"/>
        <v>1.289141651439855</v>
      </c>
      <c r="CF314" s="140">
        <f t="shared" ca="1" si="682"/>
        <v>1.2337360346968946</v>
      </c>
      <c r="CG314" s="140">
        <f t="shared" ca="1" si="682"/>
        <v>1.179601163431631</v>
      </c>
      <c r="CH314" s="140">
        <f t="shared" ca="1" si="682"/>
        <v>1.1267491805962986</v>
      </c>
      <c r="CI314" s="140">
        <f t="shared" ca="1" si="682"/>
        <v>1.0751864639704893</v>
      </c>
      <c r="CJ314" s="140">
        <f t="shared" ca="1" si="682"/>
        <v>1.01780983135272</v>
      </c>
      <c r="CK314" s="140">
        <f t="shared" ca="1" si="682"/>
        <v>0.96191639652608396</v>
      </c>
      <c r="CL314" s="140">
        <f t="shared" ca="1" si="682"/>
        <v>0.90750033292100807</v>
      </c>
      <c r="CM314" s="140">
        <f t="shared" ca="1" si="682"/>
        <v>0.85455104956373129</v>
      </c>
      <c r="CN314" s="140">
        <f t="shared" ca="1" si="682"/>
        <v>0.80305373598425145</v>
      </c>
      <c r="CO314" s="140">
        <f t="shared" ca="1" si="682"/>
        <v>0.75298987289356234</v>
      </c>
      <c r="CP314" s="140">
        <f t="shared" ca="1" si="682"/>
        <v>1.0731874444567366</v>
      </c>
      <c r="CQ314" s="140">
        <f t="shared" ca="1" si="682"/>
        <v>1.0375290055026141</v>
      </c>
      <c r="CR314" s="140">
        <f t="shared" ca="1" si="682"/>
        <v>1.002733158261524</v>
      </c>
      <c r="CS314" s="140">
        <f t="shared" ca="1" si="682"/>
        <v>0.96878276342296521</v>
      </c>
      <c r="CT314" s="140">
        <f t="shared" ca="1" si="682"/>
        <v>0.93566034828661182</v>
      </c>
      <c r="CU314" s="140">
        <f t="shared" ca="1" si="682"/>
        <v>0.90334818582120013</v>
      </c>
      <c r="CV314" s="140">
        <f t="shared" ca="1" si="682"/>
        <v>0.86588186584280658</v>
      </c>
      <c r="CW314" s="140">
        <f t="shared" ca="1" si="682"/>
        <v>0.82933407277827897</v>
      </c>
      <c r="CX314" s="140">
        <f t="shared" ca="1" si="682"/>
        <v>0.79368197371197213</v>
      </c>
      <c r="CY314" s="140">
        <f t="shared" ca="1" si="682"/>
        <v>0.75890320204168549</v>
      </c>
      <c r="CZ314" s="140">
        <f t="shared" ca="1" si="682"/>
        <v>0.7249758587368117</v>
      </c>
      <c r="DA314" s="140">
        <f t="shared" ca="1" si="682"/>
        <v>0.69187851241341514</v>
      </c>
      <c r="DB314" s="140">
        <f t="shared" ca="1" si="682"/>
        <v>0.95899943028481893</v>
      </c>
      <c r="DC314" s="140">
        <f t="shared" ca="1" si="682"/>
        <v>0.92463620467859298</v>
      </c>
      <c r="DD314" s="140">
        <f t="shared" ca="1" si="682"/>
        <v>0.89099048239562006</v>
      </c>
      <c r="DE314" s="140">
        <f t="shared" ca="1" si="682"/>
        <v>0.85804873358238243</v>
      </c>
      <c r="DF314" s="140">
        <f t="shared" ca="1" si="682"/>
        <v>0.82579752463954237</v>
      </c>
      <c r="DG314" s="140">
        <f t="shared" ca="1" si="682"/>
        <v>0.79422353041854821</v>
      </c>
      <c r="DH314" s="140">
        <f t="shared" ca="1" si="682"/>
        <v>0.75819526038674967</v>
      </c>
      <c r="DI314" s="140">
        <f t="shared" ref="DI314:DY314" ca="1" si="683">+_bsDebt/DI263</f>
        <v>0.72292350944631845</v>
      </c>
      <c r="DJ314" s="140">
        <f t="shared" ca="1" si="683"/>
        <v>0.68839573256779096</v>
      </c>
      <c r="DK314" s="140">
        <f t="shared" ca="1" si="683"/>
        <v>0.65459932932513443</v>
      </c>
      <c r="DL314" s="140">
        <f t="shared" ca="1" si="683"/>
        <v>0.62152166604203574</v>
      </c>
      <c r="DM314" s="140">
        <f t="shared" ca="1" si="683"/>
        <v>0.5891500963715155</v>
      </c>
      <c r="DN314" s="140">
        <f t="shared" ca="1" si="683"/>
        <v>0.90135470851675259</v>
      </c>
      <c r="DO314" s="140">
        <f t="shared" ca="1" si="683"/>
        <v>0.87322845469991395</v>
      </c>
      <c r="DP314" s="140">
        <f t="shared" ca="1" si="683"/>
        <v>0.84559448504508283</v>
      </c>
      <c r="DQ314" s="140">
        <f t="shared" ca="1" si="683"/>
        <v>0.81844558462556183</v>
      </c>
      <c r="DR314" s="140">
        <f t="shared" ca="1" si="683"/>
        <v>0.79177454803050284</v>
      </c>
      <c r="DS314" s="140">
        <f t="shared" ca="1" si="683"/>
        <v>0.76557418586437409</v>
      </c>
      <c r="DT314" s="140">
        <f t="shared" ca="1" si="683"/>
        <v>0.73398336955104138</v>
      </c>
      <c r="DU314" s="140">
        <f t="shared" ca="1" si="683"/>
        <v>0.70294936923070694</v>
      </c>
      <c r="DV314" s="140">
        <f t="shared" ca="1" si="683"/>
        <v>0.67246609648956923</v>
      </c>
      <c r="DW314" s="140">
        <f t="shared" ca="1" si="683"/>
        <v>0.64252731229891658</v>
      </c>
      <c r="DX314" s="140">
        <f t="shared" ca="1" si="683"/>
        <v>0.61312664216271584</v>
      </c>
      <c r="DY314" s="140">
        <f t="shared" ca="1" si="683"/>
        <v>0.58425759057626914</v>
      </c>
    </row>
    <row r="315" spans="3:129" outlineLevel="1">
      <c r="D315" s="9"/>
      <c r="J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c r="CN315" s="140"/>
      <c r="CO315" s="140"/>
      <c r="CP315" s="140"/>
      <c r="CQ315" s="140"/>
      <c r="CR315" s="140"/>
      <c r="CS315" s="140"/>
      <c r="CT315" s="140"/>
      <c r="CU315" s="140"/>
      <c r="CV315" s="140"/>
      <c r="CW315" s="140"/>
      <c r="CX315" s="140"/>
      <c r="CY315" s="140"/>
      <c r="CZ315" s="140"/>
      <c r="DA315" s="140"/>
      <c r="DB315" s="140"/>
      <c r="DC315" s="140"/>
      <c r="DD315" s="140"/>
      <c r="DE315" s="140"/>
      <c r="DF315" s="140"/>
      <c r="DG315" s="140"/>
      <c r="DH315" s="140"/>
      <c r="DI315" s="140"/>
      <c r="DJ315" s="140"/>
      <c r="DK315" s="140"/>
      <c r="DL315" s="140"/>
      <c r="DM315" s="140"/>
      <c r="DN315" s="140"/>
      <c r="DO315" s="140"/>
      <c r="DP315" s="140"/>
      <c r="DQ315" s="140"/>
      <c r="DR315" s="140"/>
      <c r="DS315" s="140"/>
      <c r="DT315" s="140"/>
      <c r="DU315" s="140"/>
      <c r="DV315" s="140"/>
      <c r="DW315" s="140"/>
      <c r="DX315" s="140"/>
      <c r="DY315" s="140"/>
    </row>
    <row r="316" spans="3:129" outlineLevel="1">
      <c r="C316" s="120" t="s">
        <v>351</v>
      </c>
      <c r="D316" s="207"/>
      <c r="E316" s="120"/>
      <c r="F316" s="120" t="s">
        <v>354</v>
      </c>
      <c r="G316" s="120" t="s">
        <v>358</v>
      </c>
      <c r="H316" s="120"/>
      <c r="I316" s="120"/>
      <c r="J316" s="242"/>
      <c r="K316" s="139"/>
      <c r="L316" s="139"/>
      <c r="M316" s="139"/>
      <c r="N316" s="139"/>
      <c r="O316" s="139"/>
      <c r="P316" s="139"/>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c r="CK316" s="242"/>
      <c r="CL316" s="242"/>
      <c r="CM316" s="242"/>
      <c r="CN316" s="242"/>
      <c r="CO316" s="242"/>
      <c r="CP316" s="242"/>
      <c r="CQ316" s="242"/>
      <c r="CR316" s="242"/>
      <c r="CS316" s="242"/>
      <c r="CT316" s="242"/>
      <c r="CU316" s="242"/>
      <c r="CV316" s="242"/>
      <c r="CW316" s="242"/>
      <c r="CX316" s="242"/>
      <c r="CY316" s="242"/>
      <c r="CZ316" s="242"/>
      <c r="DA316" s="242"/>
      <c r="DB316" s="242"/>
      <c r="DC316" s="242"/>
      <c r="DD316" s="242"/>
      <c r="DE316" s="242"/>
      <c r="DF316" s="242"/>
      <c r="DG316" s="242"/>
      <c r="DH316" s="242"/>
      <c r="DI316" s="242"/>
      <c r="DJ316" s="242"/>
      <c r="DK316" s="242"/>
      <c r="DL316" s="242"/>
      <c r="DM316" s="242"/>
      <c r="DN316" s="242"/>
      <c r="DO316" s="242"/>
      <c r="DP316" s="242"/>
      <c r="DQ316" s="242"/>
      <c r="DR316" s="242"/>
      <c r="DS316" s="242"/>
      <c r="DT316" s="242"/>
      <c r="DU316" s="242"/>
      <c r="DV316" s="242"/>
      <c r="DW316" s="242"/>
      <c r="DX316" s="242"/>
      <c r="DY316" s="242"/>
    </row>
    <row r="317" spans="3:129" outlineLevel="1">
      <c r="D317" s="9" t="s">
        <v>363</v>
      </c>
      <c r="F317" s="5" t="s">
        <v>355</v>
      </c>
      <c r="G317" s="650">
        <v>0.3</v>
      </c>
      <c r="H317" s="5" t="s">
        <v>669</v>
      </c>
      <c r="J317" s="140">
        <f ca="1">J287/J278</f>
        <v>0.47917818388305966</v>
      </c>
      <c r="K317" s="140">
        <f t="shared" ref="K317:BV317" ca="1" si="684">K287/K278</f>
        <v>0.49030926267110975</v>
      </c>
      <c r="L317" s="140">
        <f t="shared" ca="1" si="684"/>
        <v>0.50110861561811937</v>
      </c>
      <c r="M317" s="140">
        <f t="shared" ca="1" si="684"/>
        <v>0.5115811458301015</v>
      </c>
      <c r="N317" s="140">
        <f t="shared" ca="1" si="684"/>
        <v>0.5217323949967122</v>
      </c>
      <c r="O317" s="140">
        <f t="shared" ca="1" si="684"/>
        <v>0.53156842408250926</v>
      </c>
      <c r="P317" s="140">
        <f t="shared" ca="1" si="684"/>
        <v>0.54109570778502947</v>
      </c>
      <c r="Q317" s="140">
        <f t="shared" ca="1" si="684"/>
        <v>0.55032104156883066</v>
      </c>
      <c r="R317" s="140">
        <f t="shared" ca="1" si="684"/>
        <v>0.55925146012676963</v>
      </c>
      <c r="S317" s="140">
        <f t="shared" ca="1" si="684"/>
        <v>0.56789416617482713</v>
      </c>
      <c r="T317" s="140">
        <f t="shared" ca="1" si="684"/>
        <v>0.57625646855034884</v>
      </c>
      <c r="U317" s="140">
        <f t="shared" ca="1" si="684"/>
        <v>0.58434572865210255</v>
      </c>
      <c r="V317" s="140">
        <f t="shared" ca="1" si="684"/>
        <v>0.60297744396323638</v>
      </c>
      <c r="W317" s="140">
        <f t="shared" ca="1" si="684"/>
        <v>0.62164173557123492</v>
      </c>
      <c r="X317" s="140">
        <f t="shared" ca="1" si="684"/>
        <v>0.64030633477981791</v>
      </c>
      <c r="Y317" s="140">
        <f t="shared" ca="1" si="684"/>
        <v>0.65893934805988796</v>
      </c>
      <c r="Z317" s="140">
        <f t="shared" ca="1" si="684"/>
        <v>0.67750942780392254</v>
      </c>
      <c r="AA317" s="140">
        <f t="shared" ca="1" si="684"/>
        <v>0.69598593507052908</v>
      </c>
      <c r="AB317" s="140">
        <f t="shared" ca="1" si="684"/>
        <v>0.73243913995444632</v>
      </c>
      <c r="AC317" s="140">
        <f t="shared" ca="1" si="684"/>
        <v>0.74924342402735489</v>
      </c>
      <c r="AD317" s="140">
        <f t="shared" ca="1" si="684"/>
        <v>0.76585067473596957</v>
      </c>
      <c r="AE317" s="140">
        <f t="shared" ca="1" si="684"/>
        <v>0.78224937793071869</v>
      </c>
      <c r="AF317" s="140">
        <f t="shared" ca="1" si="684"/>
        <v>0.79842874207972592</v>
      </c>
      <c r="AG317" s="140">
        <f t="shared" ca="1" si="684"/>
        <v>0.81437870200995632</v>
      </c>
      <c r="AH317" s="140">
        <f t="shared" ca="1" si="684"/>
        <v>0.53251030710720115</v>
      </c>
      <c r="AI317" s="140">
        <f t="shared" ca="1" si="684"/>
        <v>0.54075134826866911</v>
      </c>
      <c r="AJ317" s="140">
        <f t="shared" ca="1" si="684"/>
        <v>0.54911955860301709</v>
      </c>
      <c r="AK317" s="140">
        <f t="shared" ca="1" si="684"/>
        <v>0.55760583759533289</v>
      </c>
      <c r="AL317" s="140">
        <f t="shared" ca="1" si="684"/>
        <v>0.56620077289523563</v>
      </c>
      <c r="AM317" s="140">
        <f t="shared" ca="1" si="684"/>
        <v>0.57487321860385632</v>
      </c>
      <c r="AN317" s="140">
        <f t="shared" ca="1" si="684"/>
        <v>0.58780889667132075</v>
      </c>
      <c r="AO317" s="140">
        <f t="shared" ca="1" si="684"/>
        <v>0.60094901429504999</v>
      </c>
      <c r="AP317" s="140">
        <f t="shared" ca="1" si="684"/>
        <v>0.61427920075890285</v>
      </c>
      <c r="AQ317" s="140">
        <f t="shared" ca="1" si="684"/>
        <v>0.62778421083521851</v>
      </c>
      <c r="AR317" s="140">
        <f t="shared" ca="1" si="684"/>
        <v>0.6414479714865019</v>
      </c>
      <c r="AS317" s="140">
        <f t="shared" ca="1" si="684"/>
        <v>0.6552536360209279</v>
      </c>
      <c r="AT317" s="140">
        <f t="shared" ca="1" si="684"/>
        <v>0.66567858445215977</v>
      </c>
      <c r="AU317" s="140">
        <f t="shared" ca="1" si="684"/>
        <v>0.67605269816263247</v>
      </c>
      <c r="AV317" s="140">
        <f t="shared" ca="1" si="684"/>
        <v>0.68636544205859773</v>
      </c>
      <c r="AW317" s="140">
        <f t="shared" ca="1" si="684"/>
        <v>0.69660658703610367</v>
      </c>
      <c r="AX317" s="140">
        <f t="shared" ca="1" si="684"/>
        <v>0.7067662411092841</v>
      </c>
      <c r="AY317" s="140">
        <f t="shared" ca="1" si="684"/>
        <v>0.71683487789174316</v>
      </c>
      <c r="AZ317" s="140">
        <f t="shared" ca="1" si="684"/>
        <v>0.72680336229709108</v>
      </c>
      <c r="BA317" s="140">
        <f t="shared" ca="1" si="684"/>
        <v>0.73666297335767028</v>
      </c>
      <c r="BB317" s="140">
        <f t="shared" ca="1" si="684"/>
        <v>0.74640542409336252</v>
      </c>
      <c r="BC317" s="140">
        <f t="shared" ca="1" si="684"/>
        <v>0.7560228783946048</v>
      </c>
      <c r="BD317" s="140">
        <f t="shared" ca="1" si="684"/>
        <v>0.76550796491484985</v>
      </c>
      <c r="BE317" s="140">
        <f t="shared" ca="1" si="684"/>
        <v>0.77485378799728344</v>
      </c>
      <c r="BF317" s="140">
        <f t="shared" ca="1" si="684"/>
        <v>0.6780252499791154</v>
      </c>
      <c r="BG317" s="140">
        <f t="shared" ca="1" si="684"/>
        <v>0.68703605107504384</v>
      </c>
      <c r="BH317" s="140">
        <f t="shared" ca="1" si="684"/>
        <v>0.69597233389590141</v>
      </c>
      <c r="BI317" s="140">
        <f t="shared" ca="1" si="684"/>
        <v>0.70482718090056884</v>
      </c>
      <c r="BJ317" s="140">
        <f t="shared" ca="1" si="684"/>
        <v>0.7135939834729238</v>
      </c>
      <c r="BK317" s="140">
        <f t="shared" ca="1" si="684"/>
        <v>0.72226645377320919</v>
      </c>
      <c r="BL317" s="140">
        <f t="shared" ca="1" si="684"/>
        <v>0.73253174215411476</v>
      </c>
      <c r="BM317" s="140">
        <f t="shared" ca="1" si="684"/>
        <v>0.74269317649771649</v>
      </c>
      <c r="BN317" s="140">
        <f t="shared" ca="1" si="684"/>
        <v>0.75274188855250179</v>
      </c>
      <c r="BO317" s="140">
        <f t="shared" ca="1" si="684"/>
        <v>0.76266943388478148</v>
      </c>
      <c r="BP317" s="140">
        <f t="shared" ca="1" si="684"/>
        <v>0.77246781028990397</v>
      </c>
      <c r="BQ317" s="140">
        <f t="shared" ca="1" si="684"/>
        <v>0.78212947329625881</v>
      </c>
      <c r="BR317" s="140">
        <f t="shared" ca="1" si="684"/>
        <v>0.72123197886403445</v>
      </c>
      <c r="BS317" s="140">
        <f t="shared" ca="1" si="684"/>
        <v>0.73002499241191288</v>
      </c>
      <c r="BT317" s="140">
        <f t="shared" ca="1" si="684"/>
        <v>0.73854993706957095</v>
      </c>
      <c r="BU317" s="140">
        <f t="shared" ca="1" si="684"/>
        <v>0.74682960838901313</v>
      </c>
      <c r="BV317" s="140">
        <f t="shared" ca="1" si="684"/>
        <v>0.75488470900867177</v>
      </c>
      <c r="BW317" s="140">
        <f t="shared" ref="BW317:DY317" ca="1" si="685">BW287/BW278</f>
        <v>0.76273405880586742</v>
      </c>
      <c r="BX317" s="140">
        <f t="shared" ca="1" si="685"/>
        <v>0.7715903518258127</v>
      </c>
      <c r="BY317" s="140">
        <f t="shared" ca="1" si="685"/>
        <v>0.78028299700628578</v>
      </c>
      <c r="BZ317" s="140">
        <f t="shared" ca="1" si="685"/>
        <v>0.78882576837333196</v>
      </c>
      <c r="CA317" s="140">
        <f t="shared" ca="1" si="685"/>
        <v>0.79723113695036663</v>
      </c>
      <c r="CB317" s="140">
        <f t="shared" ca="1" si="685"/>
        <v>0.80551036007393273</v>
      </c>
      <c r="CC317" s="140">
        <f t="shared" ca="1" si="685"/>
        <v>0.81367355893026316</v>
      </c>
      <c r="CD317" s="140">
        <f t="shared" ca="1" si="685"/>
        <v>0.76001633305561656</v>
      </c>
      <c r="CE317" s="140">
        <f t="shared" ca="1" si="685"/>
        <v>0.76760280856612517</v>
      </c>
      <c r="CF317" s="140">
        <f t="shared" ca="1" si="685"/>
        <v>0.7751016950010724</v>
      </c>
      <c r="CG317" s="140">
        <f t="shared" ca="1" si="685"/>
        <v>0.7825181216927396</v>
      </c>
      <c r="CH317" s="140">
        <f t="shared" ca="1" si="685"/>
        <v>0.78985681476850178</v>
      </c>
      <c r="CI317" s="140">
        <f t="shared" ca="1" si="685"/>
        <v>0.79712211471248029</v>
      </c>
      <c r="CJ317" s="140">
        <f t="shared" ca="1" si="685"/>
        <v>0.8054062260024083</v>
      </c>
      <c r="CK317" s="140">
        <f t="shared" ca="1" si="685"/>
        <v>0.81363874961481308</v>
      </c>
      <c r="CL317" s="140">
        <f t="shared" ca="1" si="685"/>
        <v>0.82182248592818141</v>
      </c>
      <c r="CM317" s="140">
        <f t="shared" ca="1" si="685"/>
        <v>0.82995988387010067</v>
      </c>
      <c r="CN317" s="140">
        <f t="shared" ca="1" si="685"/>
        <v>0.83805304772925027</v>
      </c>
      <c r="CO317" s="140">
        <f t="shared" ca="1" si="685"/>
        <v>0.84610374330685201</v>
      </c>
      <c r="CP317" s="140">
        <f t="shared" ca="1" si="685"/>
        <v>0.79423300624008686</v>
      </c>
      <c r="CQ317" s="140">
        <f t="shared" ca="1" si="685"/>
        <v>0.79926963542288321</v>
      </c>
      <c r="CR317" s="140">
        <f t="shared" ca="1" si="685"/>
        <v>0.80425330615318014</v>
      </c>
      <c r="CS317" s="140">
        <f t="shared" ca="1" si="685"/>
        <v>0.80918557619134102</v>
      </c>
      <c r="CT317" s="140">
        <f t="shared" ca="1" si="685"/>
        <v>0.81406790083006642</v>
      </c>
      <c r="CU317" s="140">
        <f t="shared" ca="1" si="685"/>
        <v>0.81890163679377426</v>
      </c>
      <c r="CV317" s="140">
        <f t="shared" ca="1" si="685"/>
        <v>0.82467544164679785</v>
      </c>
      <c r="CW317" s="140">
        <f t="shared" ca="1" si="685"/>
        <v>0.83040481070586381</v>
      </c>
      <c r="CX317" s="140">
        <f t="shared" ca="1" si="685"/>
        <v>0.83609016998995633</v>
      </c>
      <c r="CY317" s="140">
        <f t="shared" ca="1" si="685"/>
        <v>0.84173192798699492</v>
      </c>
      <c r="CZ317" s="140">
        <f t="shared" ca="1" si="685"/>
        <v>0.84733047615611223</v>
      </c>
      <c r="DA317" s="140">
        <f t="shared" ca="1" si="685"/>
        <v>0.85288618941326988</v>
      </c>
      <c r="DB317" s="140">
        <f t="shared" ca="1" si="685"/>
        <v>0.80714352733826566</v>
      </c>
      <c r="DC317" s="140">
        <f t="shared" ca="1" si="685"/>
        <v>0.81243486235815687</v>
      </c>
      <c r="DD317" s="140">
        <f t="shared" ca="1" si="685"/>
        <v>0.81769206406395356</v>
      </c>
      <c r="DE317" s="140">
        <f t="shared" ca="1" si="685"/>
        <v>0.8229153405004852</v>
      </c>
      <c r="DF317" s="140">
        <f t="shared" ca="1" si="685"/>
        <v>0.8281048894170554</v>
      </c>
      <c r="DG317" s="140">
        <f t="shared" ca="1" si="685"/>
        <v>0.83326089852739793</v>
      </c>
      <c r="DH317" s="140">
        <f t="shared" ca="1" si="685"/>
        <v>0.83929051318577119</v>
      </c>
      <c r="DI317" s="140">
        <f t="shared" ca="1" si="685"/>
        <v>0.845294208920912</v>
      </c>
      <c r="DJ317" s="140">
        <f t="shared" ca="1" si="685"/>
        <v>0.85127183754863212</v>
      </c>
      <c r="DK317" s="140">
        <f t="shared" ca="1" si="685"/>
        <v>0.8572232435194419</v>
      </c>
      <c r="DL317" s="140">
        <f t="shared" ca="1" si="685"/>
        <v>0.86314826408392198</v>
      </c>
      <c r="DM317" s="140">
        <f t="shared" ca="1" si="685"/>
        <v>0.86904672945648775</v>
      </c>
      <c r="DN317" s="140">
        <f t="shared" ca="1" si="685"/>
        <v>0.81289376822804604</v>
      </c>
      <c r="DO317" s="140">
        <f t="shared" ca="1" si="685"/>
        <v>0.8174473408452344</v>
      </c>
      <c r="DP317" s="140">
        <f t="shared" ca="1" si="685"/>
        <v>0.82197473135752208</v>
      </c>
      <c r="DQ317" s="140">
        <f t="shared" ca="1" si="685"/>
        <v>0.82647599364073643</v>
      </c>
      <c r="DR317" s="140">
        <f t="shared" ca="1" si="685"/>
        <v>0.83095117987290656</v>
      </c>
      <c r="DS317" s="140">
        <f t="shared" ca="1" si="685"/>
        <v>0.83540034058514601</v>
      </c>
      <c r="DT317" s="140">
        <f t="shared" ca="1" si="685"/>
        <v>0.84088636849315745</v>
      </c>
      <c r="DU317" s="140">
        <f t="shared" ca="1" si="685"/>
        <v>0.84635416775870553</v>
      </c>
      <c r="DV317" s="140">
        <f t="shared" ca="1" si="685"/>
        <v>0.85180347718093907</v>
      </c>
      <c r="DW317" s="140">
        <f t="shared" ca="1" si="685"/>
        <v>0.85723403568984824</v>
      </c>
      <c r="DX317" s="140">
        <f t="shared" ca="1" si="685"/>
        <v>0.86264558240998801</v>
      </c>
      <c r="DY317" s="140">
        <f t="shared" ca="1" si="685"/>
        <v>0.86803785672302247</v>
      </c>
    </row>
    <row r="318" spans="3:129" outlineLevel="1">
      <c r="D318" s="9" t="s">
        <v>352</v>
      </c>
      <c r="G318" s="650">
        <v>2</v>
      </c>
      <c r="H318" s="5" t="s">
        <v>670</v>
      </c>
      <c r="J318" s="140">
        <f ca="1">J282/J287</f>
        <v>1.086906361004206</v>
      </c>
      <c r="K318" s="140">
        <f t="shared" ref="K318:BV318" ca="1" si="686">K282/K287</f>
        <v>1.0395290812011069</v>
      </c>
      <c r="L318" s="140">
        <f t="shared" ca="1" si="686"/>
        <v>0.99557534800413783</v>
      </c>
      <c r="M318" s="140">
        <f t="shared" ca="1" si="686"/>
        <v>0.95472411004784152</v>
      </c>
      <c r="N318" s="140">
        <f t="shared" ca="1" si="686"/>
        <v>0.91669141036623214</v>
      </c>
      <c r="O318" s="140">
        <f t="shared" ca="1" si="686"/>
        <v>0.88122536007665841</v>
      </c>
      <c r="P318" s="140">
        <f t="shared" ca="1" si="686"/>
        <v>0.84810188957789301</v>
      </c>
      <c r="Q318" s="140">
        <f t="shared" ca="1" si="686"/>
        <v>0.81712114286825177</v>
      </c>
      <c r="R318" s="140">
        <f t="shared" ca="1" si="686"/>
        <v>0.78810440615268706</v>
      </c>
      <c r="S318" s="140">
        <f t="shared" ca="1" si="686"/>
        <v>0.7608914821853423</v>
      </c>
      <c r="T318" s="140">
        <f t="shared" ca="1" si="686"/>
        <v>0.73533843796258891</v>
      </c>
      <c r="U318" s="140">
        <f t="shared" ca="1" si="686"/>
        <v>0.71131566633793752</v>
      </c>
      <c r="V318" s="140">
        <f t="shared" ca="1" si="686"/>
        <v>0.65843682879283683</v>
      </c>
      <c r="W318" s="140">
        <f t="shared" ca="1" si="686"/>
        <v>0.60864360093372227</v>
      </c>
      <c r="X318" s="140">
        <f t="shared" ca="1" si="686"/>
        <v>0.56175247015769436</v>
      </c>
      <c r="Y318" s="140">
        <f t="shared" ca="1" si="686"/>
        <v>0.51759035629651728</v>
      </c>
      <c r="Z318" s="140">
        <f t="shared" ca="1" si="686"/>
        <v>0.47599422083527004</v>
      </c>
      <c r="AA318" s="140">
        <f t="shared" ca="1" si="686"/>
        <v>0.4368106445982467</v>
      </c>
      <c r="AB318" s="140">
        <f t="shared" ca="1" si="686"/>
        <v>0.3653011498842002</v>
      </c>
      <c r="AC318" s="140">
        <f t="shared" ca="1" si="686"/>
        <v>0.33467971547187086</v>
      </c>
      <c r="AD318" s="140">
        <f t="shared" ca="1" si="686"/>
        <v>0.30573757128927864</v>
      </c>
      <c r="AE318" s="140">
        <f t="shared" ca="1" si="686"/>
        <v>0.27836471106604938</v>
      </c>
      <c r="AF318" s="140">
        <f t="shared" ca="1" si="686"/>
        <v>0.25245992196526756</v>
      </c>
      <c r="AG318" s="140">
        <f t="shared" ca="1" si="686"/>
        <v>0.22792995142421427</v>
      </c>
      <c r="AH318" s="140">
        <f t="shared" ca="1" si="686"/>
        <v>0.87789792357706853</v>
      </c>
      <c r="AI318" s="140">
        <f t="shared" ca="1" si="686"/>
        <v>0.84927879181755794</v>
      </c>
      <c r="AJ318" s="140">
        <f t="shared" ca="1" si="686"/>
        <v>0.82109703494088093</v>
      </c>
      <c r="AK318" s="140">
        <f t="shared" ca="1" si="686"/>
        <v>0.79338151177269822</v>
      </c>
      <c r="AL318" s="140">
        <f t="shared" ca="1" si="686"/>
        <v>0.76615795645519225</v>
      </c>
      <c r="AM318" s="140">
        <f t="shared" ca="1" si="686"/>
        <v>0.73951397914936978</v>
      </c>
      <c r="AN318" s="140">
        <f t="shared" ca="1" si="686"/>
        <v>0.7012331825238769</v>
      </c>
      <c r="AO318" s="140">
        <f t="shared" ca="1" si="686"/>
        <v>0.66403467883720746</v>
      </c>
      <c r="AP318" s="140">
        <f t="shared" ca="1" si="686"/>
        <v>0.62792423830167665</v>
      </c>
      <c r="AQ318" s="140">
        <f t="shared" ca="1" si="686"/>
        <v>0.59290403094014876</v>
      </c>
      <c r="AR318" s="140">
        <f t="shared" ca="1" si="686"/>
        <v>0.55897289328483402</v>
      </c>
      <c r="AS318" s="140">
        <f t="shared" ca="1" si="686"/>
        <v>0.52612659438651477</v>
      </c>
      <c r="AT318" s="140">
        <f t="shared" ca="1" si="686"/>
        <v>0.50222648490784749</v>
      </c>
      <c r="AU318" s="140">
        <f t="shared" ca="1" si="686"/>
        <v>0.47917463049520703</v>
      </c>
      <c r="AV318" s="140">
        <f t="shared" ca="1" si="686"/>
        <v>0.45694980942036667</v>
      </c>
      <c r="AW318" s="140">
        <f t="shared" ca="1" si="686"/>
        <v>0.43553049685442047</v>
      </c>
      <c r="AX318" s="140">
        <f t="shared" ca="1" si="686"/>
        <v>0.41489497069141207</v>
      </c>
      <c r="AY318" s="140">
        <f t="shared" ca="1" si="686"/>
        <v>0.39502140707921951</v>
      </c>
      <c r="AZ318" s="140">
        <f t="shared" ca="1" si="686"/>
        <v>0.37588796622990278</v>
      </c>
      <c r="BA318" s="140">
        <f t="shared" ca="1" si="686"/>
        <v>0.35747286909514897</v>
      </c>
      <c r="BB318" s="140">
        <f t="shared" ca="1" si="686"/>
        <v>0.33975446549664567</v>
      </c>
      <c r="BC318" s="140">
        <f t="shared" ca="1" si="686"/>
        <v>0.32271129429769946</v>
      </c>
      <c r="BD318" s="140">
        <f t="shared" ca="1" si="686"/>
        <v>0.30632213619257831</v>
      </c>
      <c r="BE318" s="140">
        <f t="shared" ca="1" si="686"/>
        <v>0.29056605967512639</v>
      </c>
      <c r="BF318" s="140">
        <f t="shared" ca="1" si="686"/>
        <v>0.47487132674012039</v>
      </c>
      <c r="BG318" s="140">
        <f t="shared" ca="1" si="686"/>
        <v>0.4555276952865045</v>
      </c>
      <c r="BH318" s="140">
        <f t="shared" ca="1" si="686"/>
        <v>0.43683872374957461</v>
      </c>
      <c r="BI318" s="140">
        <f t="shared" ca="1" si="686"/>
        <v>0.41878750862343866</v>
      </c>
      <c r="BJ318" s="140">
        <f t="shared" ca="1" si="686"/>
        <v>0.40135710664654628</v>
      </c>
      <c r="BK318" s="140">
        <f t="shared" ca="1" si="686"/>
        <v>0.38453059085864549</v>
      </c>
      <c r="BL318" s="140">
        <f t="shared" ca="1" si="686"/>
        <v>0.36512855683134809</v>
      </c>
      <c r="BM318" s="140">
        <f t="shared" ca="1" si="686"/>
        <v>0.34645104013968908</v>
      </c>
      <c r="BN318" s="140">
        <f t="shared" ca="1" si="686"/>
        <v>0.32847662021701424</v>
      </c>
      <c r="BO318" s="140">
        <f t="shared" ca="1" si="686"/>
        <v>0.31118405376014124</v>
      </c>
      <c r="BP318" s="140">
        <f t="shared" ca="1" si="686"/>
        <v>0.29455232526091152</v>
      </c>
      <c r="BQ318" s="140">
        <f t="shared" ca="1" si="686"/>
        <v>0.27856069121846655</v>
      </c>
      <c r="BR318" s="140">
        <f t="shared" ca="1" si="686"/>
        <v>0.38651644589447481</v>
      </c>
      <c r="BS318" s="140">
        <f t="shared" ca="1" si="686"/>
        <v>0.36981611642653883</v>
      </c>
      <c r="BT318" s="140">
        <f t="shared" ca="1" si="686"/>
        <v>0.35400458358687903</v>
      </c>
      <c r="BU318" s="140">
        <f t="shared" ca="1" si="686"/>
        <v>0.33899351172900172</v>
      </c>
      <c r="BV318" s="140">
        <f t="shared" ca="1" si="686"/>
        <v>0.3247055981743463</v>
      </c>
      <c r="BW318" s="140">
        <f t="shared" ref="BW318:DY318" ca="1" si="687">BW282/BW287</f>
        <v>0.3110729597752524</v>
      </c>
      <c r="BX318" s="140">
        <f t="shared" ca="1" si="687"/>
        <v>0.29602450009088643</v>
      </c>
      <c r="BY318" s="140">
        <f t="shared" ca="1" si="687"/>
        <v>0.28158630117111755</v>
      </c>
      <c r="BZ318" s="140">
        <f t="shared" ca="1" si="687"/>
        <v>0.26770706548055417</v>
      </c>
      <c r="CA318" s="140">
        <f t="shared" ca="1" si="687"/>
        <v>0.25434137435384307</v>
      </c>
      <c r="CB318" s="140">
        <f t="shared" ca="1" si="687"/>
        <v>0.2414489615108317</v>
      </c>
      <c r="CC318" s="140">
        <f t="shared" ca="1" si="687"/>
        <v>0.22899409600417658</v>
      </c>
      <c r="CD318" s="140">
        <f t="shared" ca="1" si="687"/>
        <v>0.31576119684104459</v>
      </c>
      <c r="CE318" s="140">
        <f t="shared" ca="1" si="687"/>
        <v>0.30275708848433008</v>
      </c>
      <c r="CF318" s="140">
        <f t="shared" ca="1" si="687"/>
        <v>0.29015328756133918</v>
      </c>
      <c r="CG318" s="140">
        <f t="shared" ca="1" si="687"/>
        <v>0.27792567645181776</v>
      </c>
      <c r="CH318" s="140">
        <f t="shared" ca="1" si="687"/>
        <v>0.26605225314551312</v>
      </c>
      <c r="CI318" s="140">
        <f t="shared" ca="1" si="687"/>
        <v>0.25451293038168582</v>
      </c>
      <c r="CJ318" s="140">
        <f t="shared" ca="1" si="687"/>
        <v>0.24160947322625967</v>
      </c>
      <c r="CK318" s="140">
        <f t="shared" ca="1" si="687"/>
        <v>0.22904667516562233</v>
      </c>
      <c r="CL318" s="140">
        <f t="shared" ca="1" si="687"/>
        <v>0.21680778650219315</v>
      </c>
      <c r="CM318" s="140">
        <f t="shared" ca="1" si="687"/>
        <v>0.20487751207564731</v>
      </c>
      <c r="CN318" s="140">
        <f t="shared" ca="1" si="687"/>
        <v>0.19324188690626856</v>
      </c>
      <c r="CO318" s="140">
        <f t="shared" ca="1" si="687"/>
        <v>0.18188816431856278</v>
      </c>
      <c r="CP318" s="140">
        <f t="shared" ca="1" si="687"/>
        <v>0.25907635686663</v>
      </c>
      <c r="CQ318" s="140">
        <f t="shared" ca="1" si="687"/>
        <v>0.25114223746397296</v>
      </c>
      <c r="CR318" s="140">
        <f t="shared" ca="1" si="687"/>
        <v>0.24338935550429364</v>
      </c>
      <c r="CS318" s="140">
        <f t="shared" ca="1" si="687"/>
        <v>0.23581046106479128</v>
      </c>
      <c r="CT318" s="140">
        <f t="shared" ca="1" si="687"/>
        <v>0.22839876007928478</v>
      </c>
      <c r="CU318" s="140">
        <f t="shared" ca="1" si="687"/>
        <v>0.22114788280955913</v>
      </c>
      <c r="CV318" s="140">
        <f t="shared" ca="1" si="687"/>
        <v>0.21259825320261216</v>
      </c>
      <c r="CW318" s="140">
        <f t="shared" ca="1" si="687"/>
        <v>0.20423194459817276</v>
      </c>
      <c r="CX318" s="140">
        <f t="shared" ca="1" si="687"/>
        <v>0.1960432449672414</v>
      </c>
      <c r="CY318" s="140">
        <f t="shared" ca="1" si="687"/>
        <v>0.1880266944269342</v>
      </c>
      <c r="CZ318" s="140">
        <f t="shared" ca="1" si="687"/>
        <v>0.18017707156771695</v>
      </c>
      <c r="DA318" s="140">
        <f t="shared" ca="1" si="687"/>
        <v>0.17248938066160374</v>
      </c>
      <c r="DB318" s="140">
        <f t="shared" ca="1" si="687"/>
        <v>0.23893702437002878</v>
      </c>
      <c r="DC318" s="140">
        <f t="shared" ca="1" si="687"/>
        <v>0.23086790871753099</v>
      </c>
      <c r="DD318" s="140">
        <f t="shared" ca="1" si="687"/>
        <v>0.22295426841978921</v>
      </c>
      <c r="DE318" s="140">
        <f t="shared" ca="1" si="687"/>
        <v>0.2151918317524793</v>
      </c>
      <c r="DF318" s="140">
        <f t="shared" ca="1" si="687"/>
        <v>0.20757649517556906</v>
      </c>
      <c r="DG318" s="140">
        <f t="shared" ca="1" si="687"/>
        <v>0.20010431518780725</v>
      </c>
      <c r="DH318" s="140">
        <f t="shared" ca="1" si="687"/>
        <v>0.19148254899749678</v>
      </c>
      <c r="DI318" s="140">
        <f t="shared" ca="1" si="687"/>
        <v>0.18302005319140061</v>
      </c>
      <c r="DJ318" s="140">
        <f t="shared" ca="1" si="687"/>
        <v>0.1747128894568547</v>
      </c>
      <c r="DK318" s="140">
        <f t="shared" ca="1" si="687"/>
        <v>0.1665572621367212</v>
      </c>
      <c r="DL318" s="140">
        <f t="shared" ca="1" si="687"/>
        <v>0.15854951184003305</v>
      </c>
      <c r="DM318" s="140">
        <f t="shared" ca="1" si="687"/>
        <v>0.15068610939415414</v>
      </c>
      <c r="DN318" s="140">
        <f t="shared" ca="1" si="687"/>
        <v>0.23017304238881028</v>
      </c>
      <c r="DO318" s="140">
        <f t="shared" ca="1" si="687"/>
        <v>0.2233203902357884</v>
      </c>
      <c r="DP318" s="140">
        <f t="shared" ca="1" si="687"/>
        <v>0.21658241044522367</v>
      </c>
      <c r="DQ318" s="140">
        <f t="shared" ca="1" si="687"/>
        <v>0.20995649927454871</v>
      </c>
      <c r="DR318" s="140">
        <f t="shared" ca="1" si="687"/>
        <v>0.20344013489811616</v>
      </c>
      <c r="DS318" s="140">
        <f t="shared" ca="1" si="687"/>
        <v>0.19703087420285412</v>
      </c>
      <c r="DT318" s="140">
        <f t="shared" ca="1" si="687"/>
        <v>0.1892213234375158</v>
      </c>
      <c r="DU318" s="140">
        <f t="shared" ca="1" si="687"/>
        <v>0.18153846001393834</v>
      </c>
      <c r="DV318" s="140">
        <f t="shared" ca="1" si="687"/>
        <v>0.17397971103560153</v>
      </c>
      <c r="DW318" s="140">
        <f t="shared" ca="1" si="687"/>
        <v>0.16654257573343079</v>
      </c>
      <c r="DX318" s="140">
        <f t="shared" ca="1" si="687"/>
        <v>0.1592246229399121</v>
      </c>
      <c r="DY318" s="140">
        <f t="shared" ca="1" si="687"/>
        <v>0.15202348867036078</v>
      </c>
    </row>
    <row r="319" spans="3:129" outlineLevel="1">
      <c r="D319" s="9" t="s">
        <v>353</v>
      </c>
      <c r="F319" s="5" t="s">
        <v>356</v>
      </c>
      <c r="G319" s="662">
        <v>1</v>
      </c>
      <c r="H319" s="5" t="s">
        <v>669</v>
      </c>
      <c r="J319" s="140">
        <f ca="1">IF(M4=0,I319,J241/(-(K238+K234+L238+L234+M238+M234)))</f>
        <v>56.344406157503414</v>
      </c>
      <c r="K319" s="140">
        <f t="shared" ref="K319:AO319" ca="1" si="688">IF(N4=0,J319,K241/(-(L238+L234+M238+M234+N238+N234)))</f>
        <v>54.076822987547956</v>
      </c>
      <c r="L319" s="140">
        <f t="shared" ca="1" si="688"/>
        <v>51.843590726334526</v>
      </c>
      <c r="M319" s="140">
        <f t="shared" ca="1" si="688"/>
        <v>49.647449568727268</v>
      </c>
      <c r="N319" s="140">
        <f t="shared" ca="1" si="688"/>
        <v>47.491173981720763</v>
      </c>
      <c r="O319" s="140">
        <f t="shared" ca="1" si="688"/>
        <v>45.377573595200268</v>
      </c>
      <c r="P319" s="140">
        <f t="shared" ca="1" si="688"/>
        <v>43.309494108463973</v>
      </c>
      <c r="Q319" s="140">
        <f t="shared" ca="1" si="688"/>
        <v>41.28981821284318</v>
      </c>
      <c r="R319" s="140">
        <f t="shared" ca="1" si="688"/>
        <v>39.321466530762443</v>
      </c>
      <c r="S319" s="140">
        <f t="shared" ca="1" si="688"/>
        <v>16.115230764164544</v>
      </c>
      <c r="T319" s="140">
        <f t="shared" ca="1" si="688"/>
        <v>9.7904302059281587</v>
      </c>
      <c r="U319" s="140">
        <f t="shared" ca="1" si="688"/>
        <v>6.8461509964785385</v>
      </c>
      <c r="V319" s="140">
        <f t="shared" ca="1" si="688"/>
        <v>6.2716871759944919</v>
      </c>
      <c r="W319" s="140">
        <f t="shared" ca="1" si="688"/>
        <v>5.6975323995854339</v>
      </c>
      <c r="X319" s="140">
        <f t="shared" ca="1" si="688"/>
        <v>5.1239355919364042</v>
      </c>
      <c r="Y319" s="140">
        <f t="shared" ca="1" si="688"/>
        <v>4.5511583354472682</v>
      </c>
      <c r="Z319" s="140">
        <f t="shared" ca="1" si="688"/>
        <v>3.9794755189160962</v>
      </c>
      <c r="AA319" s="140">
        <f t="shared" ca="1" si="688"/>
        <v>3.4091760226661609</v>
      </c>
      <c r="AB319" s="140">
        <f t="shared" ca="1" si="688"/>
        <v>4.0830872039196127</v>
      </c>
      <c r="AC319" s="140">
        <f t="shared" ca="1" si="688"/>
        <v>3.520125956024077</v>
      </c>
      <c r="AD319" s="140">
        <f t="shared" ca="1" si="688"/>
        <v>2.9546902367136472</v>
      </c>
      <c r="AE319" s="140">
        <f t="shared" ca="1" si="688"/>
        <v>1.5813482421771514</v>
      </c>
      <c r="AF319" s="140">
        <f t="shared" ca="1" si="688"/>
        <v>1.084685371407633</v>
      </c>
      <c r="AG319" s="140">
        <f t="shared" ca="1" si="688"/>
        <v>0.67005331704993154</v>
      </c>
      <c r="AH319" s="140">
        <f t="shared" ca="1" si="688"/>
        <v>17.6696242787398</v>
      </c>
      <c r="AI319" s="140">
        <f t="shared" ca="1" si="688"/>
        <v>17.297928930643913</v>
      </c>
      <c r="AJ319" s="140">
        <f t="shared" ca="1" si="688"/>
        <v>16.927368209007966</v>
      </c>
      <c r="AK319" s="140">
        <f t="shared" ca="1" si="688"/>
        <v>13.40360633616835</v>
      </c>
      <c r="AL319" s="140">
        <f t="shared" ca="1" si="688"/>
        <v>10.998783839159362</v>
      </c>
      <c r="AM319" s="140">
        <f t="shared" ca="1" si="688"/>
        <v>9.2526838983493302</v>
      </c>
      <c r="AN319" s="140">
        <f t="shared" ca="1" si="688"/>
        <v>8.8988434067097462</v>
      </c>
      <c r="AO319" s="140">
        <f t="shared" ca="1" si="688"/>
        <v>8.5409206360246053</v>
      </c>
      <c r="AP319" s="140">
        <f t="shared" ref="AP319:BU319" ca="1" si="689">IF(AS4=0,AO319,AP241/(-(AQ238+AQ234+AR238+AR234+AS238+AS234)))</f>
        <v>8.1788194135099364</v>
      </c>
      <c r="AQ319" s="140">
        <f t="shared" ca="1" si="689"/>
        <v>8.9702649595683486</v>
      </c>
      <c r="AR319" s="140">
        <f t="shared" ca="1" si="689"/>
        <v>10.039792140920484</v>
      </c>
      <c r="AS319" s="140">
        <f ca="1">IF(AV4=0,AR319,AS241/(-(AT238+AT234+AU238+AU234+AV238+AV234)))</f>
        <v>11.567978759599892</v>
      </c>
      <c r="AT319" s="140">
        <f t="shared" ca="1" si="689"/>
        <v>11.168702346513532</v>
      </c>
      <c r="AU319" s="140">
        <f t="shared" ca="1" si="689"/>
        <v>10.765808835813861</v>
      </c>
      <c r="AV319" s="140">
        <f t="shared" ca="1" si="689"/>
        <v>10.359234523205092</v>
      </c>
      <c r="AW319" s="140">
        <f t="shared" ca="1" si="689"/>
        <v>9.9489142135745467</v>
      </c>
      <c r="AX319" s="140">
        <f t="shared" ca="1" si="689"/>
        <v>9.5347811753184928</v>
      </c>
      <c r="AY319" s="140">
        <f t="shared" ca="1" si="689"/>
        <v>9.1167670929912425</v>
      </c>
      <c r="AZ319" s="140">
        <f t="shared" ca="1" si="689"/>
        <v>8.6948020182039585</v>
      </c>
      <c r="BA319" s="140">
        <f t="shared" ca="1" si="689"/>
        <v>8.2688143186959184</v>
      </c>
      <c r="BB319" s="140">
        <f t="shared" ca="1" si="689"/>
        <v>7.8387306254970195</v>
      </c>
      <c r="BC319" s="140">
        <f t="shared" ca="1" si="689"/>
        <v>6.2306718429045462</v>
      </c>
      <c r="BD319" s="140">
        <f t="shared" ca="1" si="689"/>
        <v>5.5931150826557499</v>
      </c>
      <c r="BE319" s="140">
        <f t="shared" ca="1" si="689"/>
        <v>5.005144514141648</v>
      </c>
      <c r="BF319" s="140">
        <f t="shared" ca="1" si="689"/>
        <v>10.889950269412148</v>
      </c>
      <c r="BG319" s="140">
        <f t="shared" ca="1" si="689"/>
        <v>10.501094606407838</v>
      </c>
      <c r="BH319" s="140">
        <f t="shared" ca="1" si="689"/>
        <v>10.108776841671812</v>
      </c>
      <c r="BI319" s="140">
        <f t="shared" ca="1" si="689"/>
        <v>8.7643599060137749</v>
      </c>
      <c r="BJ319" s="140">
        <f t="shared" ca="1" si="689"/>
        <v>7.6541944098479835</v>
      </c>
      <c r="BK319" s="140">
        <f t="shared" ca="1" si="689"/>
        <v>6.7214683665160537</v>
      </c>
      <c r="BL319" s="140">
        <f t="shared" ca="1" si="689"/>
        <v>6.3355342314944396</v>
      </c>
      <c r="BM319" s="140">
        <f t="shared" ca="1" si="689"/>
        <v>5.94571874796614</v>
      </c>
      <c r="BN319" s="140">
        <f t="shared" ca="1" si="689"/>
        <v>5.551943656411046</v>
      </c>
      <c r="BO319" s="140">
        <f t="shared" ca="1" si="689"/>
        <v>4.666464676638137</v>
      </c>
      <c r="BP319" s="140">
        <f t="shared" ca="1" si="689"/>
        <v>4.2171475949863737</v>
      </c>
      <c r="BQ319" s="140">
        <f t="shared" ca="1" si="689"/>
        <v>3.8074385347994832</v>
      </c>
      <c r="BR319" s="140">
        <f t="shared" ca="1" si="689"/>
        <v>7.2804297812162142</v>
      </c>
      <c r="BS319" s="140">
        <f t="shared" ca="1" si="689"/>
        <v>6.9896850419615291</v>
      </c>
      <c r="BT319" s="140">
        <f t="shared" ca="1" si="689"/>
        <v>6.7136576044396605</v>
      </c>
      <c r="BU319" s="140">
        <f t="shared" ca="1" si="689"/>
        <v>6.0472500391304678</v>
      </c>
      <c r="BV319" s="140">
        <f t="shared" ref="BV319:DA319" ca="1" si="690">IF(BY4=0,BU319,BV241/(-(BW238+BW234+BX238+BX234+BY238+BY234)))</f>
        <v>5.4695477322070669</v>
      </c>
      <c r="BW319" s="140">
        <f t="shared" ca="1" si="690"/>
        <v>4.9652896389949932</v>
      </c>
      <c r="BX319" s="140">
        <f t="shared" ca="1" si="690"/>
        <v>4.7219446621722598</v>
      </c>
      <c r="BY319" s="140">
        <f t="shared" ca="1" si="690"/>
        <v>4.4864220880336427</v>
      </c>
      <c r="BZ319" s="140">
        <f t="shared" ca="1" si="690"/>
        <v>4.2578682990580932</v>
      </c>
      <c r="CA319" s="140">
        <f t="shared" ca="1" si="690"/>
        <v>3.7051610432120827</v>
      </c>
      <c r="CB319" s="140">
        <f t="shared" ca="1" si="690"/>
        <v>3.4219690920264356</v>
      </c>
      <c r="CC319" s="140">
        <f t="shared" ca="1" si="690"/>
        <v>3.1555108285143589</v>
      </c>
      <c r="CD319" s="140">
        <f t="shared" ca="1" si="690"/>
        <v>6.0775579753341722</v>
      </c>
      <c r="CE319" s="140">
        <f t="shared" ca="1" si="690"/>
        <v>5.8924436509129556</v>
      </c>
      <c r="CF319" s="140">
        <f t="shared" ca="1" si="690"/>
        <v>5.7108486606202389</v>
      </c>
      <c r="CG319" s="140">
        <f t="shared" ca="1" si="690"/>
        <v>5.2401106444172827</v>
      </c>
      <c r="CH319" s="140">
        <f t="shared" ca="1" si="690"/>
        <v>4.8180383360430916</v>
      </c>
      <c r="CI319" s="140">
        <f t="shared" ca="1" si="690"/>
        <v>4.4376069642322493</v>
      </c>
      <c r="CJ319" s="140">
        <f t="shared" ca="1" si="690"/>
        <v>4.2436006728168012</v>
      </c>
      <c r="CK319" s="140">
        <f t="shared" ca="1" si="690"/>
        <v>4.0506479438708451</v>
      </c>
      <c r="CL319" s="140">
        <f t="shared" ca="1" si="690"/>
        <v>3.8584148640925573</v>
      </c>
      <c r="CM319" s="140">
        <f t="shared" ca="1" si="690"/>
        <v>3.8504170959280799</v>
      </c>
      <c r="CN319" s="140">
        <f t="shared" ca="1" si="690"/>
        <v>4.0870833621076024</v>
      </c>
      <c r="CO319" s="140">
        <f t="shared" ca="1" si="690"/>
        <v>4.3907168913425831</v>
      </c>
      <c r="CP319" s="140">
        <f t="shared" ca="1" si="690"/>
        <v>8.5642437326279914</v>
      </c>
      <c r="CQ319" s="140">
        <f t="shared" ca="1" si="690"/>
        <v>8.4707596333542146</v>
      </c>
      <c r="CR319" s="140">
        <f t="shared" ca="1" si="690"/>
        <v>8.378558052746568</v>
      </c>
      <c r="CS319" s="140">
        <f t="shared" ca="1" si="690"/>
        <v>7.7123330516049586</v>
      </c>
      <c r="CT319" s="140">
        <f t="shared" ca="1" si="690"/>
        <v>7.1320458609493658</v>
      </c>
      <c r="CU319" s="140">
        <f t="shared" ca="1" si="690"/>
        <v>6.622138038014584</v>
      </c>
      <c r="CV319" s="140">
        <f t="shared" ca="1" si="690"/>
        <v>6.4913320586538044</v>
      </c>
      <c r="CW319" s="140">
        <f t="shared" ca="1" si="690"/>
        <v>6.3607223656211742</v>
      </c>
      <c r="CX319" s="140">
        <f t="shared" ca="1" si="690"/>
        <v>6.2302799617889626</v>
      </c>
      <c r="CY319" s="140">
        <f t="shared" ca="1" si="690"/>
        <v>5.5570490010716611</v>
      </c>
      <c r="CZ319" s="140">
        <f t="shared" ca="1" si="690"/>
        <v>5.2956998517458898</v>
      </c>
      <c r="DA319" s="140">
        <f t="shared" ca="1" si="690"/>
        <v>5.0460352705800098</v>
      </c>
      <c r="DB319" s="140">
        <f t="shared" ref="DB319:DY319" ca="1" si="691">IF(DE4=0,DA319,DB241/(-(DC238+DC234+DD238+DD234+DE238+DE234)))</f>
        <v>8.4274453863227539</v>
      </c>
      <c r="DC319" s="140">
        <f t="shared" ca="1" si="691"/>
        <v>8.3089157055533569</v>
      </c>
      <c r="DD319" s="140">
        <f t="shared" ca="1" si="691"/>
        <v>8.1905243659342126</v>
      </c>
      <c r="DE319" s="140">
        <f t="shared" ca="1" si="691"/>
        <v>7.6114398902349301</v>
      </c>
      <c r="DF319" s="140">
        <f t="shared" ca="1" si="691"/>
        <v>7.0932747316047235</v>
      </c>
      <c r="DG319" s="140">
        <f t="shared" ca="1" si="691"/>
        <v>6.6269318798384251</v>
      </c>
      <c r="DH319" s="140">
        <f t="shared" ca="1" si="691"/>
        <v>6.4766696169991889</v>
      </c>
      <c r="DI319" s="140">
        <f t="shared" ca="1" si="691"/>
        <v>6.3259201558082081</v>
      </c>
      <c r="DJ319" s="140">
        <f t="shared" ca="1" si="691"/>
        <v>6.174648322867716</v>
      </c>
      <c r="DK319" s="140">
        <f t="shared" ca="1" si="691"/>
        <v>5.7747796085979664</v>
      </c>
      <c r="DL319" s="140">
        <f t="shared" ca="1" si="691"/>
        <v>5.8063482975141882</v>
      </c>
      <c r="DM319" s="140">
        <f t="shared" ca="1" si="691"/>
        <v>5.8388044472519312</v>
      </c>
      <c r="DN319" s="140">
        <f t="shared" ca="1" si="691"/>
        <v>10.423531553879702</v>
      </c>
      <c r="DO319" s="140">
        <f t="shared" ca="1" si="691"/>
        <v>10.323676187863892</v>
      </c>
      <c r="DP319" s="140">
        <f t="shared" ca="1" si="691"/>
        <v>10.223933111053247</v>
      </c>
      <c r="DQ319" s="140">
        <f t="shared" ca="1" si="691"/>
        <v>9.3760823376927238</v>
      </c>
      <c r="DR319" s="140">
        <f t="shared" ca="1" si="691"/>
        <v>8.6426236346743348</v>
      </c>
      <c r="DS319" s="140">
        <f t="shared" ca="1" si="691"/>
        <v>8.0019091457842837</v>
      </c>
      <c r="DT319" s="140">
        <f t="shared" ca="1" si="691"/>
        <v>7.8593826170286425</v>
      </c>
      <c r="DU319" s="140">
        <f t="shared" ca="1" si="691"/>
        <v>7.7163202640200801</v>
      </c>
      <c r="DV319" s="140">
        <f t="shared" ca="1" si="691"/>
        <v>7.5727006585283885</v>
      </c>
      <c r="DW319" s="140">
        <f t="shared" ca="1" si="691"/>
        <v>7.5727006585283885</v>
      </c>
      <c r="DX319" s="140">
        <f t="shared" ca="1" si="691"/>
        <v>7.5727006585283885</v>
      </c>
      <c r="DY319" s="140">
        <f t="shared" ca="1" si="691"/>
        <v>7.5727006585283885</v>
      </c>
    </row>
    <row r="320" spans="3:129" outlineLevel="1">
      <c r="D320" s="9" t="s">
        <v>359</v>
      </c>
      <c r="F320" s="5" t="s">
        <v>357</v>
      </c>
      <c r="G320" s="658"/>
      <c r="H320" s="5" t="s">
        <v>669</v>
      </c>
      <c r="J320" s="243">
        <f ca="1">IF(M4=0,I320,(SUM(K106:M106)/(-SUM(K234:M234)-SUM(K238:M238))))</f>
        <v>15.468539418008977</v>
      </c>
      <c r="K320" s="243">
        <f t="shared" ref="K320:AO320" ca="1" si="692">IF(N4=0,J320,(SUM(L106:N106)/(-SUM(L234:N234)-SUM(L238:N238))))</f>
        <v>15.963047481213641</v>
      </c>
      <c r="L320" s="243">
        <f t="shared" ca="1" si="692"/>
        <v>16.477004456798738</v>
      </c>
      <c r="M320" s="243">
        <f t="shared" ca="1" si="692"/>
        <v>17.010703735500716</v>
      </c>
      <c r="N320" s="243">
        <f t="shared" ca="1" si="692"/>
        <v>17.564445531745854</v>
      </c>
      <c r="O320" s="243">
        <f t="shared" ca="1" si="692"/>
        <v>18.138537010565333</v>
      </c>
      <c r="P320" s="243">
        <f t="shared" ca="1" si="692"/>
        <v>18.733292417144135</v>
      </c>
      <c r="Q320" s="243">
        <f t="shared" ca="1" si="692"/>
        <v>19.349033209055627</v>
      </c>
      <c r="R320" s="243">
        <f t="shared" ca="1" si="692"/>
        <v>19.986088191234444</v>
      </c>
      <c r="S320" s="243">
        <f t="shared" ca="1" si="692"/>
        <v>8.9045725928131372</v>
      </c>
      <c r="T320" s="243">
        <f t="shared" ca="1" si="692"/>
        <v>5.875502831094022</v>
      </c>
      <c r="U320" s="243">
        <f ca="1">IF(X4=0,T320,(SUM(V106:X106)/(-SUM(V234:X234)-SUM(V238:X238))))</f>
        <v>4.4579946688379399</v>
      </c>
      <c r="V320" s="243">
        <f t="shared" ca="1" si="692"/>
        <v>4.6156649416018487</v>
      </c>
      <c r="W320" s="243">
        <f t="shared" ca="1" si="692"/>
        <v>4.7788939663996519</v>
      </c>
      <c r="X320" s="243">
        <f t="shared" ca="1" si="692"/>
        <v>4.9478797335657401</v>
      </c>
      <c r="Y320" s="243">
        <f t="shared" ca="1" si="692"/>
        <v>5.1228282929309854</v>
      </c>
      <c r="Z320" s="243">
        <f t="shared" ca="1" si="692"/>
        <v>5.303954132444173</v>
      </c>
      <c r="AA320" s="243">
        <f t="shared" ca="1" si="692"/>
        <v>5.4914805775252198</v>
      </c>
      <c r="AB320" s="243">
        <f t="shared" ca="1" si="692"/>
        <v>5.6856402124665877</v>
      </c>
      <c r="AC320" s="243">
        <f t="shared" ca="1" si="692"/>
        <v>5.8866753252952568</v>
      </c>
      <c r="AD320" s="243">
        <f t="shared" ca="1" si="692"/>
        <v>6.0948383776114055</v>
      </c>
      <c r="AE320" s="243">
        <f t="shared" ca="1" si="692"/>
        <v>4.1980720722506577</v>
      </c>
      <c r="AF320" s="243">
        <f t="shared" ca="1" si="692"/>
        <v>3.9381908561378922</v>
      </c>
      <c r="AG320" s="243">
        <f t="shared" ca="1" si="692"/>
        <v>3.7158168304991417</v>
      </c>
      <c r="AH320" s="243">
        <f t="shared" ca="1" si="692"/>
        <v>4.7736451431873954</v>
      </c>
      <c r="AI320" s="243">
        <f t="shared" ca="1" si="692"/>
        <v>4.9088446433876598</v>
      </c>
      <c r="AJ320" s="243">
        <f t="shared" ca="1" si="692"/>
        <v>5.0480768547100192</v>
      </c>
      <c r="AK320" s="243">
        <f t="shared" ca="1" si="692"/>
        <v>4.2042934514128678</v>
      </c>
      <c r="AL320" s="243">
        <f t="shared" ca="1" si="692"/>
        <v>3.6281353654753268</v>
      </c>
      <c r="AM320" s="243">
        <f t="shared" ca="1" si="692"/>
        <v>3.2097218730512984</v>
      </c>
      <c r="AN320" s="243">
        <f t="shared" ca="1" si="692"/>
        <v>3.2976799914936219</v>
      </c>
      <c r="AO320" s="243">
        <f t="shared" ca="1" si="692"/>
        <v>3.3882933466292471</v>
      </c>
      <c r="AP320" s="243">
        <f t="shared" ref="AP320:BU320" ca="1" si="693">IF(AS4=0,AO320,(SUM(AQ106:AS106)/(-SUM(AQ234:AS234)-SUM(AQ238:AS238))))</f>
        <v>3.4816490702070695</v>
      </c>
      <c r="AQ320" s="243">
        <f t="shared" ca="1" si="693"/>
        <v>4.108102065654327</v>
      </c>
      <c r="AR320" s="243">
        <f t="shared" ca="1" si="693"/>
        <v>4.9606879083186612</v>
      </c>
      <c r="AS320" s="243">
        <f t="shared" ca="1" si="693"/>
        <v>6.1864131687452479</v>
      </c>
      <c r="AT320" s="243">
        <f t="shared" ca="1" si="693"/>
        <v>6.3470619801753365</v>
      </c>
      <c r="AU320" s="243">
        <f t="shared" ca="1" si="693"/>
        <v>6.5121969378989863</v>
      </c>
      <c r="AV320" s="243">
        <f t="shared" ca="1" si="693"/>
        <v>6.6819509675034165</v>
      </c>
      <c r="AW320" s="243">
        <f t="shared" ca="1" si="693"/>
        <v>6.8564612950248645</v>
      </c>
      <c r="AX320" s="243">
        <f t="shared" ca="1" si="693"/>
        <v>7.0358696009463264</v>
      </c>
      <c r="AY320" s="243">
        <f t="shared" ca="1" si="693"/>
        <v>7.2203221803821291</v>
      </c>
      <c r="AZ320" s="243">
        <f t="shared" ca="1" si="693"/>
        <v>7.4099701097300006</v>
      </c>
      <c r="BA320" s="243">
        <f t="shared" ca="1" si="693"/>
        <v>7.6049694200856965</v>
      </c>
      <c r="BB320" s="243">
        <f t="shared" ca="1" si="693"/>
        <v>7.8054812777304043</v>
      </c>
      <c r="BC320" s="243">
        <f t="shared" ca="1" si="693"/>
        <v>6.7421940838566341</v>
      </c>
      <c r="BD320" s="243">
        <f t="shared" ca="1" si="693"/>
        <v>6.6038019475188454</v>
      </c>
      <c r="BE320" s="243">
        <f t="shared" ca="1" si="693"/>
        <v>6.47807191286216</v>
      </c>
      <c r="BF320" s="243">
        <f t="shared" ca="1" si="693"/>
        <v>7.4083542615114926</v>
      </c>
      <c r="BG320" s="243">
        <f t="shared" ca="1" si="693"/>
        <v>7.597013444689142</v>
      </c>
      <c r="BH320" s="243">
        <f t="shared" ca="1" si="693"/>
        <v>7.7907979862867549</v>
      </c>
      <c r="BI320" s="243">
        <f t="shared" ca="1" si="693"/>
        <v>7.2095574149153343</v>
      </c>
      <c r="BJ320" s="243">
        <f t="shared" ca="1" si="693"/>
        <v>6.7344172667025806</v>
      </c>
      <c r="BK320" s="243">
        <f t="shared" ca="1" si="693"/>
        <v>6.3397514952091889</v>
      </c>
      <c r="BL320" s="243">
        <f t="shared" ca="1" si="693"/>
        <v>6.5069219794714241</v>
      </c>
      <c r="BM320" s="243">
        <f t="shared" ca="1" si="693"/>
        <v>6.67883354324991</v>
      </c>
      <c r="BN320" s="243">
        <f t="shared" ca="1" si="693"/>
        <v>6.855630691056235</v>
      </c>
      <c r="BO320" s="243">
        <f t="shared" ca="1" si="693"/>
        <v>6.3401717175106551</v>
      </c>
      <c r="BP320" s="243">
        <f t="shared" ca="1" si="693"/>
        <v>6.306704935672232</v>
      </c>
      <c r="BQ320" s="243">
        <f t="shared" ca="1" si="693"/>
        <v>6.2662976204110477</v>
      </c>
      <c r="BR320" s="243">
        <f t="shared" ca="1" si="693"/>
        <v>6.852217414616149</v>
      </c>
      <c r="BS320" s="243">
        <f t="shared" ca="1" si="693"/>
        <v>6.9890340275663423</v>
      </c>
      <c r="BT320" s="243">
        <f t="shared" ca="1" si="693"/>
        <v>7.1217257582325448</v>
      </c>
      <c r="BU320" s="243">
        <f t="shared" ca="1" si="693"/>
        <v>6.7958947899858249</v>
      </c>
      <c r="BV320" s="243">
        <f t="shared" ref="BV320:DA320" ca="1" si="694">IF(BY4=0,BU320,(SUM(BW106:BY106)/(-SUM(BW234:BY234)-SUM(BW238:BY238))))</f>
        <v>6.5030706810112449</v>
      </c>
      <c r="BW320" s="243">
        <f t="shared" ca="1" si="694"/>
        <v>6.2377896329411646</v>
      </c>
      <c r="BX320" s="243">
        <f t="shared" ca="1" si="694"/>
        <v>6.3358070347983846</v>
      </c>
      <c r="BY320" s="243">
        <f t="shared" ca="1" si="694"/>
        <v>6.4299655229454391</v>
      </c>
      <c r="BZ320" s="243">
        <f t="shared" ca="1" si="694"/>
        <v>6.5201453943208048</v>
      </c>
      <c r="CA320" s="243">
        <f t="shared" ca="1" si="694"/>
        <v>6.0643577273067875</v>
      </c>
      <c r="CB320" s="243">
        <f t="shared" ca="1" si="694"/>
        <v>5.9912279158115407</v>
      </c>
      <c r="CC320" s="243">
        <f t="shared" ca="1" si="694"/>
        <v>5.9175782303160931</v>
      </c>
      <c r="CD320" s="243">
        <f t="shared" ca="1" si="694"/>
        <v>6.3378686666284123</v>
      </c>
      <c r="CE320" s="243">
        <f t="shared" ca="1" si="694"/>
        <v>6.406782785904876</v>
      </c>
      <c r="CF320" s="243">
        <f t="shared" ca="1" si="694"/>
        <v>6.4745718178585445</v>
      </c>
      <c r="CG320" s="243">
        <f t="shared" ca="1" si="694"/>
        <v>6.1955491182566176</v>
      </c>
      <c r="CH320" s="243">
        <f t="shared" ca="1" si="694"/>
        <v>5.9420079311580976</v>
      </c>
      <c r="CI320" s="243">
        <f t="shared" ca="1" si="694"/>
        <v>5.7103947824086605</v>
      </c>
      <c r="CJ320" s="243">
        <f t="shared" ca="1" si="694"/>
        <v>5.7657238545087006</v>
      </c>
      <c r="CK320" s="243">
        <f t="shared" ca="1" si="694"/>
        <v>5.8199652221170366</v>
      </c>
      <c r="CL320" s="243">
        <f t="shared" ca="1" si="694"/>
        <v>5.8730800048941934</v>
      </c>
      <c r="CM320" s="243">
        <f t="shared" ca="1" si="694"/>
        <v>6.2213685952765418</v>
      </c>
      <c r="CN320" s="243">
        <f t="shared" ca="1" si="694"/>
        <v>7.0266201673898721</v>
      </c>
      <c r="CO320" s="243">
        <f t="shared" ca="1" si="694"/>
        <v>8.0548717980325559</v>
      </c>
      <c r="CP320" s="243">
        <f t="shared" ca="1" si="694"/>
        <v>8.7545716706766292</v>
      </c>
      <c r="CQ320" s="243">
        <f t="shared" ca="1" si="694"/>
        <v>8.8146834660687219</v>
      </c>
      <c r="CR320" s="243">
        <f t="shared" ca="1" si="694"/>
        <v>8.8743719979833298</v>
      </c>
      <c r="CS320" s="243">
        <f t="shared" ca="1" si="694"/>
        <v>8.3132053795364644</v>
      </c>
      <c r="CT320" s="243">
        <f t="shared" ca="1" si="694"/>
        <v>7.8228302295579502</v>
      </c>
      <c r="CU320" s="243">
        <f t="shared" ca="1" si="694"/>
        <v>7.390817608096607</v>
      </c>
      <c r="CV320" s="243">
        <f t="shared" ca="1" si="694"/>
        <v>7.4426355969159168</v>
      </c>
      <c r="CW320" s="243">
        <f t="shared" ca="1" si="694"/>
        <v>7.494970276311391</v>
      </c>
      <c r="CX320" s="243">
        <f t="shared" ca="1" si="694"/>
        <v>7.547830925690195</v>
      </c>
      <c r="CY320" s="243">
        <f t="shared" ca="1" si="694"/>
        <v>6.924676751009506</v>
      </c>
      <c r="CZ320" s="243">
        <f t="shared" ca="1" si="694"/>
        <v>6.7907721915161474</v>
      </c>
      <c r="DA320" s="243">
        <f t="shared" ca="1" si="694"/>
        <v>6.6618947592206696</v>
      </c>
      <c r="DB320" s="243">
        <f t="shared" ref="DB320:DY320" ca="1" si="695">IF(DE4=0,DA320,(SUM(DC106:DE106)/(-SUM(DC234:DE234)-SUM(DC238:DE238))))</f>
        <v>7.1369159917184417</v>
      </c>
      <c r="DC320" s="243">
        <f t="shared" ca="1" si="695"/>
        <v>7.1841237903540378</v>
      </c>
      <c r="DD320" s="243">
        <f t="shared" ca="1" si="695"/>
        <v>7.2317904636056252</v>
      </c>
      <c r="DE320" s="243">
        <f t="shared" ca="1" si="695"/>
        <v>6.8643472368480438</v>
      </c>
      <c r="DF320" s="243">
        <f t="shared" ca="1" si="695"/>
        <v>6.5354441197212001</v>
      </c>
      <c r="DG320" s="243">
        <f t="shared" ca="1" si="695"/>
        <v>6.2393387596399368</v>
      </c>
      <c r="DH320" s="243">
        <f t="shared" ca="1" si="695"/>
        <v>6.2832037445804554</v>
      </c>
      <c r="DI320" s="243">
        <f t="shared" ca="1" si="695"/>
        <v>6.3275441104110364</v>
      </c>
      <c r="DJ320" s="243">
        <f t="shared" ca="1" si="695"/>
        <v>6.3723686869676266</v>
      </c>
      <c r="DK320" s="243">
        <f t="shared" ca="1" si="695"/>
        <v>6.1533499300054642</v>
      </c>
      <c r="DL320" s="243">
        <f t="shared" ca="1" si="695"/>
        <v>6.3929036407497142</v>
      </c>
      <c r="DM320" s="243">
        <f t="shared" ca="1" si="695"/>
        <v>6.6480150950668753</v>
      </c>
      <c r="DN320" s="243">
        <f t="shared" ca="1" si="695"/>
        <v>7.2562340265393894</v>
      </c>
      <c r="DO320" s="243">
        <f t="shared" ca="1" si="695"/>
        <v>7.3011285984764065</v>
      </c>
      <c r="DP320" s="243">
        <f t="shared" ca="1" si="695"/>
        <v>7.3465135021265162</v>
      </c>
      <c r="DQ320" s="243">
        <f t="shared" ca="1" si="695"/>
        <v>6.8460810467721238</v>
      </c>
      <c r="DR320" s="243">
        <f t="shared" ca="1" si="695"/>
        <v>6.4131966723859577</v>
      </c>
      <c r="DS320" s="243">
        <f t="shared" ca="1" si="695"/>
        <v>6.035083211519348</v>
      </c>
      <c r="DT320" s="243">
        <f t="shared" ca="1" si="695"/>
        <v>6.0759402129921405</v>
      </c>
      <c r="DU320" s="243">
        <f t="shared" ca="1" si="695"/>
        <v>6.1172977948882155</v>
      </c>
      <c r="DV320" s="243">
        <f t="shared" ca="1" si="695"/>
        <v>6.1591657108539914</v>
      </c>
      <c r="DW320" s="243">
        <f t="shared" ca="1" si="695"/>
        <v>6.1591657108539914</v>
      </c>
      <c r="DX320" s="243">
        <f t="shared" ca="1" si="695"/>
        <v>6.1591657108539914</v>
      </c>
      <c r="DY320" s="243">
        <f t="shared" ca="1" si="695"/>
        <v>6.1591657108539914</v>
      </c>
    </row>
    <row r="321" spans="1:129" outlineLevel="1">
      <c r="D321" s="9"/>
      <c r="J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c r="CN321" s="140"/>
      <c r="CO321" s="140"/>
      <c r="CP321" s="140"/>
      <c r="CQ321" s="140"/>
      <c r="CR321" s="140"/>
      <c r="CS321" s="140"/>
      <c r="CT321" s="140"/>
      <c r="CU321" s="140"/>
      <c r="CV321" s="140"/>
      <c r="CW321" s="140"/>
      <c r="CX321" s="140"/>
      <c r="CY321" s="140"/>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row>
    <row r="322" spans="1:129" outlineLevel="1">
      <c r="C322" s="120" t="s">
        <v>196</v>
      </c>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row>
    <row r="323" spans="1:129" outlineLevel="1">
      <c r="F323" s="565"/>
      <c r="G323" s="566" t="s">
        <v>470</v>
      </c>
      <c r="J323" s="593">
        <f>INDEX('Model Assumptions'!$C$154:$P$158,MATCH('Detailed Model (LCY)'!$G323,'Model Assumptions'!$C$154:$C$158,0),MATCH('Detailed Model (LCY)'!J$4,'Model Assumptions'!$C$154:$P$154,0))</f>
        <v>50</v>
      </c>
      <c r="K323" s="593">
        <f>INDEX('Model Assumptions'!$C$154:$P$158,MATCH('Detailed Model (LCY)'!$G323,'Model Assumptions'!$C$154:$C$158,0),MATCH('Detailed Model (LCY)'!K$4,'Model Assumptions'!$C$154:$P$154,0))</f>
        <v>50</v>
      </c>
      <c r="L323" s="593">
        <f>INDEX('Model Assumptions'!$C$154:$P$158,MATCH('Detailed Model (LCY)'!$G323,'Model Assumptions'!$C$154:$C$158,0),MATCH('Detailed Model (LCY)'!L$4,'Model Assumptions'!$C$154:$P$154,0))</f>
        <v>50</v>
      </c>
      <c r="M323" s="593">
        <f>INDEX('Model Assumptions'!$C$154:$P$158,MATCH('Detailed Model (LCY)'!$G323,'Model Assumptions'!$C$154:$C$158,0),MATCH('Detailed Model (LCY)'!M$4,'Model Assumptions'!$C$154:$P$154,0))</f>
        <v>50</v>
      </c>
      <c r="N323" s="593">
        <f>INDEX('Model Assumptions'!$C$154:$P$158,MATCH('Detailed Model (LCY)'!$G323,'Model Assumptions'!$C$154:$C$158,0),MATCH('Detailed Model (LCY)'!N$4,'Model Assumptions'!$C$154:$P$154,0))</f>
        <v>50</v>
      </c>
      <c r="O323" s="593">
        <f>INDEX('Model Assumptions'!$C$154:$P$158,MATCH('Detailed Model (LCY)'!$G323,'Model Assumptions'!$C$154:$C$158,0),MATCH('Detailed Model (LCY)'!O$4,'Model Assumptions'!$C$154:$P$154,0))</f>
        <v>50</v>
      </c>
      <c r="P323" s="593">
        <f>INDEX('Model Assumptions'!$C$154:$P$158,MATCH('Detailed Model (LCY)'!$G323,'Model Assumptions'!$C$154:$C$158,0),MATCH('Detailed Model (LCY)'!P$4,'Model Assumptions'!$C$154:$P$154,0))</f>
        <v>50</v>
      </c>
      <c r="Q323" s="593">
        <f>INDEX('Model Assumptions'!$C$154:$P$158,MATCH('Detailed Model (LCY)'!$G323,'Model Assumptions'!$C$154:$C$158,0),MATCH('Detailed Model (LCY)'!Q$4,'Model Assumptions'!$C$154:$P$154,0))</f>
        <v>50</v>
      </c>
      <c r="R323" s="593">
        <f>INDEX('Model Assumptions'!$C$154:$P$158,MATCH('Detailed Model (LCY)'!$G323,'Model Assumptions'!$C$154:$C$158,0),MATCH('Detailed Model (LCY)'!R$4,'Model Assumptions'!$C$154:$P$154,0))</f>
        <v>50</v>
      </c>
      <c r="S323" s="593">
        <f>INDEX('Model Assumptions'!$C$154:$P$158,MATCH('Detailed Model (LCY)'!$G323,'Model Assumptions'!$C$154:$C$158,0),MATCH('Detailed Model (LCY)'!S$4,'Model Assumptions'!$C$154:$P$154,0))</f>
        <v>50</v>
      </c>
      <c r="T323" s="593">
        <f>INDEX('Model Assumptions'!$C$154:$P$158,MATCH('Detailed Model (LCY)'!$G323,'Model Assumptions'!$C$154:$C$158,0),MATCH('Detailed Model (LCY)'!T$4,'Model Assumptions'!$C$154:$P$154,0))</f>
        <v>50</v>
      </c>
      <c r="U323" s="593">
        <f>INDEX('Model Assumptions'!$C$154:$P$158,MATCH('Detailed Model (LCY)'!$G323,'Model Assumptions'!$C$154:$C$158,0),MATCH('Detailed Model (LCY)'!U$4,'Model Assumptions'!$C$154:$P$154,0))</f>
        <v>50</v>
      </c>
      <c r="V323" s="593">
        <f>INDEX('Model Assumptions'!$C$154:$P$158,MATCH('Detailed Model (LCY)'!$G323,'Model Assumptions'!$C$154:$C$158,0),MATCH('Detailed Model (LCY)'!V$4,'Model Assumptions'!$C$154:$P$154,0))</f>
        <v>70</v>
      </c>
      <c r="W323" s="593">
        <f>INDEX('Model Assumptions'!$C$154:$P$158,MATCH('Detailed Model (LCY)'!$G323,'Model Assumptions'!$C$154:$C$158,0),MATCH('Detailed Model (LCY)'!W$4,'Model Assumptions'!$C$154:$P$154,0))</f>
        <v>70</v>
      </c>
      <c r="X323" s="593">
        <f>INDEX('Model Assumptions'!$C$154:$P$158,MATCH('Detailed Model (LCY)'!$G323,'Model Assumptions'!$C$154:$C$158,0),MATCH('Detailed Model (LCY)'!X$4,'Model Assumptions'!$C$154:$P$154,0))</f>
        <v>70</v>
      </c>
      <c r="Y323" s="593">
        <f>INDEX('Model Assumptions'!$C$154:$P$158,MATCH('Detailed Model (LCY)'!$G323,'Model Assumptions'!$C$154:$C$158,0),MATCH('Detailed Model (LCY)'!Y$4,'Model Assumptions'!$C$154:$P$154,0))</f>
        <v>70</v>
      </c>
      <c r="Z323" s="593">
        <f>INDEX('Model Assumptions'!$C$154:$P$158,MATCH('Detailed Model (LCY)'!$G323,'Model Assumptions'!$C$154:$C$158,0),MATCH('Detailed Model (LCY)'!Z$4,'Model Assumptions'!$C$154:$P$154,0))</f>
        <v>70</v>
      </c>
      <c r="AA323" s="593">
        <f>INDEX('Model Assumptions'!$C$154:$P$158,MATCH('Detailed Model (LCY)'!$G323,'Model Assumptions'!$C$154:$C$158,0),MATCH('Detailed Model (LCY)'!AA$4,'Model Assumptions'!$C$154:$P$154,0))</f>
        <v>70</v>
      </c>
      <c r="AB323" s="593">
        <f>INDEX('Model Assumptions'!$C$154:$P$158,MATCH('Detailed Model (LCY)'!$G323,'Model Assumptions'!$C$154:$C$158,0),MATCH('Detailed Model (LCY)'!AB$4,'Model Assumptions'!$C$154:$P$154,0))</f>
        <v>70</v>
      </c>
      <c r="AC323" s="593">
        <f>INDEX('Model Assumptions'!$C$154:$P$158,MATCH('Detailed Model (LCY)'!$G323,'Model Assumptions'!$C$154:$C$158,0),MATCH('Detailed Model (LCY)'!AC$4,'Model Assumptions'!$C$154:$P$154,0))</f>
        <v>70</v>
      </c>
      <c r="AD323" s="593">
        <f>INDEX('Model Assumptions'!$C$154:$P$158,MATCH('Detailed Model (LCY)'!$G323,'Model Assumptions'!$C$154:$C$158,0),MATCH('Detailed Model (LCY)'!AD$4,'Model Assumptions'!$C$154:$P$154,0))</f>
        <v>70</v>
      </c>
      <c r="AE323" s="593">
        <f>INDEX('Model Assumptions'!$C$154:$P$158,MATCH('Detailed Model (LCY)'!$G323,'Model Assumptions'!$C$154:$C$158,0),MATCH('Detailed Model (LCY)'!AE$4,'Model Assumptions'!$C$154:$P$154,0))</f>
        <v>70</v>
      </c>
      <c r="AF323" s="593">
        <f>INDEX('Model Assumptions'!$C$154:$P$158,MATCH('Detailed Model (LCY)'!$G323,'Model Assumptions'!$C$154:$C$158,0),MATCH('Detailed Model (LCY)'!AF$4,'Model Assumptions'!$C$154:$P$154,0))</f>
        <v>70</v>
      </c>
      <c r="AG323" s="593">
        <f>INDEX('Model Assumptions'!$C$154:$P$158,MATCH('Detailed Model (LCY)'!$G323,'Model Assumptions'!$C$154:$C$158,0),MATCH('Detailed Model (LCY)'!AG$4,'Model Assumptions'!$C$154:$P$154,0))</f>
        <v>70</v>
      </c>
      <c r="AH323" s="593">
        <f>INDEX('Model Assumptions'!$C$154:$P$158,MATCH('Detailed Model (LCY)'!$G323,'Model Assumptions'!$C$154:$C$158,0),MATCH('Detailed Model (LCY)'!AH$4,'Model Assumptions'!$C$154:$P$154,0))</f>
        <v>100</v>
      </c>
      <c r="AI323" s="593">
        <f>INDEX('Model Assumptions'!$C$154:$P$158,MATCH('Detailed Model (LCY)'!$G323,'Model Assumptions'!$C$154:$C$158,0),MATCH('Detailed Model (LCY)'!AI$4,'Model Assumptions'!$C$154:$P$154,0))</f>
        <v>100</v>
      </c>
      <c r="AJ323" s="593">
        <f>INDEX('Model Assumptions'!$C$154:$P$158,MATCH('Detailed Model (LCY)'!$G323,'Model Assumptions'!$C$154:$C$158,0),MATCH('Detailed Model (LCY)'!AJ$4,'Model Assumptions'!$C$154:$P$154,0))</f>
        <v>100</v>
      </c>
      <c r="AK323" s="593">
        <f>INDEX('Model Assumptions'!$C$154:$P$158,MATCH('Detailed Model (LCY)'!$G323,'Model Assumptions'!$C$154:$C$158,0),MATCH('Detailed Model (LCY)'!AK$4,'Model Assumptions'!$C$154:$P$154,0))</f>
        <v>100</v>
      </c>
      <c r="AL323" s="593">
        <f>INDEX('Model Assumptions'!$C$154:$P$158,MATCH('Detailed Model (LCY)'!$G323,'Model Assumptions'!$C$154:$C$158,0),MATCH('Detailed Model (LCY)'!AL$4,'Model Assumptions'!$C$154:$P$154,0))</f>
        <v>100</v>
      </c>
      <c r="AM323" s="593">
        <f>INDEX('Model Assumptions'!$C$154:$P$158,MATCH('Detailed Model (LCY)'!$G323,'Model Assumptions'!$C$154:$C$158,0),MATCH('Detailed Model (LCY)'!AM$4,'Model Assumptions'!$C$154:$P$154,0))</f>
        <v>100</v>
      </c>
      <c r="AN323" s="593">
        <f>INDEX('Model Assumptions'!$C$154:$P$158,MATCH('Detailed Model (LCY)'!$G323,'Model Assumptions'!$C$154:$C$158,0),MATCH('Detailed Model (LCY)'!AN$4,'Model Assumptions'!$C$154:$P$154,0))</f>
        <v>100</v>
      </c>
      <c r="AO323" s="593">
        <f>INDEX('Model Assumptions'!$C$154:$P$158,MATCH('Detailed Model (LCY)'!$G323,'Model Assumptions'!$C$154:$C$158,0),MATCH('Detailed Model (LCY)'!AO$4,'Model Assumptions'!$C$154:$P$154,0))</f>
        <v>100</v>
      </c>
      <c r="AP323" s="593">
        <f>INDEX('Model Assumptions'!$C$154:$P$158,MATCH('Detailed Model (LCY)'!$G323,'Model Assumptions'!$C$154:$C$158,0),MATCH('Detailed Model (LCY)'!AP$4,'Model Assumptions'!$C$154:$P$154,0))</f>
        <v>100</v>
      </c>
      <c r="AQ323" s="593">
        <f>INDEX('Model Assumptions'!$C$154:$P$158,MATCH('Detailed Model (LCY)'!$G323,'Model Assumptions'!$C$154:$C$158,0),MATCH('Detailed Model (LCY)'!AQ$4,'Model Assumptions'!$C$154:$P$154,0))</f>
        <v>100</v>
      </c>
      <c r="AR323" s="593">
        <f>INDEX('Model Assumptions'!$C$154:$P$158,MATCH('Detailed Model (LCY)'!$G323,'Model Assumptions'!$C$154:$C$158,0),MATCH('Detailed Model (LCY)'!AR$4,'Model Assumptions'!$C$154:$P$154,0))</f>
        <v>100</v>
      </c>
      <c r="AS323" s="593">
        <f>INDEX('Model Assumptions'!$C$154:$P$158,MATCH('Detailed Model (LCY)'!$G323,'Model Assumptions'!$C$154:$C$158,0),MATCH('Detailed Model (LCY)'!AS$4,'Model Assumptions'!$C$154:$P$154,0))</f>
        <v>100</v>
      </c>
      <c r="AT323" s="593">
        <f>INDEX('Model Assumptions'!$C$154:$P$158,MATCH('Detailed Model (LCY)'!$G323,'Model Assumptions'!$C$154:$C$158,0),MATCH('Detailed Model (LCY)'!AT$4,'Model Assumptions'!$C$154:$P$154,0))</f>
        <v>130</v>
      </c>
      <c r="AU323" s="593">
        <f>INDEX('Model Assumptions'!$C$154:$P$158,MATCH('Detailed Model (LCY)'!$G323,'Model Assumptions'!$C$154:$C$158,0),MATCH('Detailed Model (LCY)'!AU$4,'Model Assumptions'!$C$154:$P$154,0))</f>
        <v>130</v>
      </c>
      <c r="AV323" s="593">
        <f>INDEX('Model Assumptions'!$C$154:$P$158,MATCH('Detailed Model (LCY)'!$G323,'Model Assumptions'!$C$154:$C$158,0),MATCH('Detailed Model (LCY)'!AV$4,'Model Assumptions'!$C$154:$P$154,0))</f>
        <v>130</v>
      </c>
      <c r="AW323" s="593">
        <f>INDEX('Model Assumptions'!$C$154:$P$158,MATCH('Detailed Model (LCY)'!$G323,'Model Assumptions'!$C$154:$C$158,0),MATCH('Detailed Model (LCY)'!AW$4,'Model Assumptions'!$C$154:$P$154,0))</f>
        <v>130</v>
      </c>
      <c r="AX323" s="593">
        <f>INDEX('Model Assumptions'!$C$154:$P$158,MATCH('Detailed Model (LCY)'!$G323,'Model Assumptions'!$C$154:$C$158,0),MATCH('Detailed Model (LCY)'!AX$4,'Model Assumptions'!$C$154:$P$154,0))</f>
        <v>130</v>
      </c>
      <c r="AY323" s="593">
        <f>INDEX('Model Assumptions'!$C$154:$P$158,MATCH('Detailed Model (LCY)'!$G323,'Model Assumptions'!$C$154:$C$158,0),MATCH('Detailed Model (LCY)'!AY$4,'Model Assumptions'!$C$154:$P$154,0))</f>
        <v>130</v>
      </c>
      <c r="AZ323" s="593">
        <f>INDEX('Model Assumptions'!$C$154:$P$158,MATCH('Detailed Model (LCY)'!$G323,'Model Assumptions'!$C$154:$C$158,0),MATCH('Detailed Model (LCY)'!AZ$4,'Model Assumptions'!$C$154:$P$154,0))</f>
        <v>130</v>
      </c>
      <c r="BA323" s="593">
        <f>INDEX('Model Assumptions'!$C$154:$P$158,MATCH('Detailed Model (LCY)'!$G323,'Model Assumptions'!$C$154:$C$158,0),MATCH('Detailed Model (LCY)'!BA$4,'Model Assumptions'!$C$154:$P$154,0))</f>
        <v>130</v>
      </c>
      <c r="BB323" s="593">
        <f>INDEX('Model Assumptions'!$C$154:$P$158,MATCH('Detailed Model (LCY)'!$G323,'Model Assumptions'!$C$154:$C$158,0),MATCH('Detailed Model (LCY)'!BB$4,'Model Assumptions'!$C$154:$P$154,0))</f>
        <v>130</v>
      </c>
      <c r="BC323" s="593">
        <f>INDEX('Model Assumptions'!$C$154:$P$158,MATCH('Detailed Model (LCY)'!$G323,'Model Assumptions'!$C$154:$C$158,0),MATCH('Detailed Model (LCY)'!BC$4,'Model Assumptions'!$C$154:$P$154,0))</f>
        <v>130</v>
      </c>
      <c r="BD323" s="593">
        <f>INDEX('Model Assumptions'!$C$154:$P$158,MATCH('Detailed Model (LCY)'!$G323,'Model Assumptions'!$C$154:$C$158,0),MATCH('Detailed Model (LCY)'!BD$4,'Model Assumptions'!$C$154:$P$154,0))</f>
        <v>130</v>
      </c>
      <c r="BE323" s="593">
        <f>INDEX('Model Assumptions'!$C$154:$P$158,MATCH('Detailed Model (LCY)'!$G323,'Model Assumptions'!$C$154:$C$158,0),MATCH('Detailed Model (LCY)'!BE$4,'Model Assumptions'!$C$154:$P$154,0))</f>
        <v>130</v>
      </c>
      <c r="BF323" s="593">
        <f>INDEX('Model Assumptions'!$C$154:$P$158,MATCH('Detailed Model (LCY)'!$G323,'Model Assumptions'!$C$154:$C$158,0),MATCH('Detailed Model (LCY)'!BF$4,'Model Assumptions'!$C$154:$P$154,0))</f>
        <v>160</v>
      </c>
      <c r="BG323" s="593">
        <f>INDEX('Model Assumptions'!$C$154:$P$158,MATCH('Detailed Model (LCY)'!$G323,'Model Assumptions'!$C$154:$C$158,0),MATCH('Detailed Model (LCY)'!BG$4,'Model Assumptions'!$C$154:$P$154,0))</f>
        <v>160</v>
      </c>
      <c r="BH323" s="593">
        <f>INDEX('Model Assumptions'!$C$154:$P$158,MATCH('Detailed Model (LCY)'!$G323,'Model Assumptions'!$C$154:$C$158,0),MATCH('Detailed Model (LCY)'!BH$4,'Model Assumptions'!$C$154:$P$154,0))</f>
        <v>160</v>
      </c>
      <c r="BI323" s="593">
        <f>INDEX('Model Assumptions'!$C$154:$P$158,MATCH('Detailed Model (LCY)'!$G323,'Model Assumptions'!$C$154:$C$158,0),MATCH('Detailed Model (LCY)'!BI$4,'Model Assumptions'!$C$154:$P$154,0))</f>
        <v>160</v>
      </c>
      <c r="BJ323" s="593">
        <f>INDEX('Model Assumptions'!$C$154:$P$158,MATCH('Detailed Model (LCY)'!$G323,'Model Assumptions'!$C$154:$C$158,0),MATCH('Detailed Model (LCY)'!BJ$4,'Model Assumptions'!$C$154:$P$154,0))</f>
        <v>160</v>
      </c>
      <c r="BK323" s="593">
        <f>INDEX('Model Assumptions'!$C$154:$P$158,MATCH('Detailed Model (LCY)'!$G323,'Model Assumptions'!$C$154:$C$158,0),MATCH('Detailed Model (LCY)'!BK$4,'Model Assumptions'!$C$154:$P$154,0))</f>
        <v>160</v>
      </c>
      <c r="BL323" s="593">
        <f>INDEX('Model Assumptions'!$C$154:$P$158,MATCH('Detailed Model (LCY)'!$G323,'Model Assumptions'!$C$154:$C$158,0),MATCH('Detailed Model (LCY)'!BL$4,'Model Assumptions'!$C$154:$P$154,0))</f>
        <v>160</v>
      </c>
      <c r="BM323" s="593">
        <f>INDEX('Model Assumptions'!$C$154:$P$158,MATCH('Detailed Model (LCY)'!$G323,'Model Assumptions'!$C$154:$C$158,0),MATCH('Detailed Model (LCY)'!BM$4,'Model Assumptions'!$C$154:$P$154,0))</f>
        <v>160</v>
      </c>
      <c r="BN323" s="593">
        <f>INDEX('Model Assumptions'!$C$154:$P$158,MATCH('Detailed Model (LCY)'!$G323,'Model Assumptions'!$C$154:$C$158,0),MATCH('Detailed Model (LCY)'!BN$4,'Model Assumptions'!$C$154:$P$154,0))</f>
        <v>160</v>
      </c>
      <c r="BO323" s="593">
        <f>INDEX('Model Assumptions'!$C$154:$P$158,MATCH('Detailed Model (LCY)'!$G323,'Model Assumptions'!$C$154:$C$158,0),MATCH('Detailed Model (LCY)'!BO$4,'Model Assumptions'!$C$154:$P$154,0))</f>
        <v>160</v>
      </c>
      <c r="BP323" s="593">
        <f>INDEX('Model Assumptions'!$C$154:$P$158,MATCH('Detailed Model (LCY)'!$G323,'Model Assumptions'!$C$154:$C$158,0),MATCH('Detailed Model (LCY)'!BP$4,'Model Assumptions'!$C$154:$P$154,0))</f>
        <v>160</v>
      </c>
      <c r="BQ323" s="593">
        <f>INDEX('Model Assumptions'!$C$154:$P$158,MATCH('Detailed Model (LCY)'!$G323,'Model Assumptions'!$C$154:$C$158,0),MATCH('Detailed Model (LCY)'!BQ$4,'Model Assumptions'!$C$154:$P$154,0))</f>
        <v>160</v>
      </c>
      <c r="BR323" s="593">
        <f>INDEX('Model Assumptions'!$C$154:$P$158,MATCH('Detailed Model (LCY)'!$G323,'Model Assumptions'!$C$154:$C$158,0),MATCH('Detailed Model (LCY)'!BR$4,'Model Assumptions'!$C$154:$P$154,0))</f>
        <v>200</v>
      </c>
      <c r="BS323" s="593">
        <f>INDEX('Model Assumptions'!$C$154:$P$158,MATCH('Detailed Model (LCY)'!$G323,'Model Assumptions'!$C$154:$C$158,0),MATCH('Detailed Model (LCY)'!BS$4,'Model Assumptions'!$C$154:$P$154,0))</f>
        <v>200</v>
      </c>
      <c r="BT323" s="593">
        <f>INDEX('Model Assumptions'!$C$154:$P$158,MATCH('Detailed Model (LCY)'!$G323,'Model Assumptions'!$C$154:$C$158,0),MATCH('Detailed Model (LCY)'!BT$4,'Model Assumptions'!$C$154:$P$154,0))</f>
        <v>200</v>
      </c>
      <c r="BU323" s="593">
        <f>INDEX('Model Assumptions'!$C$154:$P$158,MATCH('Detailed Model (LCY)'!$G323,'Model Assumptions'!$C$154:$C$158,0),MATCH('Detailed Model (LCY)'!BU$4,'Model Assumptions'!$C$154:$P$154,0))</f>
        <v>200</v>
      </c>
      <c r="BV323" s="593">
        <f>INDEX('Model Assumptions'!$C$154:$P$158,MATCH('Detailed Model (LCY)'!$G323,'Model Assumptions'!$C$154:$C$158,0),MATCH('Detailed Model (LCY)'!BV$4,'Model Assumptions'!$C$154:$P$154,0))</f>
        <v>200</v>
      </c>
      <c r="BW323" s="593">
        <f>INDEX('Model Assumptions'!$C$154:$P$158,MATCH('Detailed Model (LCY)'!$G323,'Model Assumptions'!$C$154:$C$158,0),MATCH('Detailed Model (LCY)'!BW$4,'Model Assumptions'!$C$154:$P$154,0))</f>
        <v>200</v>
      </c>
      <c r="BX323" s="593">
        <f>INDEX('Model Assumptions'!$C$154:$P$158,MATCH('Detailed Model (LCY)'!$G323,'Model Assumptions'!$C$154:$C$158,0),MATCH('Detailed Model (LCY)'!BX$4,'Model Assumptions'!$C$154:$P$154,0))</f>
        <v>200</v>
      </c>
      <c r="BY323" s="593">
        <f>INDEX('Model Assumptions'!$C$154:$P$158,MATCH('Detailed Model (LCY)'!$G323,'Model Assumptions'!$C$154:$C$158,0),MATCH('Detailed Model (LCY)'!BY$4,'Model Assumptions'!$C$154:$P$154,0))</f>
        <v>200</v>
      </c>
      <c r="BZ323" s="593">
        <f>INDEX('Model Assumptions'!$C$154:$P$158,MATCH('Detailed Model (LCY)'!$G323,'Model Assumptions'!$C$154:$C$158,0),MATCH('Detailed Model (LCY)'!BZ$4,'Model Assumptions'!$C$154:$P$154,0))</f>
        <v>200</v>
      </c>
      <c r="CA323" s="593">
        <f>INDEX('Model Assumptions'!$C$154:$P$158,MATCH('Detailed Model (LCY)'!$G323,'Model Assumptions'!$C$154:$C$158,0),MATCH('Detailed Model (LCY)'!CA$4,'Model Assumptions'!$C$154:$P$154,0))</f>
        <v>200</v>
      </c>
      <c r="CB323" s="593">
        <f>INDEX('Model Assumptions'!$C$154:$P$158,MATCH('Detailed Model (LCY)'!$G323,'Model Assumptions'!$C$154:$C$158,0),MATCH('Detailed Model (LCY)'!CB$4,'Model Assumptions'!$C$154:$P$154,0))</f>
        <v>200</v>
      </c>
      <c r="CC323" s="593">
        <f>INDEX('Model Assumptions'!$C$154:$P$158,MATCH('Detailed Model (LCY)'!$G323,'Model Assumptions'!$C$154:$C$158,0),MATCH('Detailed Model (LCY)'!CC$4,'Model Assumptions'!$C$154:$P$154,0))</f>
        <v>200</v>
      </c>
      <c r="CD323" s="593">
        <f>INDEX('Model Assumptions'!$C$154:$P$158,MATCH('Detailed Model (LCY)'!$G323,'Model Assumptions'!$C$154:$C$158,0),MATCH('Detailed Model (LCY)'!CD$4,'Model Assumptions'!$C$154:$P$154,0))</f>
        <v>200</v>
      </c>
      <c r="CE323" s="593">
        <f>INDEX('Model Assumptions'!$C$154:$P$158,MATCH('Detailed Model (LCY)'!$G323,'Model Assumptions'!$C$154:$C$158,0),MATCH('Detailed Model (LCY)'!CE$4,'Model Assumptions'!$C$154:$P$154,0))</f>
        <v>200</v>
      </c>
      <c r="CF323" s="593">
        <f>INDEX('Model Assumptions'!$C$154:$P$158,MATCH('Detailed Model (LCY)'!$G323,'Model Assumptions'!$C$154:$C$158,0),MATCH('Detailed Model (LCY)'!CF$4,'Model Assumptions'!$C$154:$P$154,0))</f>
        <v>200</v>
      </c>
      <c r="CG323" s="593">
        <f>INDEX('Model Assumptions'!$C$154:$P$158,MATCH('Detailed Model (LCY)'!$G323,'Model Assumptions'!$C$154:$C$158,0),MATCH('Detailed Model (LCY)'!CG$4,'Model Assumptions'!$C$154:$P$154,0))</f>
        <v>200</v>
      </c>
      <c r="CH323" s="593">
        <f>INDEX('Model Assumptions'!$C$154:$P$158,MATCH('Detailed Model (LCY)'!$G323,'Model Assumptions'!$C$154:$C$158,0),MATCH('Detailed Model (LCY)'!CH$4,'Model Assumptions'!$C$154:$P$154,0))</f>
        <v>200</v>
      </c>
      <c r="CI323" s="593">
        <f>INDEX('Model Assumptions'!$C$154:$P$158,MATCH('Detailed Model (LCY)'!$G323,'Model Assumptions'!$C$154:$C$158,0),MATCH('Detailed Model (LCY)'!CI$4,'Model Assumptions'!$C$154:$P$154,0))</f>
        <v>200</v>
      </c>
      <c r="CJ323" s="593">
        <f>INDEX('Model Assumptions'!$C$154:$P$158,MATCH('Detailed Model (LCY)'!$G323,'Model Assumptions'!$C$154:$C$158,0),MATCH('Detailed Model (LCY)'!CJ$4,'Model Assumptions'!$C$154:$P$154,0))</f>
        <v>200</v>
      </c>
      <c r="CK323" s="593">
        <f>INDEX('Model Assumptions'!$C$154:$P$158,MATCH('Detailed Model (LCY)'!$G323,'Model Assumptions'!$C$154:$C$158,0),MATCH('Detailed Model (LCY)'!CK$4,'Model Assumptions'!$C$154:$P$154,0))</f>
        <v>200</v>
      </c>
      <c r="CL323" s="593">
        <f>INDEX('Model Assumptions'!$C$154:$P$158,MATCH('Detailed Model (LCY)'!$G323,'Model Assumptions'!$C$154:$C$158,0),MATCH('Detailed Model (LCY)'!CL$4,'Model Assumptions'!$C$154:$P$154,0))</f>
        <v>200</v>
      </c>
      <c r="CM323" s="593">
        <f>INDEX('Model Assumptions'!$C$154:$P$158,MATCH('Detailed Model (LCY)'!$G323,'Model Assumptions'!$C$154:$C$158,0),MATCH('Detailed Model (LCY)'!CM$4,'Model Assumptions'!$C$154:$P$154,0))</f>
        <v>200</v>
      </c>
      <c r="CN323" s="593">
        <f>INDEX('Model Assumptions'!$C$154:$P$158,MATCH('Detailed Model (LCY)'!$G323,'Model Assumptions'!$C$154:$C$158,0),MATCH('Detailed Model (LCY)'!CN$4,'Model Assumptions'!$C$154:$P$154,0))</f>
        <v>200</v>
      </c>
      <c r="CO323" s="593">
        <f>INDEX('Model Assumptions'!$C$154:$P$158,MATCH('Detailed Model (LCY)'!$G323,'Model Assumptions'!$C$154:$C$158,0),MATCH('Detailed Model (LCY)'!CO$4,'Model Assumptions'!$C$154:$P$154,0))</f>
        <v>200</v>
      </c>
      <c r="CP323" s="593">
        <f>INDEX('Model Assumptions'!$C$154:$P$158,MATCH('Detailed Model (LCY)'!$G323,'Model Assumptions'!$C$154:$C$158,0),MATCH('Detailed Model (LCY)'!CP$4,'Model Assumptions'!$C$154:$P$154,0))</f>
        <v>200</v>
      </c>
      <c r="CQ323" s="593">
        <f>INDEX('Model Assumptions'!$C$154:$P$158,MATCH('Detailed Model (LCY)'!$G323,'Model Assumptions'!$C$154:$C$158,0),MATCH('Detailed Model (LCY)'!CQ$4,'Model Assumptions'!$C$154:$P$154,0))</f>
        <v>200</v>
      </c>
      <c r="CR323" s="593">
        <f>INDEX('Model Assumptions'!$C$154:$P$158,MATCH('Detailed Model (LCY)'!$G323,'Model Assumptions'!$C$154:$C$158,0),MATCH('Detailed Model (LCY)'!CR$4,'Model Assumptions'!$C$154:$P$154,0))</f>
        <v>200</v>
      </c>
      <c r="CS323" s="593">
        <f>INDEX('Model Assumptions'!$C$154:$P$158,MATCH('Detailed Model (LCY)'!$G323,'Model Assumptions'!$C$154:$C$158,0),MATCH('Detailed Model (LCY)'!CS$4,'Model Assumptions'!$C$154:$P$154,0))</f>
        <v>200</v>
      </c>
      <c r="CT323" s="593">
        <f>INDEX('Model Assumptions'!$C$154:$P$158,MATCH('Detailed Model (LCY)'!$G323,'Model Assumptions'!$C$154:$C$158,0),MATCH('Detailed Model (LCY)'!CT$4,'Model Assumptions'!$C$154:$P$154,0))</f>
        <v>200</v>
      </c>
      <c r="CU323" s="593">
        <f>INDEX('Model Assumptions'!$C$154:$P$158,MATCH('Detailed Model (LCY)'!$G323,'Model Assumptions'!$C$154:$C$158,0),MATCH('Detailed Model (LCY)'!CU$4,'Model Assumptions'!$C$154:$P$154,0))</f>
        <v>200</v>
      </c>
      <c r="CV323" s="593">
        <f>INDEX('Model Assumptions'!$C$154:$P$158,MATCH('Detailed Model (LCY)'!$G323,'Model Assumptions'!$C$154:$C$158,0),MATCH('Detailed Model (LCY)'!CV$4,'Model Assumptions'!$C$154:$P$154,0))</f>
        <v>200</v>
      </c>
      <c r="CW323" s="593">
        <f>INDEX('Model Assumptions'!$C$154:$P$158,MATCH('Detailed Model (LCY)'!$G323,'Model Assumptions'!$C$154:$C$158,0),MATCH('Detailed Model (LCY)'!CW$4,'Model Assumptions'!$C$154:$P$154,0))</f>
        <v>200</v>
      </c>
      <c r="CX323" s="593">
        <f>INDEX('Model Assumptions'!$C$154:$P$158,MATCH('Detailed Model (LCY)'!$G323,'Model Assumptions'!$C$154:$C$158,0),MATCH('Detailed Model (LCY)'!CX$4,'Model Assumptions'!$C$154:$P$154,0))</f>
        <v>200</v>
      </c>
      <c r="CY323" s="593">
        <f>INDEX('Model Assumptions'!$C$154:$P$158,MATCH('Detailed Model (LCY)'!$G323,'Model Assumptions'!$C$154:$C$158,0),MATCH('Detailed Model (LCY)'!CY$4,'Model Assumptions'!$C$154:$P$154,0))</f>
        <v>200</v>
      </c>
      <c r="CZ323" s="593">
        <f>INDEX('Model Assumptions'!$C$154:$P$158,MATCH('Detailed Model (LCY)'!$G323,'Model Assumptions'!$C$154:$C$158,0),MATCH('Detailed Model (LCY)'!CZ$4,'Model Assumptions'!$C$154:$P$154,0))</f>
        <v>200</v>
      </c>
      <c r="DA323" s="593">
        <f>INDEX('Model Assumptions'!$C$154:$P$158,MATCH('Detailed Model (LCY)'!$G323,'Model Assumptions'!$C$154:$C$158,0),MATCH('Detailed Model (LCY)'!DA$4,'Model Assumptions'!$C$154:$P$154,0))</f>
        <v>200</v>
      </c>
      <c r="DB323" s="593">
        <f>INDEX('Model Assumptions'!$C$154:$P$158,MATCH('Detailed Model (LCY)'!$G323,'Model Assumptions'!$C$154:$C$158,0),MATCH('Detailed Model (LCY)'!DB$4,'Model Assumptions'!$C$154:$P$154,0))</f>
        <v>200</v>
      </c>
      <c r="DC323" s="593">
        <f>INDEX('Model Assumptions'!$C$154:$P$158,MATCH('Detailed Model (LCY)'!$G323,'Model Assumptions'!$C$154:$C$158,0),MATCH('Detailed Model (LCY)'!DC$4,'Model Assumptions'!$C$154:$P$154,0))</f>
        <v>200</v>
      </c>
      <c r="DD323" s="593">
        <f>INDEX('Model Assumptions'!$C$154:$P$158,MATCH('Detailed Model (LCY)'!$G323,'Model Assumptions'!$C$154:$C$158,0),MATCH('Detailed Model (LCY)'!DD$4,'Model Assumptions'!$C$154:$P$154,0))</f>
        <v>200</v>
      </c>
      <c r="DE323" s="593">
        <f>INDEX('Model Assumptions'!$C$154:$P$158,MATCH('Detailed Model (LCY)'!$G323,'Model Assumptions'!$C$154:$C$158,0),MATCH('Detailed Model (LCY)'!DE$4,'Model Assumptions'!$C$154:$P$154,0))</f>
        <v>200</v>
      </c>
      <c r="DF323" s="593">
        <f>INDEX('Model Assumptions'!$C$154:$P$158,MATCH('Detailed Model (LCY)'!$G323,'Model Assumptions'!$C$154:$C$158,0),MATCH('Detailed Model (LCY)'!DF$4,'Model Assumptions'!$C$154:$P$154,0))</f>
        <v>200</v>
      </c>
      <c r="DG323" s="593">
        <f>INDEX('Model Assumptions'!$C$154:$P$158,MATCH('Detailed Model (LCY)'!$G323,'Model Assumptions'!$C$154:$C$158,0),MATCH('Detailed Model (LCY)'!DG$4,'Model Assumptions'!$C$154:$P$154,0))</f>
        <v>200</v>
      </c>
      <c r="DH323" s="593">
        <f>INDEX('Model Assumptions'!$C$154:$P$158,MATCH('Detailed Model (LCY)'!$G323,'Model Assumptions'!$C$154:$C$158,0),MATCH('Detailed Model (LCY)'!DH$4,'Model Assumptions'!$C$154:$P$154,0))</f>
        <v>200</v>
      </c>
      <c r="DI323" s="593">
        <f>INDEX('Model Assumptions'!$C$154:$P$158,MATCH('Detailed Model (LCY)'!$G323,'Model Assumptions'!$C$154:$C$158,0),MATCH('Detailed Model (LCY)'!DI$4,'Model Assumptions'!$C$154:$P$154,0))</f>
        <v>200</v>
      </c>
      <c r="DJ323" s="593">
        <f>INDEX('Model Assumptions'!$C$154:$P$158,MATCH('Detailed Model (LCY)'!$G323,'Model Assumptions'!$C$154:$C$158,0),MATCH('Detailed Model (LCY)'!DJ$4,'Model Assumptions'!$C$154:$P$154,0))</f>
        <v>200</v>
      </c>
      <c r="DK323" s="593">
        <f>INDEX('Model Assumptions'!$C$154:$P$158,MATCH('Detailed Model (LCY)'!$G323,'Model Assumptions'!$C$154:$C$158,0),MATCH('Detailed Model (LCY)'!DK$4,'Model Assumptions'!$C$154:$P$154,0))</f>
        <v>200</v>
      </c>
      <c r="DL323" s="593">
        <f>INDEX('Model Assumptions'!$C$154:$P$158,MATCH('Detailed Model (LCY)'!$G323,'Model Assumptions'!$C$154:$C$158,0),MATCH('Detailed Model (LCY)'!DL$4,'Model Assumptions'!$C$154:$P$154,0))</f>
        <v>200</v>
      </c>
      <c r="DM323" s="593">
        <f>INDEX('Model Assumptions'!$C$154:$P$158,MATCH('Detailed Model (LCY)'!$G323,'Model Assumptions'!$C$154:$C$158,0),MATCH('Detailed Model (LCY)'!DM$4,'Model Assumptions'!$C$154:$P$154,0))</f>
        <v>200</v>
      </c>
      <c r="DN323" s="593">
        <f>INDEX('Model Assumptions'!$C$154:$P$158,MATCH('Detailed Model (LCY)'!$G323,'Model Assumptions'!$C$154:$C$158,0),MATCH('Detailed Model (LCY)'!DN$4,'Model Assumptions'!$C$154:$P$154,0))</f>
        <v>200</v>
      </c>
      <c r="DO323" s="593">
        <f>INDEX('Model Assumptions'!$C$154:$P$158,MATCH('Detailed Model (LCY)'!$G323,'Model Assumptions'!$C$154:$C$158,0),MATCH('Detailed Model (LCY)'!DO$4,'Model Assumptions'!$C$154:$P$154,0))</f>
        <v>200</v>
      </c>
      <c r="DP323" s="593">
        <f>INDEX('Model Assumptions'!$C$154:$P$158,MATCH('Detailed Model (LCY)'!$G323,'Model Assumptions'!$C$154:$C$158,0),MATCH('Detailed Model (LCY)'!DP$4,'Model Assumptions'!$C$154:$P$154,0))</f>
        <v>200</v>
      </c>
      <c r="DQ323" s="593">
        <f>INDEX('Model Assumptions'!$C$154:$P$158,MATCH('Detailed Model (LCY)'!$G323,'Model Assumptions'!$C$154:$C$158,0),MATCH('Detailed Model (LCY)'!DQ$4,'Model Assumptions'!$C$154:$P$154,0))</f>
        <v>200</v>
      </c>
      <c r="DR323" s="593">
        <f>INDEX('Model Assumptions'!$C$154:$P$158,MATCH('Detailed Model (LCY)'!$G323,'Model Assumptions'!$C$154:$C$158,0),MATCH('Detailed Model (LCY)'!DR$4,'Model Assumptions'!$C$154:$P$154,0))</f>
        <v>200</v>
      </c>
      <c r="DS323" s="593">
        <f>INDEX('Model Assumptions'!$C$154:$P$158,MATCH('Detailed Model (LCY)'!$G323,'Model Assumptions'!$C$154:$C$158,0),MATCH('Detailed Model (LCY)'!DS$4,'Model Assumptions'!$C$154:$P$154,0))</f>
        <v>200</v>
      </c>
      <c r="DT323" s="593">
        <f>INDEX('Model Assumptions'!$C$154:$P$158,MATCH('Detailed Model (LCY)'!$G323,'Model Assumptions'!$C$154:$C$158,0),MATCH('Detailed Model (LCY)'!DT$4,'Model Assumptions'!$C$154:$P$154,0))</f>
        <v>200</v>
      </c>
      <c r="DU323" s="593">
        <f>INDEX('Model Assumptions'!$C$154:$P$158,MATCH('Detailed Model (LCY)'!$G323,'Model Assumptions'!$C$154:$C$158,0),MATCH('Detailed Model (LCY)'!DU$4,'Model Assumptions'!$C$154:$P$154,0))</f>
        <v>200</v>
      </c>
      <c r="DV323" s="593">
        <f>INDEX('Model Assumptions'!$C$154:$P$158,MATCH('Detailed Model (LCY)'!$G323,'Model Assumptions'!$C$154:$C$158,0),MATCH('Detailed Model (LCY)'!DV$4,'Model Assumptions'!$C$154:$P$154,0))</f>
        <v>200</v>
      </c>
      <c r="DW323" s="593">
        <f>INDEX('Model Assumptions'!$C$154:$P$158,MATCH('Detailed Model (LCY)'!$G323,'Model Assumptions'!$C$154:$C$158,0),MATCH('Detailed Model (LCY)'!DW$4,'Model Assumptions'!$C$154:$P$154,0))</f>
        <v>200</v>
      </c>
      <c r="DX323" s="593">
        <f>INDEX('Model Assumptions'!$C$154:$P$158,MATCH('Detailed Model (LCY)'!$G323,'Model Assumptions'!$C$154:$C$158,0),MATCH('Detailed Model (LCY)'!DX$4,'Model Assumptions'!$C$154:$P$154,0))</f>
        <v>200</v>
      </c>
      <c r="DY323" s="593">
        <f>INDEX('Model Assumptions'!$C$154:$P$158,MATCH('Detailed Model (LCY)'!$G323,'Model Assumptions'!$C$154:$C$158,0),MATCH('Detailed Model (LCY)'!DY$4,'Model Assumptions'!$C$154:$P$154,0))</f>
        <v>200</v>
      </c>
    </row>
    <row r="324" spans="1:129" outlineLevel="1">
      <c r="F324" s="9"/>
      <c r="G324" s="260" t="s">
        <v>604</v>
      </c>
      <c r="J324" s="594">
        <f>INDEX('Model Assumptions'!$C$154:$P$158,MATCH('Detailed Model (LCY)'!$G324,'Model Assumptions'!$C$154:$C$158,0),MATCH('Detailed Model (LCY)'!J$4,'Model Assumptions'!$C$154:$P$154,0))</f>
        <v>0.35</v>
      </c>
      <c r="K324" s="594">
        <f>INDEX('Model Assumptions'!$C$154:$P$158,MATCH('Detailed Model (LCY)'!$G324,'Model Assumptions'!$C$154:$C$158,0),MATCH('Detailed Model (LCY)'!K$4,'Model Assumptions'!$C$154:$P$154,0))</f>
        <v>0.35</v>
      </c>
      <c r="L324" s="594">
        <f>INDEX('Model Assumptions'!$C$154:$P$158,MATCH('Detailed Model (LCY)'!$G324,'Model Assumptions'!$C$154:$C$158,0),MATCH('Detailed Model (LCY)'!L$4,'Model Assumptions'!$C$154:$P$154,0))</f>
        <v>0.35</v>
      </c>
      <c r="M324" s="594">
        <f>INDEX('Model Assumptions'!$C$154:$P$158,MATCH('Detailed Model (LCY)'!$G324,'Model Assumptions'!$C$154:$C$158,0),MATCH('Detailed Model (LCY)'!M$4,'Model Assumptions'!$C$154:$P$154,0))</f>
        <v>0.35</v>
      </c>
      <c r="N324" s="594">
        <f>INDEX('Model Assumptions'!$C$154:$P$158,MATCH('Detailed Model (LCY)'!$G324,'Model Assumptions'!$C$154:$C$158,0),MATCH('Detailed Model (LCY)'!N$4,'Model Assumptions'!$C$154:$P$154,0))</f>
        <v>0.35</v>
      </c>
      <c r="O324" s="594">
        <f>INDEX('Model Assumptions'!$C$154:$P$158,MATCH('Detailed Model (LCY)'!$G324,'Model Assumptions'!$C$154:$C$158,0),MATCH('Detailed Model (LCY)'!O$4,'Model Assumptions'!$C$154:$P$154,0))</f>
        <v>0.35</v>
      </c>
      <c r="P324" s="594">
        <f>INDEX('Model Assumptions'!$C$154:$P$158,MATCH('Detailed Model (LCY)'!$G324,'Model Assumptions'!$C$154:$C$158,0),MATCH('Detailed Model (LCY)'!P$4,'Model Assumptions'!$C$154:$P$154,0))</f>
        <v>0.35</v>
      </c>
      <c r="Q324" s="594">
        <f>INDEX('Model Assumptions'!$C$154:$P$158,MATCH('Detailed Model (LCY)'!$G324,'Model Assumptions'!$C$154:$C$158,0),MATCH('Detailed Model (LCY)'!Q$4,'Model Assumptions'!$C$154:$P$154,0))</f>
        <v>0.35</v>
      </c>
      <c r="R324" s="594">
        <f>INDEX('Model Assumptions'!$C$154:$P$158,MATCH('Detailed Model (LCY)'!$G324,'Model Assumptions'!$C$154:$C$158,0),MATCH('Detailed Model (LCY)'!R$4,'Model Assumptions'!$C$154:$P$154,0))</f>
        <v>0.35</v>
      </c>
      <c r="S324" s="594">
        <f>INDEX('Model Assumptions'!$C$154:$P$158,MATCH('Detailed Model (LCY)'!$G324,'Model Assumptions'!$C$154:$C$158,0),MATCH('Detailed Model (LCY)'!S$4,'Model Assumptions'!$C$154:$P$154,0))</f>
        <v>0.35</v>
      </c>
      <c r="T324" s="594">
        <f>INDEX('Model Assumptions'!$C$154:$P$158,MATCH('Detailed Model (LCY)'!$G324,'Model Assumptions'!$C$154:$C$158,0),MATCH('Detailed Model (LCY)'!T$4,'Model Assumptions'!$C$154:$P$154,0))</f>
        <v>0.35</v>
      </c>
      <c r="U324" s="594">
        <f>INDEX('Model Assumptions'!$C$154:$P$158,MATCH('Detailed Model (LCY)'!$G324,'Model Assumptions'!$C$154:$C$158,0),MATCH('Detailed Model (LCY)'!U$4,'Model Assumptions'!$C$154:$P$154,0))</f>
        <v>0.35</v>
      </c>
      <c r="V324" s="594">
        <f>INDEX('Model Assumptions'!$C$154:$P$158,MATCH('Detailed Model (LCY)'!$G324,'Model Assumptions'!$C$154:$C$158,0),MATCH('Detailed Model (LCY)'!V$4,'Model Assumptions'!$C$154:$P$154,0))</f>
        <v>0.4</v>
      </c>
      <c r="W324" s="594">
        <f>INDEX('Model Assumptions'!$C$154:$P$158,MATCH('Detailed Model (LCY)'!$G324,'Model Assumptions'!$C$154:$C$158,0),MATCH('Detailed Model (LCY)'!W$4,'Model Assumptions'!$C$154:$P$154,0))</f>
        <v>0.4</v>
      </c>
      <c r="X324" s="594">
        <f>INDEX('Model Assumptions'!$C$154:$P$158,MATCH('Detailed Model (LCY)'!$G324,'Model Assumptions'!$C$154:$C$158,0),MATCH('Detailed Model (LCY)'!X$4,'Model Assumptions'!$C$154:$P$154,0))</f>
        <v>0.4</v>
      </c>
      <c r="Y324" s="594">
        <f>INDEX('Model Assumptions'!$C$154:$P$158,MATCH('Detailed Model (LCY)'!$G324,'Model Assumptions'!$C$154:$C$158,0),MATCH('Detailed Model (LCY)'!Y$4,'Model Assumptions'!$C$154:$P$154,0))</f>
        <v>0.4</v>
      </c>
      <c r="Z324" s="594">
        <f>INDEX('Model Assumptions'!$C$154:$P$158,MATCH('Detailed Model (LCY)'!$G324,'Model Assumptions'!$C$154:$C$158,0),MATCH('Detailed Model (LCY)'!Z$4,'Model Assumptions'!$C$154:$P$154,0))</f>
        <v>0.4</v>
      </c>
      <c r="AA324" s="594">
        <f>INDEX('Model Assumptions'!$C$154:$P$158,MATCH('Detailed Model (LCY)'!$G324,'Model Assumptions'!$C$154:$C$158,0),MATCH('Detailed Model (LCY)'!AA$4,'Model Assumptions'!$C$154:$P$154,0))</f>
        <v>0.4</v>
      </c>
      <c r="AB324" s="594">
        <f>INDEX('Model Assumptions'!$C$154:$P$158,MATCH('Detailed Model (LCY)'!$G324,'Model Assumptions'!$C$154:$C$158,0),MATCH('Detailed Model (LCY)'!AB$4,'Model Assumptions'!$C$154:$P$154,0))</f>
        <v>0.4</v>
      </c>
      <c r="AC324" s="594">
        <f>INDEX('Model Assumptions'!$C$154:$P$158,MATCH('Detailed Model (LCY)'!$G324,'Model Assumptions'!$C$154:$C$158,0),MATCH('Detailed Model (LCY)'!AC$4,'Model Assumptions'!$C$154:$P$154,0))</f>
        <v>0.4</v>
      </c>
      <c r="AD324" s="594">
        <f>INDEX('Model Assumptions'!$C$154:$P$158,MATCH('Detailed Model (LCY)'!$G324,'Model Assumptions'!$C$154:$C$158,0),MATCH('Detailed Model (LCY)'!AD$4,'Model Assumptions'!$C$154:$P$154,0))</f>
        <v>0.4</v>
      </c>
      <c r="AE324" s="594">
        <f>INDEX('Model Assumptions'!$C$154:$P$158,MATCH('Detailed Model (LCY)'!$G324,'Model Assumptions'!$C$154:$C$158,0),MATCH('Detailed Model (LCY)'!AE$4,'Model Assumptions'!$C$154:$P$154,0))</f>
        <v>0.4</v>
      </c>
      <c r="AF324" s="594">
        <f>INDEX('Model Assumptions'!$C$154:$P$158,MATCH('Detailed Model (LCY)'!$G324,'Model Assumptions'!$C$154:$C$158,0),MATCH('Detailed Model (LCY)'!AF$4,'Model Assumptions'!$C$154:$P$154,0))</f>
        <v>0.4</v>
      </c>
      <c r="AG324" s="594">
        <f>INDEX('Model Assumptions'!$C$154:$P$158,MATCH('Detailed Model (LCY)'!$G324,'Model Assumptions'!$C$154:$C$158,0),MATCH('Detailed Model (LCY)'!AG$4,'Model Assumptions'!$C$154:$P$154,0))</f>
        <v>0.4</v>
      </c>
      <c r="AH324" s="594">
        <f>INDEX('Model Assumptions'!$C$154:$P$158,MATCH('Detailed Model (LCY)'!$G324,'Model Assumptions'!$C$154:$C$158,0),MATCH('Detailed Model (LCY)'!AH$4,'Model Assumptions'!$C$154:$P$154,0))</f>
        <v>0.45</v>
      </c>
      <c r="AI324" s="594">
        <f>INDEX('Model Assumptions'!$C$154:$P$158,MATCH('Detailed Model (LCY)'!$G324,'Model Assumptions'!$C$154:$C$158,0),MATCH('Detailed Model (LCY)'!AI$4,'Model Assumptions'!$C$154:$P$154,0))</f>
        <v>0.45</v>
      </c>
      <c r="AJ324" s="594">
        <f>INDEX('Model Assumptions'!$C$154:$P$158,MATCH('Detailed Model (LCY)'!$G324,'Model Assumptions'!$C$154:$C$158,0),MATCH('Detailed Model (LCY)'!AJ$4,'Model Assumptions'!$C$154:$P$154,0))</f>
        <v>0.45</v>
      </c>
      <c r="AK324" s="594">
        <f>INDEX('Model Assumptions'!$C$154:$P$158,MATCH('Detailed Model (LCY)'!$G324,'Model Assumptions'!$C$154:$C$158,0),MATCH('Detailed Model (LCY)'!AK$4,'Model Assumptions'!$C$154:$P$154,0))</f>
        <v>0.45</v>
      </c>
      <c r="AL324" s="594">
        <f>INDEX('Model Assumptions'!$C$154:$P$158,MATCH('Detailed Model (LCY)'!$G324,'Model Assumptions'!$C$154:$C$158,0),MATCH('Detailed Model (LCY)'!AL$4,'Model Assumptions'!$C$154:$P$154,0))</f>
        <v>0.45</v>
      </c>
      <c r="AM324" s="594">
        <f>INDEX('Model Assumptions'!$C$154:$P$158,MATCH('Detailed Model (LCY)'!$G324,'Model Assumptions'!$C$154:$C$158,0),MATCH('Detailed Model (LCY)'!AM$4,'Model Assumptions'!$C$154:$P$154,0))</f>
        <v>0.45</v>
      </c>
      <c r="AN324" s="594">
        <f>INDEX('Model Assumptions'!$C$154:$P$158,MATCH('Detailed Model (LCY)'!$G324,'Model Assumptions'!$C$154:$C$158,0),MATCH('Detailed Model (LCY)'!AN$4,'Model Assumptions'!$C$154:$P$154,0))</f>
        <v>0.45</v>
      </c>
      <c r="AO324" s="594">
        <f>INDEX('Model Assumptions'!$C$154:$P$158,MATCH('Detailed Model (LCY)'!$G324,'Model Assumptions'!$C$154:$C$158,0),MATCH('Detailed Model (LCY)'!AO$4,'Model Assumptions'!$C$154:$P$154,0))</f>
        <v>0.45</v>
      </c>
      <c r="AP324" s="594">
        <f>INDEX('Model Assumptions'!$C$154:$P$158,MATCH('Detailed Model (LCY)'!$G324,'Model Assumptions'!$C$154:$C$158,0),MATCH('Detailed Model (LCY)'!AP$4,'Model Assumptions'!$C$154:$P$154,0))</f>
        <v>0.45</v>
      </c>
      <c r="AQ324" s="594">
        <f>INDEX('Model Assumptions'!$C$154:$P$158,MATCH('Detailed Model (LCY)'!$G324,'Model Assumptions'!$C$154:$C$158,0),MATCH('Detailed Model (LCY)'!AQ$4,'Model Assumptions'!$C$154:$P$154,0))</f>
        <v>0.45</v>
      </c>
      <c r="AR324" s="594">
        <f>INDEX('Model Assumptions'!$C$154:$P$158,MATCH('Detailed Model (LCY)'!$G324,'Model Assumptions'!$C$154:$C$158,0),MATCH('Detailed Model (LCY)'!AR$4,'Model Assumptions'!$C$154:$P$154,0))</f>
        <v>0.45</v>
      </c>
      <c r="AS324" s="594">
        <f>INDEX('Model Assumptions'!$C$154:$P$158,MATCH('Detailed Model (LCY)'!$G324,'Model Assumptions'!$C$154:$C$158,0),MATCH('Detailed Model (LCY)'!AS$4,'Model Assumptions'!$C$154:$P$154,0))</f>
        <v>0.45</v>
      </c>
      <c r="AT324" s="594">
        <f>INDEX('Model Assumptions'!$C$154:$P$158,MATCH('Detailed Model (LCY)'!$G324,'Model Assumptions'!$C$154:$C$158,0),MATCH('Detailed Model (LCY)'!AT$4,'Model Assumptions'!$C$154:$P$154,0))</f>
        <v>0.5</v>
      </c>
      <c r="AU324" s="594">
        <f>INDEX('Model Assumptions'!$C$154:$P$158,MATCH('Detailed Model (LCY)'!$G324,'Model Assumptions'!$C$154:$C$158,0),MATCH('Detailed Model (LCY)'!AU$4,'Model Assumptions'!$C$154:$P$154,0))</f>
        <v>0.5</v>
      </c>
      <c r="AV324" s="594">
        <f>INDEX('Model Assumptions'!$C$154:$P$158,MATCH('Detailed Model (LCY)'!$G324,'Model Assumptions'!$C$154:$C$158,0),MATCH('Detailed Model (LCY)'!AV$4,'Model Assumptions'!$C$154:$P$154,0))</f>
        <v>0.5</v>
      </c>
      <c r="AW324" s="594">
        <f>INDEX('Model Assumptions'!$C$154:$P$158,MATCH('Detailed Model (LCY)'!$G324,'Model Assumptions'!$C$154:$C$158,0),MATCH('Detailed Model (LCY)'!AW$4,'Model Assumptions'!$C$154:$P$154,0))</f>
        <v>0.5</v>
      </c>
      <c r="AX324" s="594">
        <f>INDEX('Model Assumptions'!$C$154:$P$158,MATCH('Detailed Model (LCY)'!$G324,'Model Assumptions'!$C$154:$C$158,0),MATCH('Detailed Model (LCY)'!AX$4,'Model Assumptions'!$C$154:$P$154,0))</f>
        <v>0.5</v>
      </c>
      <c r="AY324" s="594">
        <f>INDEX('Model Assumptions'!$C$154:$P$158,MATCH('Detailed Model (LCY)'!$G324,'Model Assumptions'!$C$154:$C$158,0),MATCH('Detailed Model (LCY)'!AY$4,'Model Assumptions'!$C$154:$P$154,0))</f>
        <v>0.5</v>
      </c>
      <c r="AZ324" s="594">
        <f>INDEX('Model Assumptions'!$C$154:$P$158,MATCH('Detailed Model (LCY)'!$G324,'Model Assumptions'!$C$154:$C$158,0),MATCH('Detailed Model (LCY)'!AZ$4,'Model Assumptions'!$C$154:$P$154,0))</f>
        <v>0.5</v>
      </c>
      <c r="BA324" s="594">
        <f>INDEX('Model Assumptions'!$C$154:$P$158,MATCH('Detailed Model (LCY)'!$G324,'Model Assumptions'!$C$154:$C$158,0),MATCH('Detailed Model (LCY)'!BA$4,'Model Assumptions'!$C$154:$P$154,0))</f>
        <v>0.5</v>
      </c>
      <c r="BB324" s="594">
        <f>INDEX('Model Assumptions'!$C$154:$P$158,MATCH('Detailed Model (LCY)'!$G324,'Model Assumptions'!$C$154:$C$158,0),MATCH('Detailed Model (LCY)'!BB$4,'Model Assumptions'!$C$154:$P$154,0))</f>
        <v>0.5</v>
      </c>
      <c r="BC324" s="594">
        <f>INDEX('Model Assumptions'!$C$154:$P$158,MATCH('Detailed Model (LCY)'!$G324,'Model Assumptions'!$C$154:$C$158,0),MATCH('Detailed Model (LCY)'!BC$4,'Model Assumptions'!$C$154:$P$154,0))</f>
        <v>0.5</v>
      </c>
      <c r="BD324" s="594">
        <f>INDEX('Model Assumptions'!$C$154:$P$158,MATCH('Detailed Model (LCY)'!$G324,'Model Assumptions'!$C$154:$C$158,0),MATCH('Detailed Model (LCY)'!BD$4,'Model Assumptions'!$C$154:$P$154,0))</f>
        <v>0.5</v>
      </c>
      <c r="BE324" s="594">
        <f>INDEX('Model Assumptions'!$C$154:$P$158,MATCH('Detailed Model (LCY)'!$G324,'Model Assumptions'!$C$154:$C$158,0),MATCH('Detailed Model (LCY)'!BE$4,'Model Assumptions'!$C$154:$P$154,0))</f>
        <v>0.5</v>
      </c>
      <c r="BF324" s="594">
        <f>INDEX('Model Assumptions'!$C$154:$P$158,MATCH('Detailed Model (LCY)'!$G324,'Model Assumptions'!$C$154:$C$158,0),MATCH('Detailed Model (LCY)'!BF$4,'Model Assumptions'!$C$154:$P$154,0))</f>
        <v>0.5</v>
      </c>
      <c r="BG324" s="594">
        <f>INDEX('Model Assumptions'!$C$154:$P$158,MATCH('Detailed Model (LCY)'!$G324,'Model Assumptions'!$C$154:$C$158,0),MATCH('Detailed Model (LCY)'!BG$4,'Model Assumptions'!$C$154:$P$154,0))</f>
        <v>0.5</v>
      </c>
      <c r="BH324" s="594">
        <f>INDEX('Model Assumptions'!$C$154:$P$158,MATCH('Detailed Model (LCY)'!$G324,'Model Assumptions'!$C$154:$C$158,0),MATCH('Detailed Model (LCY)'!BH$4,'Model Assumptions'!$C$154:$P$154,0))</f>
        <v>0.5</v>
      </c>
      <c r="BI324" s="594">
        <f>INDEX('Model Assumptions'!$C$154:$P$158,MATCH('Detailed Model (LCY)'!$G324,'Model Assumptions'!$C$154:$C$158,0),MATCH('Detailed Model (LCY)'!BI$4,'Model Assumptions'!$C$154:$P$154,0))</f>
        <v>0.5</v>
      </c>
      <c r="BJ324" s="594">
        <f>INDEX('Model Assumptions'!$C$154:$P$158,MATCH('Detailed Model (LCY)'!$G324,'Model Assumptions'!$C$154:$C$158,0),MATCH('Detailed Model (LCY)'!BJ$4,'Model Assumptions'!$C$154:$P$154,0))</f>
        <v>0.5</v>
      </c>
      <c r="BK324" s="594">
        <f>INDEX('Model Assumptions'!$C$154:$P$158,MATCH('Detailed Model (LCY)'!$G324,'Model Assumptions'!$C$154:$C$158,0),MATCH('Detailed Model (LCY)'!BK$4,'Model Assumptions'!$C$154:$P$154,0))</f>
        <v>0.5</v>
      </c>
      <c r="BL324" s="594">
        <f>INDEX('Model Assumptions'!$C$154:$P$158,MATCH('Detailed Model (LCY)'!$G324,'Model Assumptions'!$C$154:$C$158,0),MATCH('Detailed Model (LCY)'!BL$4,'Model Assumptions'!$C$154:$P$154,0))</f>
        <v>0.5</v>
      </c>
      <c r="BM324" s="594">
        <f>INDEX('Model Assumptions'!$C$154:$P$158,MATCH('Detailed Model (LCY)'!$G324,'Model Assumptions'!$C$154:$C$158,0),MATCH('Detailed Model (LCY)'!BM$4,'Model Assumptions'!$C$154:$P$154,0))</f>
        <v>0.5</v>
      </c>
      <c r="BN324" s="594">
        <f>INDEX('Model Assumptions'!$C$154:$P$158,MATCH('Detailed Model (LCY)'!$G324,'Model Assumptions'!$C$154:$C$158,0),MATCH('Detailed Model (LCY)'!BN$4,'Model Assumptions'!$C$154:$P$154,0))</f>
        <v>0.5</v>
      </c>
      <c r="BO324" s="594">
        <f>INDEX('Model Assumptions'!$C$154:$P$158,MATCH('Detailed Model (LCY)'!$G324,'Model Assumptions'!$C$154:$C$158,0),MATCH('Detailed Model (LCY)'!BO$4,'Model Assumptions'!$C$154:$P$154,0))</f>
        <v>0.5</v>
      </c>
      <c r="BP324" s="594">
        <f>INDEX('Model Assumptions'!$C$154:$P$158,MATCH('Detailed Model (LCY)'!$G324,'Model Assumptions'!$C$154:$C$158,0),MATCH('Detailed Model (LCY)'!BP$4,'Model Assumptions'!$C$154:$P$154,0))</f>
        <v>0.5</v>
      </c>
      <c r="BQ324" s="594">
        <f>INDEX('Model Assumptions'!$C$154:$P$158,MATCH('Detailed Model (LCY)'!$G324,'Model Assumptions'!$C$154:$C$158,0),MATCH('Detailed Model (LCY)'!BQ$4,'Model Assumptions'!$C$154:$P$154,0))</f>
        <v>0.5</v>
      </c>
      <c r="BR324" s="594">
        <f>INDEX('Model Assumptions'!$C$154:$P$158,MATCH('Detailed Model (LCY)'!$G324,'Model Assumptions'!$C$154:$C$158,0),MATCH('Detailed Model (LCY)'!BR$4,'Model Assumptions'!$C$154:$P$154,0))</f>
        <v>0.5</v>
      </c>
      <c r="BS324" s="594">
        <f>INDEX('Model Assumptions'!$C$154:$P$158,MATCH('Detailed Model (LCY)'!$G324,'Model Assumptions'!$C$154:$C$158,0),MATCH('Detailed Model (LCY)'!BS$4,'Model Assumptions'!$C$154:$P$154,0))</f>
        <v>0.5</v>
      </c>
      <c r="BT324" s="594">
        <f>INDEX('Model Assumptions'!$C$154:$P$158,MATCH('Detailed Model (LCY)'!$G324,'Model Assumptions'!$C$154:$C$158,0),MATCH('Detailed Model (LCY)'!BT$4,'Model Assumptions'!$C$154:$P$154,0))</f>
        <v>0.5</v>
      </c>
      <c r="BU324" s="594">
        <f>INDEX('Model Assumptions'!$C$154:$P$158,MATCH('Detailed Model (LCY)'!$G324,'Model Assumptions'!$C$154:$C$158,0),MATCH('Detailed Model (LCY)'!BU$4,'Model Assumptions'!$C$154:$P$154,0))</f>
        <v>0.5</v>
      </c>
      <c r="BV324" s="594">
        <f>INDEX('Model Assumptions'!$C$154:$P$158,MATCH('Detailed Model (LCY)'!$G324,'Model Assumptions'!$C$154:$C$158,0),MATCH('Detailed Model (LCY)'!BV$4,'Model Assumptions'!$C$154:$P$154,0))</f>
        <v>0.5</v>
      </c>
      <c r="BW324" s="594">
        <f>INDEX('Model Assumptions'!$C$154:$P$158,MATCH('Detailed Model (LCY)'!$G324,'Model Assumptions'!$C$154:$C$158,0),MATCH('Detailed Model (LCY)'!BW$4,'Model Assumptions'!$C$154:$P$154,0))</f>
        <v>0.5</v>
      </c>
      <c r="BX324" s="594">
        <f>INDEX('Model Assumptions'!$C$154:$P$158,MATCH('Detailed Model (LCY)'!$G324,'Model Assumptions'!$C$154:$C$158,0),MATCH('Detailed Model (LCY)'!BX$4,'Model Assumptions'!$C$154:$P$154,0))</f>
        <v>0.5</v>
      </c>
      <c r="BY324" s="594">
        <f>INDEX('Model Assumptions'!$C$154:$P$158,MATCH('Detailed Model (LCY)'!$G324,'Model Assumptions'!$C$154:$C$158,0),MATCH('Detailed Model (LCY)'!BY$4,'Model Assumptions'!$C$154:$P$154,0))</f>
        <v>0.5</v>
      </c>
      <c r="BZ324" s="594">
        <f>INDEX('Model Assumptions'!$C$154:$P$158,MATCH('Detailed Model (LCY)'!$G324,'Model Assumptions'!$C$154:$C$158,0),MATCH('Detailed Model (LCY)'!BZ$4,'Model Assumptions'!$C$154:$P$154,0))</f>
        <v>0.5</v>
      </c>
      <c r="CA324" s="594">
        <f>INDEX('Model Assumptions'!$C$154:$P$158,MATCH('Detailed Model (LCY)'!$G324,'Model Assumptions'!$C$154:$C$158,0),MATCH('Detailed Model (LCY)'!CA$4,'Model Assumptions'!$C$154:$P$154,0))</f>
        <v>0.5</v>
      </c>
      <c r="CB324" s="594">
        <f>INDEX('Model Assumptions'!$C$154:$P$158,MATCH('Detailed Model (LCY)'!$G324,'Model Assumptions'!$C$154:$C$158,0),MATCH('Detailed Model (LCY)'!CB$4,'Model Assumptions'!$C$154:$P$154,0))</f>
        <v>0.5</v>
      </c>
      <c r="CC324" s="594">
        <f>INDEX('Model Assumptions'!$C$154:$P$158,MATCH('Detailed Model (LCY)'!$G324,'Model Assumptions'!$C$154:$C$158,0),MATCH('Detailed Model (LCY)'!CC$4,'Model Assumptions'!$C$154:$P$154,0))</f>
        <v>0.5</v>
      </c>
      <c r="CD324" s="594">
        <f>INDEX('Model Assumptions'!$C$154:$P$158,MATCH('Detailed Model (LCY)'!$G324,'Model Assumptions'!$C$154:$C$158,0),MATCH('Detailed Model (LCY)'!CD$4,'Model Assumptions'!$C$154:$P$154,0))</f>
        <v>0.5</v>
      </c>
      <c r="CE324" s="594">
        <f>INDEX('Model Assumptions'!$C$154:$P$158,MATCH('Detailed Model (LCY)'!$G324,'Model Assumptions'!$C$154:$C$158,0),MATCH('Detailed Model (LCY)'!CE$4,'Model Assumptions'!$C$154:$P$154,0))</f>
        <v>0.5</v>
      </c>
      <c r="CF324" s="594">
        <f>INDEX('Model Assumptions'!$C$154:$P$158,MATCH('Detailed Model (LCY)'!$G324,'Model Assumptions'!$C$154:$C$158,0),MATCH('Detailed Model (LCY)'!CF$4,'Model Assumptions'!$C$154:$P$154,0))</f>
        <v>0.5</v>
      </c>
      <c r="CG324" s="594">
        <f>INDEX('Model Assumptions'!$C$154:$P$158,MATCH('Detailed Model (LCY)'!$G324,'Model Assumptions'!$C$154:$C$158,0),MATCH('Detailed Model (LCY)'!CG$4,'Model Assumptions'!$C$154:$P$154,0))</f>
        <v>0.5</v>
      </c>
      <c r="CH324" s="594">
        <f>INDEX('Model Assumptions'!$C$154:$P$158,MATCH('Detailed Model (LCY)'!$G324,'Model Assumptions'!$C$154:$C$158,0),MATCH('Detailed Model (LCY)'!CH$4,'Model Assumptions'!$C$154:$P$154,0))</f>
        <v>0.5</v>
      </c>
      <c r="CI324" s="594">
        <f>INDEX('Model Assumptions'!$C$154:$P$158,MATCH('Detailed Model (LCY)'!$G324,'Model Assumptions'!$C$154:$C$158,0),MATCH('Detailed Model (LCY)'!CI$4,'Model Assumptions'!$C$154:$P$154,0))</f>
        <v>0.5</v>
      </c>
      <c r="CJ324" s="594">
        <f>INDEX('Model Assumptions'!$C$154:$P$158,MATCH('Detailed Model (LCY)'!$G324,'Model Assumptions'!$C$154:$C$158,0),MATCH('Detailed Model (LCY)'!CJ$4,'Model Assumptions'!$C$154:$P$154,0))</f>
        <v>0.5</v>
      </c>
      <c r="CK324" s="594">
        <f>INDEX('Model Assumptions'!$C$154:$P$158,MATCH('Detailed Model (LCY)'!$G324,'Model Assumptions'!$C$154:$C$158,0),MATCH('Detailed Model (LCY)'!CK$4,'Model Assumptions'!$C$154:$P$154,0))</f>
        <v>0.5</v>
      </c>
      <c r="CL324" s="594">
        <f>INDEX('Model Assumptions'!$C$154:$P$158,MATCH('Detailed Model (LCY)'!$G324,'Model Assumptions'!$C$154:$C$158,0),MATCH('Detailed Model (LCY)'!CL$4,'Model Assumptions'!$C$154:$P$154,0))</f>
        <v>0.5</v>
      </c>
      <c r="CM324" s="594">
        <f>INDEX('Model Assumptions'!$C$154:$P$158,MATCH('Detailed Model (LCY)'!$G324,'Model Assumptions'!$C$154:$C$158,0),MATCH('Detailed Model (LCY)'!CM$4,'Model Assumptions'!$C$154:$P$154,0))</f>
        <v>0.5</v>
      </c>
      <c r="CN324" s="594">
        <f>INDEX('Model Assumptions'!$C$154:$P$158,MATCH('Detailed Model (LCY)'!$G324,'Model Assumptions'!$C$154:$C$158,0),MATCH('Detailed Model (LCY)'!CN$4,'Model Assumptions'!$C$154:$P$154,0))</f>
        <v>0.5</v>
      </c>
      <c r="CO324" s="594">
        <f>INDEX('Model Assumptions'!$C$154:$P$158,MATCH('Detailed Model (LCY)'!$G324,'Model Assumptions'!$C$154:$C$158,0),MATCH('Detailed Model (LCY)'!CO$4,'Model Assumptions'!$C$154:$P$154,0))</f>
        <v>0.5</v>
      </c>
      <c r="CP324" s="594">
        <f>INDEX('Model Assumptions'!$C$154:$P$158,MATCH('Detailed Model (LCY)'!$G324,'Model Assumptions'!$C$154:$C$158,0),MATCH('Detailed Model (LCY)'!CP$4,'Model Assumptions'!$C$154:$P$154,0))</f>
        <v>0.5</v>
      </c>
      <c r="CQ324" s="594">
        <f>INDEX('Model Assumptions'!$C$154:$P$158,MATCH('Detailed Model (LCY)'!$G324,'Model Assumptions'!$C$154:$C$158,0),MATCH('Detailed Model (LCY)'!CQ$4,'Model Assumptions'!$C$154:$P$154,0))</f>
        <v>0.5</v>
      </c>
      <c r="CR324" s="594">
        <f>INDEX('Model Assumptions'!$C$154:$P$158,MATCH('Detailed Model (LCY)'!$G324,'Model Assumptions'!$C$154:$C$158,0),MATCH('Detailed Model (LCY)'!CR$4,'Model Assumptions'!$C$154:$P$154,0))</f>
        <v>0.5</v>
      </c>
      <c r="CS324" s="594">
        <f>INDEX('Model Assumptions'!$C$154:$P$158,MATCH('Detailed Model (LCY)'!$G324,'Model Assumptions'!$C$154:$C$158,0),MATCH('Detailed Model (LCY)'!CS$4,'Model Assumptions'!$C$154:$P$154,0))</f>
        <v>0.5</v>
      </c>
      <c r="CT324" s="594">
        <f>INDEX('Model Assumptions'!$C$154:$P$158,MATCH('Detailed Model (LCY)'!$G324,'Model Assumptions'!$C$154:$C$158,0),MATCH('Detailed Model (LCY)'!CT$4,'Model Assumptions'!$C$154:$P$154,0))</f>
        <v>0.5</v>
      </c>
      <c r="CU324" s="594">
        <f>INDEX('Model Assumptions'!$C$154:$P$158,MATCH('Detailed Model (LCY)'!$G324,'Model Assumptions'!$C$154:$C$158,0),MATCH('Detailed Model (LCY)'!CU$4,'Model Assumptions'!$C$154:$P$154,0))</f>
        <v>0.5</v>
      </c>
      <c r="CV324" s="594">
        <f>INDEX('Model Assumptions'!$C$154:$P$158,MATCH('Detailed Model (LCY)'!$G324,'Model Assumptions'!$C$154:$C$158,0),MATCH('Detailed Model (LCY)'!CV$4,'Model Assumptions'!$C$154:$P$154,0))</f>
        <v>0.5</v>
      </c>
      <c r="CW324" s="594">
        <f>INDEX('Model Assumptions'!$C$154:$P$158,MATCH('Detailed Model (LCY)'!$G324,'Model Assumptions'!$C$154:$C$158,0),MATCH('Detailed Model (LCY)'!CW$4,'Model Assumptions'!$C$154:$P$154,0))</f>
        <v>0.5</v>
      </c>
      <c r="CX324" s="594">
        <f>INDEX('Model Assumptions'!$C$154:$P$158,MATCH('Detailed Model (LCY)'!$G324,'Model Assumptions'!$C$154:$C$158,0),MATCH('Detailed Model (LCY)'!CX$4,'Model Assumptions'!$C$154:$P$154,0))</f>
        <v>0.5</v>
      </c>
      <c r="CY324" s="594">
        <f>INDEX('Model Assumptions'!$C$154:$P$158,MATCH('Detailed Model (LCY)'!$G324,'Model Assumptions'!$C$154:$C$158,0),MATCH('Detailed Model (LCY)'!CY$4,'Model Assumptions'!$C$154:$P$154,0))</f>
        <v>0.5</v>
      </c>
      <c r="CZ324" s="594">
        <f>INDEX('Model Assumptions'!$C$154:$P$158,MATCH('Detailed Model (LCY)'!$G324,'Model Assumptions'!$C$154:$C$158,0),MATCH('Detailed Model (LCY)'!CZ$4,'Model Assumptions'!$C$154:$P$154,0))</f>
        <v>0.5</v>
      </c>
      <c r="DA324" s="594">
        <f>INDEX('Model Assumptions'!$C$154:$P$158,MATCH('Detailed Model (LCY)'!$G324,'Model Assumptions'!$C$154:$C$158,0),MATCH('Detailed Model (LCY)'!DA$4,'Model Assumptions'!$C$154:$P$154,0))</f>
        <v>0.5</v>
      </c>
      <c r="DB324" s="594">
        <f>INDEX('Model Assumptions'!$C$154:$P$158,MATCH('Detailed Model (LCY)'!$G324,'Model Assumptions'!$C$154:$C$158,0),MATCH('Detailed Model (LCY)'!DB$4,'Model Assumptions'!$C$154:$P$154,0))</f>
        <v>0.5</v>
      </c>
      <c r="DC324" s="594">
        <f>INDEX('Model Assumptions'!$C$154:$P$158,MATCH('Detailed Model (LCY)'!$G324,'Model Assumptions'!$C$154:$C$158,0),MATCH('Detailed Model (LCY)'!DC$4,'Model Assumptions'!$C$154:$P$154,0))</f>
        <v>0.5</v>
      </c>
      <c r="DD324" s="594">
        <f>INDEX('Model Assumptions'!$C$154:$P$158,MATCH('Detailed Model (LCY)'!$G324,'Model Assumptions'!$C$154:$C$158,0),MATCH('Detailed Model (LCY)'!DD$4,'Model Assumptions'!$C$154:$P$154,0))</f>
        <v>0.5</v>
      </c>
      <c r="DE324" s="594">
        <f>INDEX('Model Assumptions'!$C$154:$P$158,MATCH('Detailed Model (LCY)'!$G324,'Model Assumptions'!$C$154:$C$158,0),MATCH('Detailed Model (LCY)'!DE$4,'Model Assumptions'!$C$154:$P$154,0))</f>
        <v>0.5</v>
      </c>
      <c r="DF324" s="594">
        <f>INDEX('Model Assumptions'!$C$154:$P$158,MATCH('Detailed Model (LCY)'!$G324,'Model Assumptions'!$C$154:$C$158,0),MATCH('Detailed Model (LCY)'!DF$4,'Model Assumptions'!$C$154:$P$154,0))</f>
        <v>0.5</v>
      </c>
      <c r="DG324" s="594">
        <f>INDEX('Model Assumptions'!$C$154:$P$158,MATCH('Detailed Model (LCY)'!$G324,'Model Assumptions'!$C$154:$C$158,0),MATCH('Detailed Model (LCY)'!DG$4,'Model Assumptions'!$C$154:$P$154,0))</f>
        <v>0.5</v>
      </c>
      <c r="DH324" s="594">
        <f>INDEX('Model Assumptions'!$C$154:$P$158,MATCH('Detailed Model (LCY)'!$G324,'Model Assumptions'!$C$154:$C$158,0),MATCH('Detailed Model (LCY)'!DH$4,'Model Assumptions'!$C$154:$P$154,0))</f>
        <v>0.5</v>
      </c>
      <c r="DI324" s="594">
        <f>INDEX('Model Assumptions'!$C$154:$P$158,MATCH('Detailed Model (LCY)'!$G324,'Model Assumptions'!$C$154:$C$158,0),MATCH('Detailed Model (LCY)'!DI$4,'Model Assumptions'!$C$154:$P$154,0))</f>
        <v>0.5</v>
      </c>
      <c r="DJ324" s="594">
        <f>INDEX('Model Assumptions'!$C$154:$P$158,MATCH('Detailed Model (LCY)'!$G324,'Model Assumptions'!$C$154:$C$158,0),MATCH('Detailed Model (LCY)'!DJ$4,'Model Assumptions'!$C$154:$P$154,0))</f>
        <v>0.5</v>
      </c>
      <c r="DK324" s="594">
        <f>INDEX('Model Assumptions'!$C$154:$P$158,MATCH('Detailed Model (LCY)'!$G324,'Model Assumptions'!$C$154:$C$158,0),MATCH('Detailed Model (LCY)'!DK$4,'Model Assumptions'!$C$154:$P$154,0))</f>
        <v>0.5</v>
      </c>
      <c r="DL324" s="594">
        <f>INDEX('Model Assumptions'!$C$154:$P$158,MATCH('Detailed Model (LCY)'!$G324,'Model Assumptions'!$C$154:$C$158,0),MATCH('Detailed Model (LCY)'!DL$4,'Model Assumptions'!$C$154:$P$154,0))</f>
        <v>0.5</v>
      </c>
      <c r="DM324" s="594">
        <f>INDEX('Model Assumptions'!$C$154:$P$158,MATCH('Detailed Model (LCY)'!$G324,'Model Assumptions'!$C$154:$C$158,0),MATCH('Detailed Model (LCY)'!DM$4,'Model Assumptions'!$C$154:$P$154,0))</f>
        <v>0.5</v>
      </c>
      <c r="DN324" s="594">
        <f>INDEX('Model Assumptions'!$C$154:$P$158,MATCH('Detailed Model (LCY)'!$G324,'Model Assumptions'!$C$154:$C$158,0),MATCH('Detailed Model (LCY)'!DN$4,'Model Assumptions'!$C$154:$P$154,0))</f>
        <v>0.5</v>
      </c>
      <c r="DO324" s="594">
        <f>INDEX('Model Assumptions'!$C$154:$P$158,MATCH('Detailed Model (LCY)'!$G324,'Model Assumptions'!$C$154:$C$158,0),MATCH('Detailed Model (LCY)'!DO$4,'Model Assumptions'!$C$154:$P$154,0))</f>
        <v>0.5</v>
      </c>
      <c r="DP324" s="594">
        <f>INDEX('Model Assumptions'!$C$154:$P$158,MATCH('Detailed Model (LCY)'!$G324,'Model Assumptions'!$C$154:$C$158,0),MATCH('Detailed Model (LCY)'!DP$4,'Model Assumptions'!$C$154:$P$154,0))</f>
        <v>0.5</v>
      </c>
      <c r="DQ324" s="594">
        <f>INDEX('Model Assumptions'!$C$154:$P$158,MATCH('Detailed Model (LCY)'!$G324,'Model Assumptions'!$C$154:$C$158,0),MATCH('Detailed Model (LCY)'!DQ$4,'Model Assumptions'!$C$154:$P$154,0))</f>
        <v>0.5</v>
      </c>
      <c r="DR324" s="594">
        <f>INDEX('Model Assumptions'!$C$154:$P$158,MATCH('Detailed Model (LCY)'!$G324,'Model Assumptions'!$C$154:$C$158,0),MATCH('Detailed Model (LCY)'!DR$4,'Model Assumptions'!$C$154:$P$154,0))</f>
        <v>0.5</v>
      </c>
      <c r="DS324" s="594">
        <f>INDEX('Model Assumptions'!$C$154:$P$158,MATCH('Detailed Model (LCY)'!$G324,'Model Assumptions'!$C$154:$C$158,0),MATCH('Detailed Model (LCY)'!DS$4,'Model Assumptions'!$C$154:$P$154,0))</f>
        <v>0.5</v>
      </c>
      <c r="DT324" s="594">
        <f>INDEX('Model Assumptions'!$C$154:$P$158,MATCH('Detailed Model (LCY)'!$G324,'Model Assumptions'!$C$154:$C$158,0),MATCH('Detailed Model (LCY)'!DT$4,'Model Assumptions'!$C$154:$P$154,0))</f>
        <v>0.5</v>
      </c>
      <c r="DU324" s="594">
        <f>INDEX('Model Assumptions'!$C$154:$P$158,MATCH('Detailed Model (LCY)'!$G324,'Model Assumptions'!$C$154:$C$158,0),MATCH('Detailed Model (LCY)'!DU$4,'Model Assumptions'!$C$154:$P$154,0))</f>
        <v>0.5</v>
      </c>
      <c r="DV324" s="594">
        <f>INDEX('Model Assumptions'!$C$154:$P$158,MATCH('Detailed Model (LCY)'!$G324,'Model Assumptions'!$C$154:$C$158,0),MATCH('Detailed Model (LCY)'!DV$4,'Model Assumptions'!$C$154:$P$154,0))</f>
        <v>0.5</v>
      </c>
      <c r="DW324" s="594">
        <f>INDEX('Model Assumptions'!$C$154:$P$158,MATCH('Detailed Model (LCY)'!$G324,'Model Assumptions'!$C$154:$C$158,0),MATCH('Detailed Model (LCY)'!DW$4,'Model Assumptions'!$C$154:$P$154,0))</f>
        <v>0.5</v>
      </c>
      <c r="DX324" s="594">
        <f>INDEX('Model Assumptions'!$C$154:$P$158,MATCH('Detailed Model (LCY)'!$G324,'Model Assumptions'!$C$154:$C$158,0),MATCH('Detailed Model (LCY)'!DX$4,'Model Assumptions'!$C$154:$P$154,0))</f>
        <v>0.5</v>
      </c>
      <c r="DY324" s="594">
        <f>INDEX('Model Assumptions'!$C$154:$P$158,MATCH('Detailed Model (LCY)'!$G324,'Model Assumptions'!$C$154:$C$158,0),MATCH('Detailed Model (LCY)'!DY$4,'Model Assumptions'!$C$154:$P$154,0))</f>
        <v>0.5</v>
      </c>
    </row>
    <row r="325" spans="1:129" outlineLevel="1">
      <c r="D325" s="5" t="s">
        <v>197</v>
      </c>
      <c r="G325" s="62"/>
      <c r="H325" s="202"/>
      <c r="I325" s="450">
        <f>SUM('Model Assumptions'!G27:K27)</f>
        <v>9000</v>
      </c>
      <c r="J325" s="35">
        <f t="shared" ref="J325:AO325" ca="1" si="696">+I325+_TotalNewInstallations</f>
        <v>9488.7074175787639</v>
      </c>
      <c r="K325" s="35">
        <f t="shared" ca="1" si="696"/>
        <v>9986.7988351575277</v>
      </c>
      <c r="L325" s="35">
        <f t="shared" ca="1" si="696"/>
        <v>10494.461932736291</v>
      </c>
      <c r="M325" s="35">
        <f t="shared" ca="1" si="696"/>
        <v>11011.888143915054</v>
      </c>
      <c r="N325" s="35">
        <f t="shared" ca="1" si="696"/>
        <v>11539.272730965817</v>
      </c>
      <c r="O325" s="35">
        <f t="shared" ca="1" si="696"/>
        <v>12076.814861406019</v>
      </c>
      <c r="P325" s="35">
        <f t="shared" ca="1" si="696"/>
        <v>12624.717686103451</v>
      </c>
      <c r="Q325" s="35">
        <f t="shared" ca="1" si="696"/>
        <v>13183.188418943257</v>
      </c>
      <c r="R325" s="35">
        <f t="shared" ca="1" si="696"/>
        <v>13752.438418088283</v>
      </c>
      <c r="S325" s="35">
        <f t="shared" ca="1" si="696"/>
        <v>14332.683268864634</v>
      </c>
      <c r="T325" s="35">
        <f t="shared" ca="1" si="696"/>
        <v>14924.142868304936</v>
      </c>
      <c r="U325" s="35">
        <f t="shared" ca="1" si="696"/>
        <v>15527.041511382471</v>
      </c>
      <c r="V325" s="35">
        <f t="shared" ca="1" si="696"/>
        <v>16143.917295847856</v>
      </c>
      <c r="W325" s="35">
        <f t="shared" ca="1" si="696"/>
        <v>16772.875083827246</v>
      </c>
      <c r="X325" s="35">
        <f t="shared" ca="1" si="696"/>
        <v>17414.156515390921</v>
      </c>
      <c r="Y325" s="35">
        <f t="shared" ca="1" si="696"/>
        <v>18068.008063410569</v>
      </c>
      <c r="Z325" s="35">
        <f t="shared" ca="1" si="696"/>
        <v>18734.681130215307</v>
      </c>
      <c r="AA325" s="35">
        <f t="shared" ca="1" si="696"/>
        <v>19414.432146180836</v>
      </c>
      <c r="AB325" s="35">
        <f t="shared" ca="1" si="696"/>
        <v>20107.522670290371</v>
      </c>
      <c r="AC325" s="35">
        <f t="shared" ca="1" si="696"/>
        <v>20814.219492706798</v>
      </c>
      <c r="AD325" s="35">
        <f t="shared" ca="1" si="696"/>
        <v>21534.794739396249</v>
      </c>
      <c r="AE325" s="35">
        <f t="shared" ca="1" si="696"/>
        <v>22269.525978844187</v>
      </c>
      <c r="AF325" s="35">
        <f t="shared" ca="1" si="696"/>
        <v>23018.696330905779</v>
      </c>
      <c r="AG325" s="35">
        <f t="shared" ca="1" si="696"/>
        <v>23782.594577833301</v>
      </c>
      <c r="AH325" s="35">
        <f t="shared" ca="1" si="696"/>
        <v>24576.410713433852</v>
      </c>
      <c r="AI325" s="35">
        <f t="shared" ca="1" si="696"/>
        <v>25386.046613709161</v>
      </c>
      <c r="AJ325" s="35">
        <f t="shared" ca="1" si="696"/>
        <v>26211.818673952723</v>
      </c>
      <c r="AK325" s="35">
        <f t="shared" ca="1" si="696"/>
        <v>27054.049617363904</v>
      </c>
      <c r="AL325" s="35">
        <f t="shared" ca="1" si="696"/>
        <v>27913.068621606057</v>
      </c>
      <c r="AM325" s="35">
        <f t="shared" ca="1" si="696"/>
        <v>28789.211447895803</v>
      </c>
      <c r="AN325" s="35">
        <f t="shared" ca="1" si="696"/>
        <v>29684.766418687308</v>
      </c>
      <c r="AO325" s="35">
        <f t="shared" ca="1" si="696"/>
        <v>30598.212463375214</v>
      </c>
      <c r="AP325" s="35">
        <f t="shared" ref="AP325:BU325" ca="1" si="697">+AO325+_TotalNewInstallations</f>
        <v>31529.907403437446</v>
      </c>
      <c r="AQ325" s="35">
        <f t="shared" ca="1" si="697"/>
        <v>32480.216216781493</v>
      </c>
      <c r="AR325" s="35">
        <f t="shared" ca="1" si="697"/>
        <v>33449.511180872993</v>
      </c>
      <c r="AS325" s="35">
        <f t="shared" ca="1" si="697"/>
        <v>34438.172018726887</v>
      </c>
      <c r="AT325" s="35">
        <f t="shared" ca="1" si="697"/>
        <v>35446.604191616345</v>
      </c>
      <c r="AU325" s="35">
        <f t="shared" ca="1" si="697"/>
        <v>36475.186040251167</v>
      </c>
      <c r="AV325" s="35">
        <f t="shared" ca="1" si="697"/>
        <v>37524.320558146261</v>
      </c>
      <c r="AW325" s="35">
        <f t="shared" ca="1" si="697"/>
        <v>38594.418798686835</v>
      </c>
      <c r="AX325" s="35">
        <f t="shared" ca="1" si="697"/>
        <v>39685.900036325795</v>
      </c>
      <c r="AY325" s="35">
        <f t="shared" ca="1" si="697"/>
        <v>40799.191931005109</v>
      </c>
      <c r="AZ325" s="35">
        <f t="shared" ca="1" si="697"/>
        <v>41934.730695865583</v>
      </c>
      <c r="BA325" s="35">
        <f t="shared" ca="1" si="697"/>
        <v>43092.961268310843</v>
      </c>
      <c r="BB325" s="35">
        <f t="shared" ca="1" si="697"/>
        <v>44274.337484492586</v>
      </c>
      <c r="BC325" s="35">
        <f t="shared" ca="1" si="697"/>
        <v>45479.322257285537</v>
      </c>
      <c r="BD325" s="35">
        <f t="shared" ca="1" si="697"/>
        <v>46708.387757821925</v>
      </c>
      <c r="BE325" s="35">
        <f t="shared" ca="1" si="697"/>
        <v>47962.015600656618</v>
      </c>
      <c r="BF325" s="35">
        <f t="shared" ca="1" si="697"/>
        <v>49241.852860325605</v>
      </c>
      <c r="BG325" s="35">
        <f t="shared" ca="1" si="697"/>
        <v>50547.282685005564</v>
      </c>
      <c r="BH325" s="35">
        <f t="shared" ca="1" si="697"/>
        <v>51878.816925996711</v>
      </c>
      <c r="BI325" s="35">
        <f t="shared" ca="1" si="697"/>
        <v>53236.977671625267</v>
      </c>
      <c r="BJ325" s="35">
        <f t="shared" ca="1" si="697"/>
        <v>54622.297451983985</v>
      </c>
      <c r="BK325" s="35">
        <f t="shared" ca="1" si="697"/>
        <v>56035.31944776747</v>
      </c>
      <c r="BL325" s="35">
        <f t="shared" ca="1" si="697"/>
        <v>57476.597703284213</v>
      </c>
      <c r="BM325" s="35">
        <f t="shared" ca="1" si="697"/>
        <v>58946.697343728883</v>
      </c>
      <c r="BN325" s="35">
        <f t="shared" ca="1" si="697"/>
        <v>60446.194796800039</v>
      </c>
      <c r="BO325" s="35">
        <f t="shared" ca="1" si="697"/>
        <v>61975.678018750208</v>
      </c>
      <c r="BP325" s="35">
        <f t="shared" ca="1" si="697"/>
        <v>63535.746724956967</v>
      </c>
      <c r="BQ325" s="35">
        <f t="shared" ca="1" si="697"/>
        <v>65127.012625105453</v>
      </c>
      <c r="BR325" s="35">
        <f t="shared" ca="1" si="697"/>
        <v>66720.058256675649</v>
      </c>
      <c r="BS325" s="35">
        <f t="shared" ca="1" si="697"/>
        <v>68314.777848064536</v>
      </c>
      <c r="BT325" s="35">
        <f t="shared" ca="1" si="697"/>
        <v>69911.204878468488</v>
      </c>
      <c r="BU325" s="35">
        <f t="shared" ca="1" si="697"/>
        <v>71509.373496667817</v>
      </c>
      <c r="BV325" s="35">
        <f t="shared" ref="BV325:DA325" ca="1" si="698">+BU325+_TotalNewInstallations</f>
        <v>73109.318534418431</v>
      </c>
      <c r="BW325" s="35">
        <f t="shared" ca="1" si="698"/>
        <v>74711.07552011135</v>
      </c>
      <c r="BX325" s="35">
        <f t="shared" ca="1" si="698"/>
        <v>76314.680692705428</v>
      </c>
      <c r="BY325" s="35">
        <f t="shared" ca="1" si="698"/>
        <v>77920.171015938671</v>
      </c>
      <c r="BZ325" s="35">
        <f t="shared" ca="1" si="698"/>
        <v>79527.584192823881</v>
      </c>
      <c r="CA325" s="35">
        <f t="shared" ca="1" si="698"/>
        <v>81136.95868043408</v>
      </c>
      <c r="CB325" s="35">
        <f t="shared" ca="1" si="698"/>
        <v>82748.333704983786</v>
      </c>
      <c r="CC325" s="35">
        <f t="shared" ca="1" si="698"/>
        <v>84361.749277211769</v>
      </c>
      <c r="CD325" s="35">
        <f t="shared" ca="1" si="698"/>
        <v>85976.75525399555</v>
      </c>
      <c r="CE325" s="35">
        <f t="shared" ca="1" si="698"/>
        <v>87593.293901485289</v>
      </c>
      <c r="CF325" s="35">
        <f t="shared" ca="1" si="698"/>
        <v>89211.395873095098</v>
      </c>
      <c r="CG325" s="35">
        <f t="shared" ca="1" si="698"/>
        <v>90831.092435307379</v>
      </c>
      <c r="CH325" s="35">
        <f t="shared" ca="1" si="698"/>
        <v>92452.415479934192</v>
      </c>
      <c r="CI325" s="35">
        <f t="shared" ca="1" si="698"/>
        <v>94075.397536623816</v>
      </c>
      <c r="CJ325" s="35">
        <f t="shared" ca="1" si="698"/>
        <v>95700.071785617503</v>
      </c>
      <c r="CK325" s="35">
        <f t="shared" ca="1" si="698"/>
        <v>97326.472070761345</v>
      </c>
      <c r="CL325" s="35">
        <f t="shared" ca="1" si="698"/>
        <v>98954.632912778339</v>
      </c>
      <c r="CM325" s="35">
        <f t="shared" ca="1" si="698"/>
        <v>100584.58952280595</v>
      </c>
      <c r="CN325" s="35">
        <f t="shared" ca="1" si="698"/>
        <v>102216.3778162044</v>
      </c>
      <c r="CO325" s="35">
        <f t="shared" ca="1" si="698"/>
        <v>103850.0344266411</v>
      </c>
      <c r="CP325" s="35">
        <f t="shared" ca="1" si="698"/>
        <v>105483.99846439157</v>
      </c>
      <c r="CQ325" s="35">
        <f t="shared" ca="1" si="698"/>
        <v>107118.27607694738</v>
      </c>
      <c r="CR325" s="35">
        <f t="shared" ca="1" si="698"/>
        <v>108752.87353580465</v>
      </c>
      <c r="CS325" s="35">
        <f t="shared" ca="1" si="698"/>
        <v>110387.7972378894</v>
      </c>
      <c r="CT325" s="35">
        <f t="shared" ca="1" si="698"/>
        <v>112023.0537080662</v>
      </c>
      <c r="CU325" s="35">
        <f t="shared" ca="1" si="698"/>
        <v>113658.64960169687</v>
      </c>
      <c r="CV325" s="35">
        <f t="shared" ca="1" si="698"/>
        <v>115294.35965610627</v>
      </c>
      <c r="CW325" s="35">
        <f t="shared" ca="1" si="698"/>
        <v>116930.17570757438</v>
      </c>
      <c r="CX325" s="35">
        <f t="shared" ca="1" si="698"/>
        <v>118566.09987604237</v>
      </c>
      <c r="CY325" s="35">
        <f t="shared" ca="1" si="698"/>
        <v>120202.13432385022</v>
      </c>
      <c r="CZ325" s="35">
        <f t="shared" ca="1" si="698"/>
        <v>121838.28125658474</v>
      </c>
      <c r="DA325" s="35">
        <f t="shared" ca="1" si="698"/>
        <v>123474.54292394446</v>
      </c>
      <c r="DB325" s="35">
        <f t="shared" ref="DB325:DY325" ca="1" si="699">+DA325+_TotalNewInstallations</f>
        <v>125110.92417569763</v>
      </c>
      <c r="DC325" s="35">
        <f t="shared" ca="1" si="699"/>
        <v>126747.42036925891</v>
      </c>
      <c r="DD325" s="35">
        <f t="shared" ca="1" si="699"/>
        <v>128384.03380346448</v>
      </c>
      <c r="DE325" s="35">
        <f t="shared" ca="1" si="699"/>
        <v>130020.76682312723</v>
      </c>
      <c r="DF325" s="35">
        <f t="shared" ca="1" si="699"/>
        <v>131657.62181995629</v>
      </c>
      <c r="DG325" s="35">
        <f t="shared" ca="1" si="699"/>
        <v>133294.60123349499</v>
      </c>
      <c r="DH325" s="35">
        <f t="shared" ca="1" si="699"/>
        <v>134931.70755207751</v>
      </c>
      <c r="DI325" s="35">
        <f t="shared" ca="1" si="699"/>
        <v>136568.94331380475</v>
      </c>
      <c r="DJ325" s="35">
        <f t="shared" ca="1" si="699"/>
        <v>138206.3111075396</v>
      </c>
      <c r="DK325" s="35">
        <f t="shared" ca="1" si="699"/>
        <v>139843.81357392221</v>
      </c>
      <c r="DL325" s="35">
        <f t="shared" ca="1" si="699"/>
        <v>141481.45340640552</v>
      </c>
      <c r="DM325" s="35">
        <f t="shared" ca="1" si="699"/>
        <v>143119.23335231157</v>
      </c>
      <c r="DN325" s="35">
        <f t="shared" ca="1" si="699"/>
        <v>144757.03428797051</v>
      </c>
      <c r="DO325" s="35">
        <f t="shared" ca="1" si="699"/>
        <v>146394.85663316917</v>
      </c>
      <c r="DP325" s="35">
        <f t="shared" ca="1" si="699"/>
        <v>148032.70081609831</v>
      </c>
      <c r="DQ325" s="35">
        <f t="shared" ca="1" si="699"/>
        <v>149670.56727351254</v>
      </c>
      <c r="DR325" s="35">
        <f t="shared" ca="1" si="699"/>
        <v>151308.45645090158</v>
      </c>
      <c r="DS325" s="35">
        <f t="shared" ca="1" si="699"/>
        <v>152946.36880266489</v>
      </c>
      <c r="DT325" s="35">
        <f t="shared" ca="1" si="699"/>
        <v>154584.30479229</v>
      </c>
      <c r="DU325" s="35">
        <f t="shared" ca="1" si="699"/>
        <v>156222.26489253412</v>
      </c>
      <c r="DV325" s="35">
        <f t="shared" ca="1" si="699"/>
        <v>157860.24958560962</v>
      </c>
      <c r="DW325" s="35">
        <f t="shared" ca="1" si="699"/>
        <v>159498.25936337316</v>
      </c>
      <c r="DX325" s="35">
        <f t="shared" ca="1" si="699"/>
        <v>161136.29472751849</v>
      </c>
      <c r="DY325" s="35">
        <f t="shared" ca="1" si="699"/>
        <v>162774.35618977321</v>
      </c>
    </row>
    <row r="326" spans="1:129" outlineLevel="1">
      <c r="D326" s="5" t="s">
        <v>198</v>
      </c>
      <c r="F326" s="565"/>
      <c r="G326" s="566" t="s">
        <v>364</v>
      </c>
      <c r="H326" s="430">
        <f>_lifelyhoodspersystem</f>
        <v>5</v>
      </c>
      <c r="J326" s="35">
        <f ca="1">+J325*$H$326</f>
        <v>47443.537087893819</v>
      </c>
      <c r="K326" s="35">
        <f t="shared" ref="K326:BV326" ca="1" si="700">+K325*$H$326</f>
        <v>49933.994175787637</v>
      </c>
      <c r="L326" s="35">
        <f t="shared" ca="1" si="700"/>
        <v>52472.309663681452</v>
      </c>
      <c r="M326" s="35">
        <f t="shared" ca="1" si="700"/>
        <v>55059.440719575272</v>
      </c>
      <c r="N326" s="35">
        <f t="shared" ca="1" si="700"/>
        <v>57696.363654829081</v>
      </c>
      <c r="O326" s="35">
        <f t="shared" ca="1" si="700"/>
        <v>60384.074307030096</v>
      </c>
      <c r="P326" s="35">
        <f t="shared" ca="1" si="700"/>
        <v>63123.588430517259</v>
      </c>
      <c r="Q326" s="35">
        <f t="shared" ca="1" si="700"/>
        <v>65915.942094716287</v>
      </c>
      <c r="R326" s="35">
        <f t="shared" ca="1" si="700"/>
        <v>68762.192090441415</v>
      </c>
      <c r="S326" s="35">
        <f t="shared" ca="1" si="700"/>
        <v>71663.416344323166</v>
      </c>
      <c r="T326" s="35">
        <f t="shared" ca="1" si="700"/>
        <v>74620.714341524683</v>
      </c>
      <c r="U326" s="35">
        <f t="shared" ca="1" si="700"/>
        <v>77635.207556912355</v>
      </c>
      <c r="V326" s="35">
        <f t="shared" ca="1" si="700"/>
        <v>80719.586479239282</v>
      </c>
      <c r="W326" s="35">
        <f t="shared" ca="1" si="700"/>
        <v>83864.375419136224</v>
      </c>
      <c r="X326" s="35">
        <f t="shared" ca="1" si="700"/>
        <v>87070.782576954603</v>
      </c>
      <c r="Y326" s="35">
        <f t="shared" ca="1" si="700"/>
        <v>90340.040317052844</v>
      </c>
      <c r="Z326" s="35">
        <f t="shared" ca="1" si="700"/>
        <v>93673.405651076537</v>
      </c>
      <c r="AA326" s="35">
        <f t="shared" ca="1" si="700"/>
        <v>97072.160730904172</v>
      </c>
      <c r="AB326" s="35">
        <f t="shared" ca="1" si="700"/>
        <v>100537.61335145186</v>
      </c>
      <c r="AC326" s="35">
        <f t="shared" ca="1" si="700"/>
        <v>104071.09746353398</v>
      </c>
      <c r="AD326" s="35">
        <f t="shared" ca="1" si="700"/>
        <v>107673.97369698125</v>
      </c>
      <c r="AE326" s="35">
        <f t="shared" ca="1" si="700"/>
        <v>111347.62989422094</v>
      </c>
      <c r="AF326" s="35">
        <f t="shared" ca="1" si="700"/>
        <v>115093.48165452889</v>
      </c>
      <c r="AG326" s="35">
        <f t="shared" ca="1" si="700"/>
        <v>118912.9728891665</v>
      </c>
      <c r="AH326" s="35">
        <f t="shared" ca="1" si="700"/>
        <v>122882.05356716926</v>
      </c>
      <c r="AI326" s="35">
        <f t="shared" ca="1" si="700"/>
        <v>126930.2330685458</v>
      </c>
      <c r="AJ326" s="35">
        <f t="shared" ca="1" si="700"/>
        <v>131059.09336976361</v>
      </c>
      <c r="AK326" s="35">
        <f t="shared" ca="1" si="700"/>
        <v>135270.24808681951</v>
      </c>
      <c r="AL326" s="35">
        <f t="shared" ca="1" si="700"/>
        <v>139565.34310803027</v>
      </c>
      <c r="AM326" s="35">
        <f t="shared" ca="1" si="700"/>
        <v>143946.05723947901</v>
      </c>
      <c r="AN326" s="35">
        <f t="shared" ca="1" si="700"/>
        <v>148423.83209343653</v>
      </c>
      <c r="AO326" s="35">
        <f t="shared" ca="1" si="700"/>
        <v>152991.06231687608</v>
      </c>
      <c r="AP326" s="35">
        <f t="shared" ca="1" si="700"/>
        <v>157649.53701718722</v>
      </c>
      <c r="AQ326" s="35">
        <f t="shared" ca="1" si="700"/>
        <v>162401.08108390745</v>
      </c>
      <c r="AR326" s="35">
        <f t="shared" ca="1" si="700"/>
        <v>167247.55590436497</v>
      </c>
      <c r="AS326" s="35">
        <f t="shared" ca="1" si="700"/>
        <v>172190.86009363443</v>
      </c>
      <c r="AT326" s="35">
        <f t="shared" ca="1" si="700"/>
        <v>177233.02095808173</v>
      </c>
      <c r="AU326" s="35">
        <f t="shared" ca="1" si="700"/>
        <v>182375.93020125583</v>
      </c>
      <c r="AV326" s="35">
        <f t="shared" ca="1" si="700"/>
        <v>187621.6027907313</v>
      </c>
      <c r="AW326" s="35">
        <f t="shared" ca="1" si="700"/>
        <v>192972.09399343416</v>
      </c>
      <c r="AX326" s="35">
        <f t="shared" ca="1" si="700"/>
        <v>198429.50018162897</v>
      </c>
      <c r="AY326" s="35">
        <f t="shared" ca="1" si="700"/>
        <v>203995.95965502554</v>
      </c>
      <c r="AZ326" s="35">
        <f t="shared" ca="1" si="700"/>
        <v>209673.65347932791</v>
      </c>
      <c r="BA326" s="35">
        <f t="shared" ca="1" si="700"/>
        <v>215464.80634155421</v>
      </c>
      <c r="BB326" s="35">
        <f t="shared" ca="1" si="700"/>
        <v>221371.68742246291</v>
      </c>
      <c r="BC326" s="35">
        <f t="shared" ca="1" si="700"/>
        <v>227396.61128642768</v>
      </c>
      <c r="BD326" s="35">
        <f t="shared" ca="1" si="700"/>
        <v>233541.93878910964</v>
      </c>
      <c r="BE326" s="35">
        <f t="shared" ca="1" si="700"/>
        <v>239810.0780032831</v>
      </c>
      <c r="BF326" s="35">
        <f t="shared" ca="1" si="700"/>
        <v>246209.26430162802</v>
      </c>
      <c r="BG326" s="35">
        <f t="shared" ca="1" si="700"/>
        <v>252736.41342502783</v>
      </c>
      <c r="BH326" s="35">
        <f t="shared" ca="1" si="700"/>
        <v>259394.08462998355</v>
      </c>
      <c r="BI326" s="35">
        <f t="shared" ca="1" si="700"/>
        <v>266184.88835812634</v>
      </c>
      <c r="BJ326" s="35">
        <f t="shared" ca="1" si="700"/>
        <v>273111.48725991993</v>
      </c>
      <c r="BK326" s="35">
        <f t="shared" ca="1" si="700"/>
        <v>280176.59723883733</v>
      </c>
      <c r="BL326" s="35">
        <f t="shared" ca="1" si="700"/>
        <v>287382.98851642106</v>
      </c>
      <c r="BM326" s="35">
        <f t="shared" ca="1" si="700"/>
        <v>294733.48671864439</v>
      </c>
      <c r="BN326" s="35">
        <f t="shared" ca="1" si="700"/>
        <v>302230.97398400021</v>
      </c>
      <c r="BO326" s="35">
        <f t="shared" ca="1" si="700"/>
        <v>309878.39009375102</v>
      </c>
      <c r="BP326" s="35">
        <f t="shared" ca="1" si="700"/>
        <v>317678.73362478486</v>
      </c>
      <c r="BQ326" s="35">
        <f t="shared" ca="1" si="700"/>
        <v>325635.06312552729</v>
      </c>
      <c r="BR326" s="35">
        <f t="shared" ca="1" si="700"/>
        <v>333600.29128337826</v>
      </c>
      <c r="BS326" s="35">
        <f t="shared" ca="1" si="700"/>
        <v>341573.88924032269</v>
      </c>
      <c r="BT326" s="35">
        <f t="shared" ca="1" si="700"/>
        <v>349556.02439234243</v>
      </c>
      <c r="BU326" s="35">
        <f t="shared" ca="1" si="700"/>
        <v>357546.8674833391</v>
      </c>
      <c r="BV326" s="35">
        <f t="shared" ca="1" si="700"/>
        <v>365546.59267209214</v>
      </c>
      <c r="BW326" s="35">
        <f t="shared" ref="BW326:DY326" ca="1" si="701">+BW325*$H$326</f>
        <v>373555.37760055676</v>
      </c>
      <c r="BX326" s="35">
        <f t="shared" ca="1" si="701"/>
        <v>381573.40346352715</v>
      </c>
      <c r="BY326" s="35">
        <f t="shared" ca="1" si="701"/>
        <v>389600.85507969337</v>
      </c>
      <c r="BZ326" s="35">
        <f t="shared" ca="1" si="701"/>
        <v>397637.92096411937</v>
      </c>
      <c r="CA326" s="35">
        <f t="shared" ca="1" si="701"/>
        <v>405684.79340217041</v>
      </c>
      <c r="CB326" s="35">
        <f t="shared" ca="1" si="701"/>
        <v>413741.66852491896</v>
      </c>
      <c r="CC326" s="35">
        <f t="shared" ca="1" si="701"/>
        <v>421808.74638605886</v>
      </c>
      <c r="CD326" s="35">
        <f t="shared" ca="1" si="701"/>
        <v>429883.77626997774</v>
      </c>
      <c r="CE326" s="35">
        <f t="shared" ca="1" si="701"/>
        <v>437966.46950742643</v>
      </c>
      <c r="CF326" s="35">
        <f t="shared" ca="1" si="701"/>
        <v>446056.97936547548</v>
      </c>
      <c r="CG326" s="35">
        <f t="shared" ca="1" si="701"/>
        <v>454155.46217653691</v>
      </c>
      <c r="CH326" s="35">
        <f t="shared" ca="1" si="701"/>
        <v>462262.07739967096</v>
      </c>
      <c r="CI326" s="35">
        <f t="shared" ca="1" si="701"/>
        <v>470376.98768311908</v>
      </c>
      <c r="CJ326" s="35">
        <f t="shared" ca="1" si="701"/>
        <v>478500.35892808752</v>
      </c>
      <c r="CK326" s="35">
        <f t="shared" ca="1" si="701"/>
        <v>486632.36035380675</v>
      </c>
      <c r="CL326" s="35">
        <f t="shared" ca="1" si="701"/>
        <v>494773.16456389171</v>
      </c>
      <c r="CM326" s="35">
        <f t="shared" ca="1" si="701"/>
        <v>502922.94761402975</v>
      </c>
      <c r="CN326" s="35">
        <f t="shared" ca="1" si="701"/>
        <v>511081.889081022</v>
      </c>
      <c r="CO326" s="35">
        <f t="shared" ca="1" si="701"/>
        <v>519250.17213320546</v>
      </c>
      <c r="CP326" s="35">
        <f t="shared" ca="1" si="701"/>
        <v>527419.99232195783</v>
      </c>
      <c r="CQ326" s="35">
        <f t="shared" ca="1" si="701"/>
        <v>535591.38038473693</v>
      </c>
      <c r="CR326" s="35">
        <f t="shared" ca="1" si="701"/>
        <v>543764.3676790233</v>
      </c>
      <c r="CS326" s="35">
        <f t="shared" ca="1" si="701"/>
        <v>551938.98618944699</v>
      </c>
      <c r="CT326" s="35">
        <f t="shared" ca="1" si="701"/>
        <v>560115.26854033105</v>
      </c>
      <c r="CU326" s="35">
        <f t="shared" ca="1" si="701"/>
        <v>568293.24800848437</v>
      </c>
      <c r="CV326" s="35">
        <f t="shared" ca="1" si="701"/>
        <v>576471.79828053131</v>
      </c>
      <c r="CW326" s="35">
        <f t="shared" ca="1" si="701"/>
        <v>584650.87853787187</v>
      </c>
      <c r="CX326" s="35">
        <f t="shared" ca="1" si="701"/>
        <v>592830.49938021181</v>
      </c>
      <c r="CY326" s="35">
        <f t="shared" ca="1" si="701"/>
        <v>601010.67161925114</v>
      </c>
      <c r="CZ326" s="35">
        <f t="shared" ca="1" si="701"/>
        <v>609191.40628292365</v>
      </c>
      <c r="DA326" s="35">
        <f t="shared" ca="1" si="701"/>
        <v>617372.71461972233</v>
      </c>
      <c r="DB326" s="35">
        <f t="shared" ca="1" si="701"/>
        <v>625554.62087848817</v>
      </c>
      <c r="DC326" s="35">
        <f t="shared" ca="1" si="701"/>
        <v>633737.10184629448</v>
      </c>
      <c r="DD326" s="35">
        <f t="shared" ca="1" si="701"/>
        <v>641920.16901732236</v>
      </c>
      <c r="DE326" s="35">
        <f t="shared" ca="1" si="701"/>
        <v>650103.83411563607</v>
      </c>
      <c r="DF326" s="35">
        <f t="shared" ca="1" si="701"/>
        <v>658288.10909978137</v>
      </c>
      <c r="DG326" s="35">
        <f t="shared" ca="1" si="701"/>
        <v>666473.0061674749</v>
      </c>
      <c r="DH326" s="35">
        <f t="shared" ca="1" si="701"/>
        <v>674658.53776038752</v>
      </c>
      <c r="DI326" s="35">
        <f t="shared" ca="1" si="701"/>
        <v>682844.71656902367</v>
      </c>
      <c r="DJ326" s="35">
        <f t="shared" ca="1" si="701"/>
        <v>691031.55553769798</v>
      </c>
      <c r="DK326" s="35">
        <f t="shared" ca="1" si="701"/>
        <v>699219.06786961108</v>
      </c>
      <c r="DL326" s="35">
        <f t="shared" ca="1" si="701"/>
        <v>707407.26703202759</v>
      </c>
      <c r="DM326" s="35">
        <f t="shared" ca="1" si="701"/>
        <v>715596.1667615578</v>
      </c>
      <c r="DN326" s="35">
        <f t="shared" ca="1" si="701"/>
        <v>723785.17143985257</v>
      </c>
      <c r="DO326" s="35">
        <f t="shared" ca="1" si="701"/>
        <v>731974.28316584579</v>
      </c>
      <c r="DP326" s="35">
        <f t="shared" ca="1" si="701"/>
        <v>740163.50408049161</v>
      </c>
      <c r="DQ326" s="35">
        <f t="shared" ca="1" si="701"/>
        <v>748352.83636756265</v>
      </c>
      <c r="DR326" s="35">
        <f t="shared" ca="1" si="701"/>
        <v>756542.28225450788</v>
      </c>
      <c r="DS326" s="35">
        <f t="shared" ca="1" si="701"/>
        <v>764731.84401332447</v>
      </c>
      <c r="DT326" s="35">
        <f t="shared" ca="1" si="701"/>
        <v>772921.52396144997</v>
      </c>
      <c r="DU326" s="35">
        <f t="shared" ca="1" si="701"/>
        <v>781111.3244626706</v>
      </c>
      <c r="DV326" s="35">
        <f t="shared" ca="1" si="701"/>
        <v>789301.24792804813</v>
      </c>
      <c r="DW326" s="35">
        <f t="shared" ca="1" si="701"/>
        <v>797491.2968168658</v>
      </c>
      <c r="DX326" s="35">
        <f t="shared" ca="1" si="701"/>
        <v>805681.4736375924</v>
      </c>
      <c r="DY326" s="35">
        <f t="shared" ca="1" si="701"/>
        <v>813871.78094886604</v>
      </c>
    </row>
    <row r="327" spans="1:129" s="239" customFormat="1" outlineLevel="1">
      <c r="D327" s="5" t="s">
        <v>471</v>
      </c>
      <c r="G327" s="385"/>
      <c r="J327" s="25">
        <f t="shared" ref="J327:AO327" ca="1" si="702">_TotalactiveinstallationsEoP/J323</f>
        <v>102.68866483582264</v>
      </c>
      <c r="K327" s="25">
        <f t="shared" ca="1" si="702"/>
        <v>107.51404302328707</v>
      </c>
      <c r="L327" s="25">
        <f t="shared" ca="1" si="702"/>
        <v>112.47843942887684</v>
      </c>
      <c r="M327" s="25">
        <f t="shared" ca="1" si="702"/>
        <v>117.5842093104107</v>
      </c>
      <c r="N327" s="25">
        <f t="shared" ca="1" si="702"/>
        <v>122.83375928192925</v>
      </c>
      <c r="O327" s="25">
        <f t="shared" ca="1" si="702"/>
        <v>128.22954829830863</v>
      </c>
      <c r="P327" s="25">
        <f t="shared" ca="1" si="702"/>
        <v>133.77408865999169</v>
      </c>
      <c r="Q327" s="25">
        <f t="shared" ca="1" si="702"/>
        <v>139.46994703823478</v>
      </c>
      <c r="R327" s="25">
        <f t="shared" ca="1" si="702"/>
        <v>145.31974552127588</v>
      </c>
      <c r="S327" s="25">
        <f t="shared" ca="1" si="702"/>
        <v>151.32616268183861</v>
      </c>
      <c r="T327" s="25">
        <f t="shared" ca="1" si="702"/>
        <v>157.49193466639474</v>
      </c>
      <c r="U327" s="25">
        <f t="shared" ca="1" si="702"/>
        <v>163.81985630661632</v>
      </c>
      <c r="V327" s="25">
        <f t="shared" ca="1" si="702"/>
        <v>121.35507515388515</v>
      </c>
      <c r="W327" s="25">
        <f t="shared" ca="1" si="702"/>
        <v>125.79563055440447</v>
      </c>
      <c r="X327" s="25">
        <f t="shared" ca="1" si="702"/>
        <v>130.33771408935576</v>
      </c>
      <c r="Y327" s="25">
        <f t="shared" ca="1" si="702"/>
        <v>134.9832291511635</v>
      </c>
      <c r="Z327" s="25">
        <f t="shared" ca="1" si="702"/>
        <v>139.7341184718033</v>
      </c>
      <c r="AA327" s="25">
        <f t="shared" ca="1" si="702"/>
        <v>144.59236489687572</v>
      </c>
      <c r="AB327" s="25">
        <f t="shared" ca="1" si="702"/>
        <v>149.55999217528935</v>
      </c>
      <c r="AC327" s="25">
        <f t="shared" ca="1" si="702"/>
        <v>154.63906576486255</v>
      </c>
      <c r="AD327" s="25">
        <f t="shared" ca="1" si="702"/>
        <v>159.83169365416259</v>
      </c>
      <c r="AE327" s="25">
        <f t="shared" ca="1" si="702"/>
        <v>165.14002720090468</v>
      </c>
      <c r="AF327" s="25">
        <f t="shared" ca="1" si="702"/>
        <v>170.56626198724109</v>
      </c>
      <c r="AG327" s="25">
        <f t="shared" ca="1" si="702"/>
        <v>176.11263869227705</v>
      </c>
      <c r="AH327" s="25">
        <f t="shared" ca="1" si="702"/>
        <v>125.90642155562968</v>
      </c>
      <c r="AI327" s="25">
        <f t="shared" ca="1" si="702"/>
        <v>128.59001776414533</v>
      </c>
      <c r="AJ327" s="25">
        <f t="shared" ca="1" si="702"/>
        <v>131.33072144240998</v>
      </c>
      <c r="AK327" s="25">
        <f t="shared" ca="1" si="702"/>
        <v>134.12964038436272</v>
      </c>
      <c r="AL327" s="25">
        <f t="shared" ca="1" si="702"/>
        <v>136.98790488337613</v>
      </c>
      <c r="AM327" s="25">
        <f t="shared" ca="1" si="702"/>
        <v>139.90666817880927</v>
      </c>
      <c r="AN327" s="25">
        <f t="shared" ca="1" si="702"/>
        <v>142.71198077033662</v>
      </c>
      <c r="AO327" s="25">
        <f t="shared" ca="1" si="702"/>
        <v>145.57513011816377</v>
      </c>
      <c r="AP327" s="25">
        <f t="shared" ref="AP327:BU327" ca="1" si="703">_TotalactiveinstallationsEoP/AP323</f>
        <v>148.49725565237199</v>
      </c>
      <c r="AQ327" s="25">
        <f t="shared" ca="1" si="703"/>
        <v>151.47951976469466</v>
      </c>
      <c r="AR327" s="25">
        <f t="shared" ca="1" si="703"/>
        <v>154.52310826601976</v>
      </c>
      <c r="AS327" s="25">
        <f t="shared" ca="1" si="703"/>
        <v>157.62923085305985</v>
      </c>
      <c r="AT327" s="25">
        <f t="shared" ca="1" si="703"/>
        <v>123.6903758788925</v>
      </c>
      <c r="AU327" s="25">
        <f t="shared" ca="1" si="703"/>
        <v>126.17743226941879</v>
      </c>
      <c r="AV327" s="25">
        <f t="shared" ca="1" si="703"/>
        <v>128.71541044834777</v>
      </c>
      <c r="AW327" s="25">
        <f t="shared" ca="1" si="703"/>
        <v>131.30531704484153</v>
      </c>
      <c r="AX327" s="25">
        <f t="shared" ca="1" si="703"/>
        <v>133.94817893871161</v>
      </c>
      <c r="AY327" s="25">
        <f t="shared" ca="1" si="703"/>
        <v>136.64504366425098</v>
      </c>
      <c r="AZ327" s="25">
        <f t="shared" ca="1" si="703"/>
        <v>139.39697982215515</v>
      </c>
      <c r="BA327" s="25">
        <f t="shared" ca="1" si="703"/>
        <v>142.20507749969283</v>
      </c>
      <c r="BB327" s="25">
        <f t="shared" ca="1" si="703"/>
        <v>145.07044869929206</v>
      </c>
      <c r="BC327" s="25">
        <f t="shared" ca="1" si="703"/>
        <v>147.99422777570879</v>
      </c>
      <c r="BD327" s="25">
        <f t="shared" ca="1" si="703"/>
        <v>150.97757188195126</v>
      </c>
      <c r="BE327" s="25">
        <f t="shared" ca="1" si="703"/>
        <v>154.02166142413296</v>
      </c>
      <c r="BF327" s="25">
        <f t="shared" ca="1" si="703"/>
        <v>127.60124136935163</v>
      </c>
      <c r="BG327" s="25">
        <f t="shared" ca="1" si="703"/>
        <v>130.10973290145964</v>
      </c>
      <c r="BH327" s="25">
        <f t="shared" ca="1" si="703"/>
        <v>132.66906473242312</v>
      </c>
      <c r="BI327" s="25">
        <f t="shared" ca="1" si="703"/>
        <v>135.28024696353711</v>
      </c>
      <c r="BJ327" s="25">
        <f t="shared" ca="1" si="703"/>
        <v>137.94430996516934</v>
      </c>
      <c r="BK327" s="25">
        <f t="shared" ca="1" si="703"/>
        <v>140.66230478147116</v>
      </c>
      <c r="BL327" s="25">
        <f t="shared" ca="1" si="703"/>
        <v>143.43530354318952</v>
      </c>
      <c r="BM327" s="25">
        <f t="shared" ca="1" si="703"/>
        <v>146.26439988874199</v>
      </c>
      <c r="BN327" s="25">
        <f t="shared" ca="1" si="703"/>
        <v>149.15070939371918</v>
      </c>
      <c r="BO327" s="25">
        <f t="shared" ca="1" si="703"/>
        <v>152.09537000898439</v>
      </c>
      <c r="BP327" s="25">
        <f t="shared" ca="1" si="703"/>
        <v>155.09954250754166</v>
      </c>
      <c r="BQ327" s="25">
        <f t="shared" ca="1" si="703"/>
        <v>158.16441094034676</v>
      </c>
      <c r="BR327" s="25">
        <f t="shared" ca="1" si="703"/>
        <v>128.87881663708234</v>
      </c>
      <c r="BS327" s="25">
        <f t="shared" ca="1" si="703"/>
        <v>131.12730345119783</v>
      </c>
      <c r="BT327" s="25">
        <f t="shared" ca="1" si="703"/>
        <v>133.27647064149397</v>
      </c>
      <c r="BU327" s="25">
        <f t="shared" ca="1" si="703"/>
        <v>135.32577470909533</v>
      </c>
      <c r="BV327" s="25">
        <f t="shared" ref="BV327:DA327" ca="1" si="704">_TotalactiveinstallationsEoP/BV323</f>
        <v>137.27464685621308</v>
      </c>
      <c r="BW327" s="25">
        <f t="shared" ca="1" si="704"/>
        <v>139.12249262445584</v>
      </c>
      <c r="BX327" s="25">
        <f t="shared" ca="1" si="704"/>
        <v>140.86869152446431</v>
      </c>
      <c r="BY327" s="25">
        <f t="shared" ca="1" si="704"/>
        <v>142.51259665670986</v>
      </c>
      <c r="BZ327" s="25">
        <f t="shared" ca="1" si="704"/>
        <v>144.05353432329477</v>
      </c>
      <c r="CA327" s="25">
        <f t="shared" ca="1" si="704"/>
        <v>145.49080363058891</v>
      </c>
      <c r="CB327" s="25">
        <f t="shared" ca="1" si="704"/>
        <v>146.8236760825327</v>
      </c>
      <c r="CC327" s="25">
        <f t="shared" ca="1" si="704"/>
        <v>148.0513951644341</v>
      </c>
      <c r="CD327" s="25">
        <f t="shared" ca="1" si="704"/>
        <v>149.19526885050556</v>
      </c>
      <c r="CE327" s="25">
        <f t="shared" ca="1" si="704"/>
        <v>150.25873361794842</v>
      </c>
      <c r="CF327" s="25">
        <f t="shared" ca="1" si="704"/>
        <v>151.24121415231355</v>
      </c>
      <c r="CG327" s="25">
        <f t="shared" ca="1" si="704"/>
        <v>152.14211330422376</v>
      </c>
      <c r="CH327" s="25">
        <f t="shared" ca="1" si="704"/>
        <v>152.96081175596134</v>
      </c>
      <c r="CI327" s="25">
        <f t="shared" ca="1" si="704"/>
        <v>153.69666768035495</v>
      </c>
      <c r="CJ327" s="25">
        <f t="shared" ca="1" si="704"/>
        <v>154.34901639182144</v>
      </c>
      <c r="CK327" s="25">
        <f t="shared" ca="1" si="704"/>
        <v>154.91716998941644</v>
      </c>
      <c r="CL327" s="25">
        <f t="shared" ca="1" si="704"/>
        <v>155.40041699174361</v>
      </c>
      <c r="CM327" s="25">
        <f t="shared" ca="1" si="704"/>
        <v>155.79802196356968</v>
      </c>
      <c r="CN327" s="25">
        <f t="shared" ca="1" si="704"/>
        <v>156.10922513399018</v>
      </c>
      <c r="CO327" s="25">
        <f t="shared" ca="1" si="704"/>
        <v>156.3332420059854</v>
      </c>
      <c r="CP327" s="25">
        <f t="shared" ca="1" si="704"/>
        <v>156.54118448014083</v>
      </c>
      <c r="CQ327" s="25">
        <f t="shared" ca="1" si="704"/>
        <v>156.73293666331392</v>
      </c>
      <c r="CR327" s="25">
        <f t="shared" ca="1" si="704"/>
        <v>156.90837824108979</v>
      </c>
      <c r="CS327" s="25">
        <f t="shared" ca="1" si="704"/>
        <v>157.06738445785112</v>
      </c>
      <c r="CT327" s="25">
        <f t="shared" ca="1" si="704"/>
        <v>157.20982604830323</v>
      </c>
      <c r="CU327" s="25">
        <f t="shared" ca="1" si="704"/>
        <v>157.33556916742646</v>
      </c>
      <c r="CV327" s="25">
        <f t="shared" ca="1" si="704"/>
        <v>157.45491762031514</v>
      </c>
      <c r="CW327" s="25">
        <f t="shared" ca="1" si="704"/>
        <v>157.56830272103343</v>
      </c>
      <c r="CX327" s="25">
        <f t="shared" ca="1" si="704"/>
        <v>157.67568870575019</v>
      </c>
      <c r="CY327" s="25">
        <f t="shared" ca="1" si="704"/>
        <v>157.77703826032558</v>
      </c>
      <c r="CZ327" s="25">
        <f t="shared" ca="1" si="704"/>
        <v>157.87231249765509</v>
      </c>
      <c r="DA327" s="25">
        <f t="shared" ca="1" si="704"/>
        <v>157.96147093447715</v>
      </c>
      <c r="DB327" s="25">
        <f t="shared" ref="DB327:DY327" ca="1" si="705">_TotalactiveinstallationsEoP/DB323</f>
        <v>158.04435648922626</v>
      </c>
      <c r="DC327" s="25">
        <f t="shared" ca="1" si="705"/>
        <v>158.12124080706232</v>
      </c>
      <c r="DD327" s="25">
        <f t="shared" ca="1" si="705"/>
        <v>158.19208045272725</v>
      </c>
      <c r="DE327" s="25">
        <f t="shared" ca="1" si="705"/>
        <v>158.25683035636285</v>
      </c>
      <c r="DF327" s="25">
        <f t="shared" ca="1" si="705"/>
        <v>158.31544378847798</v>
      </c>
      <c r="DG327" s="25">
        <f t="shared" ca="1" si="705"/>
        <v>158.36787233433807</v>
      </c>
      <c r="DH327" s="25">
        <f t="shared" ca="1" si="705"/>
        <v>158.41406586776719</v>
      </c>
      <c r="DI327" s="25">
        <f t="shared" ca="1" si="705"/>
        <v>158.45397252435001</v>
      </c>
      <c r="DJ327" s="25">
        <f t="shared" ca="1" si="705"/>
        <v>158.48753867402485</v>
      </c>
      <c r="DK327" s="25">
        <f t="shared" ca="1" si="705"/>
        <v>158.51470889305392</v>
      </c>
      <c r="DL327" s="25">
        <f t="shared" ca="1" si="705"/>
        <v>158.53542593536071</v>
      </c>
      <c r="DM327" s="25">
        <f t="shared" ca="1" si="705"/>
        <v>158.54963070322179</v>
      </c>
      <c r="DN327" s="25">
        <f t="shared" ca="1" si="705"/>
        <v>158.56274888452279</v>
      </c>
      <c r="DO327" s="25">
        <f t="shared" ca="1" si="705"/>
        <v>158.57477245472461</v>
      </c>
      <c r="DP327" s="25">
        <f t="shared" ca="1" si="705"/>
        <v>158.58569309135254</v>
      </c>
      <c r="DQ327" s="25">
        <f t="shared" ca="1" si="705"/>
        <v>158.59550216978491</v>
      </c>
      <c r="DR327" s="25">
        <f t="shared" ca="1" si="705"/>
        <v>158.604190758567</v>
      </c>
      <c r="DS327" s="25">
        <f t="shared" ca="1" si="705"/>
        <v>158.61174961461811</v>
      </c>
      <c r="DT327" s="25">
        <f t="shared" ca="1" si="705"/>
        <v>158.61816917832851</v>
      </c>
      <c r="DU327" s="25">
        <f t="shared" ca="1" si="705"/>
        <v>158.62343956854613</v>
      </c>
      <c r="DV327" s="25">
        <f t="shared" ca="1" si="705"/>
        <v>158.62755057744883</v>
      </c>
      <c r="DW327" s="25">
        <f t="shared" ca="1" si="705"/>
        <v>158.63049166530141</v>
      </c>
      <c r="DX327" s="25">
        <f t="shared" ca="1" si="705"/>
        <v>158.63225195509514</v>
      </c>
      <c r="DY327" s="25">
        <f t="shared" ca="1" si="705"/>
        <v>158.6328202270671</v>
      </c>
    </row>
    <row r="328" spans="1:129" s="239" customFormat="1" outlineLevel="1">
      <c r="D328" s="5" t="s">
        <v>199</v>
      </c>
      <c r="G328" s="385"/>
      <c r="J328" s="25">
        <f ca="1">J327*J324</f>
        <v>35.941032692537917</v>
      </c>
      <c r="K328" s="25">
        <f t="shared" ref="K328:BV328" ca="1" si="706">K327*K324</f>
        <v>37.629915058150473</v>
      </c>
      <c r="L328" s="25">
        <f t="shared" ca="1" si="706"/>
        <v>39.367453800106894</v>
      </c>
      <c r="M328" s="25">
        <f t="shared" ca="1" si="706"/>
        <v>41.154473258643741</v>
      </c>
      <c r="N328" s="25">
        <f t="shared" ca="1" si="706"/>
        <v>42.991815748675236</v>
      </c>
      <c r="O328" s="25">
        <f t="shared" ca="1" si="706"/>
        <v>44.88034190440802</v>
      </c>
      <c r="P328" s="25">
        <f t="shared" ca="1" si="706"/>
        <v>46.820931030997087</v>
      </c>
      <c r="Q328" s="25">
        <f t="shared" ca="1" si="706"/>
        <v>48.814481463382172</v>
      </c>
      <c r="R328" s="25">
        <f t="shared" ca="1" si="706"/>
        <v>50.861910932446555</v>
      </c>
      <c r="S328" s="25">
        <f t="shared" ca="1" si="706"/>
        <v>52.964156938643512</v>
      </c>
      <c r="T328" s="25">
        <f t="shared" ca="1" si="706"/>
        <v>55.122177133238154</v>
      </c>
      <c r="U328" s="25">
        <f t="shared" ca="1" si="706"/>
        <v>57.336949707315704</v>
      </c>
      <c r="V328" s="25">
        <f t="shared" ca="1" si="706"/>
        <v>48.542030061554065</v>
      </c>
      <c r="W328" s="25">
        <f t="shared" ca="1" si="706"/>
        <v>50.318252221761789</v>
      </c>
      <c r="X328" s="25">
        <f t="shared" ca="1" si="706"/>
        <v>52.135085635742307</v>
      </c>
      <c r="Y328" s="25">
        <f t="shared" ca="1" si="706"/>
        <v>53.993291660465403</v>
      </c>
      <c r="Z328" s="25">
        <f t="shared" ca="1" si="706"/>
        <v>55.89364738872132</v>
      </c>
      <c r="AA328" s="25">
        <f t="shared" ca="1" si="706"/>
        <v>57.836945958750292</v>
      </c>
      <c r="AB328" s="25">
        <f t="shared" ca="1" si="706"/>
        <v>59.823996870115742</v>
      </c>
      <c r="AC328" s="25">
        <f t="shared" ca="1" si="706"/>
        <v>61.855626305945023</v>
      </c>
      <c r="AD328" s="25">
        <f t="shared" ca="1" si="706"/>
        <v>63.932677461665037</v>
      </c>
      <c r="AE328" s="25">
        <f t="shared" ca="1" si="706"/>
        <v>66.056010880361882</v>
      </c>
      <c r="AF328" s="25">
        <f t="shared" ca="1" si="706"/>
        <v>68.226504794896442</v>
      </c>
      <c r="AG328" s="25">
        <f t="shared" ca="1" si="706"/>
        <v>70.445055476910824</v>
      </c>
      <c r="AH328" s="25">
        <f t="shared" ca="1" si="706"/>
        <v>56.657889700033358</v>
      </c>
      <c r="AI328" s="25">
        <f t="shared" ca="1" si="706"/>
        <v>57.8655079938654</v>
      </c>
      <c r="AJ328" s="25">
        <f t="shared" ca="1" si="706"/>
        <v>59.098824649084492</v>
      </c>
      <c r="AK328" s="25">
        <f t="shared" ca="1" si="706"/>
        <v>60.358338172963222</v>
      </c>
      <c r="AL328" s="25">
        <f t="shared" ca="1" si="706"/>
        <v>61.644557197519262</v>
      </c>
      <c r="AM328" s="25">
        <f t="shared" ca="1" si="706"/>
        <v>62.958000680464174</v>
      </c>
      <c r="AN328" s="25">
        <f t="shared" ca="1" si="706"/>
        <v>64.220391346651482</v>
      </c>
      <c r="AO328" s="25">
        <f t="shared" ca="1" si="706"/>
        <v>65.508808553173694</v>
      </c>
      <c r="AP328" s="25">
        <f t="shared" ca="1" si="706"/>
        <v>66.823765043567391</v>
      </c>
      <c r="AQ328" s="25">
        <f t="shared" ca="1" si="706"/>
        <v>68.165783894112593</v>
      </c>
      <c r="AR328" s="25">
        <f t="shared" ca="1" si="706"/>
        <v>69.535398719708894</v>
      </c>
      <c r="AS328" s="25">
        <f t="shared" ca="1" si="706"/>
        <v>70.93315388387694</v>
      </c>
      <c r="AT328" s="25">
        <f t="shared" ca="1" si="706"/>
        <v>61.845187939446248</v>
      </c>
      <c r="AU328" s="25">
        <f t="shared" ca="1" si="706"/>
        <v>63.088716134709394</v>
      </c>
      <c r="AV328" s="25">
        <f t="shared" ca="1" si="706"/>
        <v>64.357705224173884</v>
      </c>
      <c r="AW328" s="25">
        <f t="shared" ca="1" si="706"/>
        <v>65.652658522420765</v>
      </c>
      <c r="AX328" s="25">
        <f t="shared" ca="1" si="706"/>
        <v>66.974089469355803</v>
      </c>
      <c r="AY328" s="25">
        <f t="shared" ca="1" si="706"/>
        <v>68.322521832125489</v>
      </c>
      <c r="AZ328" s="25">
        <f t="shared" ca="1" si="706"/>
        <v>69.698489911077573</v>
      </c>
      <c r="BA328" s="25">
        <f t="shared" ca="1" si="706"/>
        <v>71.102538749846417</v>
      </c>
      <c r="BB328" s="25">
        <f t="shared" ca="1" si="706"/>
        <v>72.535224349646029</v>
      </c>
      <c r="BC328" s="25">
        <f t="shared" ca="1" si="706"/>
        <v>73.997113887854397</v>
      </c>
      <c r="BD328" s="25">
        <f t="shared" ca="1" si="706"/>
        <v>75.488785940975632</v>
      </c>
      <c r="BE328" s="25">
        <f t="shared" ca="1" si="706"/>
        <v>77.010830712066479</v>
      </c>
      <c r="BF328" s="25">
        <f t="shared" ca="1" si="706"/>
        <v>63.800620684675813</v>
      </c>
      <c r="BG328" s="25">
        <f t="shared" ca="1" si="706"/>
        <v>65.054866450729818</v>
      </c>
      <c r="BH328" s="25">
        <f t="shared" ca="1" si="706"/>
        <v>66.334532366211562</v>
      </c>
      <c r="BI328" s="25">
        <f t="shared" ca="1" si="706"/>
        <v>67.640123481768555</v>
      </c>
      <c r="BJ328" s="25">
        <f t="shared" ca="1" si="706"/>
        <v>68.972154982584669</v>
      </c>
      <c r="BK328" s="25">
        <f t="shared" ca="1" si="706"/>
        <v>70.331152390735582</v>
      </c>
      <c r="BL328" s="25">
        <f t="shared" ca="1" si="706"/>
        <v>71.71765177159476</v>
      </c>
      <c r="BM328" s="25">
        <f t="shared" ca="1" si="706"/>
        <v>73.132199944370996</v>
      </c>
      <c r="BN328" s="25">
        <f t="shared" ca="1" si="706"/>
        <v>74.575354696859591</v>
      </c>
      <c r="BO328" s="25">
        <f t="shared" ca="1" si="706"/>
        <v>76.047685004492195</v>
      </c>
      <c r="BP328" s="25">
        <f t="shared" ca="1" si="706"/>
        <v>77.549771253770828</v>
      </c>
      <c r="BQ328" s="25">
        <f t="shared" ca="1" si="706"/>
        <v>79.082205470173378</v>
      </c>
      <c r="BR328" s="25">
        <f t="shared" ca="1" si="706"/>
        <v>64.439408318541169</v>
      </c>
      <c r="BS328" s="25">
        <f t="shared" ca="1" si="706"/>
        <v>65.563651725598916</v>
      </c>
      <c r="BT328" s="25">
        <f t="shared" ca="1" si="706"/>
        <v>66.638235320746986</v>
      </c>
      <c r="BU328" s="25">
        <f t="shared" ca="1" si="706"/>
        <v>67.662887354547664</v>
      </c>
      <c r="BV328" s="25">
        <f t="shared" ca="1" si="706"/>
        <v>68.637323428106541</v>
      </c>
      <c r="BW328" s="25">
        <f t="shared" ref="BW328:DY328" ca="1" si="707">BW327*BW324</f>
        <v>69.561246312227922</v>
      </c>
      <c r="BX328" s="25">
        <f t="shared" ca="1" si="707"/>
        <v>70.434345762232155</v>
      </c>
      <c r="BY328" s="25">
        <f t="shared" ca="1" si="707"/>
        <v>71.25629832835493</v>
      </c>
      <c r="BZ328" s="25">
        <f t="shared" ca="1" si="707"/>
        <v>72.026767161647385</v>
      </c>
      <c r="CA328" s="25">
        <f t="shared" ca="1" si="707"/>
        <v>72.745401815294457</v>
      </c>
      <c r="CB328" s="25">
        <f t="shared" ca="1" si="707"/>
        <v>73.41183804126635</v>
      </c>
      <c r="CC328" s="25">
        <f t="shared" ca="1" si="707"/>
        <v>74.025697582217049</v>
      </c>
      <c r="CD328" s="25">
        <f t="shared" ca="1" si="707"/>
        <v>74.597634425252778</v>
      </c>
      <c r="CE328" s="25">
        <f t="shared" ca="1" si="707"/>
        <v>75.129366808974211</v>
      </c>
      <c r="CF328" s="25">
        <f t="shared" ca="1" si="707"/>
        <v>75.620607076156773</v>
      </c>
      <c r="CG328" s="25">
        <f t="shared" ca="1" si="707"/>
        <v>76.071056652111878</v>
      </c>
      <c r="CH328" s="25">
        <f t="shared" ca="1" si="707"/>
        <v>76.480405877980672</v>
      </c>
      <c r="CI328" s="25">
        <f t="shared" ca="1" si="707"/>
        <v>76.848333840177474</v>
      </c>
      <c r="CJ328" s="25">
        <f t="shared" ca="1" si="707"/>
        <v>77.174508195910718</v>
      </c>
      <c r="CK328" s="25">
        <f t="shared" ca="1" si="707"/>
        <v>77.458584994708218</v>
      </c>
      <c r="CL328" s="25">
        <f t="shared" ca="1" si="707"/>
        <v>77.700208495871806</v>
      </c>
      <c r="CM328" s="25">
        <f t="shared" ca="1" si="707"/>
        <v>77.899010981784841</v>
      </c>
      <c r="CN328" s="25">
        <f t="shared" ca="1" si="707"/>
        <v>78.05461256699509</v>
      </c>
      <c r="CO328" s="25">
        <f t="shared" ca="1" si="707"/>
        <v>78.166621002992699</v>
      </c>
      <c r="CP328" s="25">
        <f t="shared" ca="1" si="707"/>
        <v>78.270592240070414</v>
      </c>
      <c r="CQ328" s="25">
        <f t="shared" ca="1" si="707"/>
        <v>78.366468331656961</v>
      </c>
      <c r="CR328" s="25">
        <f t="shared" ca="1" si="707"/>
        <v>78.454189120544896</v>
      </c>
      <c r="CS328" s="25">
        <f t="shared" ca="1" si="707"/>
        <v>78.53369222892556</v>
      </c>
      <c r="CT328" s="25">
        <f t="shared" ca="1" si="707"/>
        <v>78.604913024151614</v>
      </c>
      <c r="CU328" s="25">
        <f t="shared" ca="1" si="707"/>
        <v>78.667784583713228</v>
      </c>
      <c r="CV328" s="25">
        <f t="shared" ca="1" si="707"/>
        <v>78.727458810157572</v>
      </c>
      <c r="CW328" s="25">
        <f t="shared" ca="1" si="707"/>
        <v>78.784151360516717</v>
      </c>
      <c r="CX328" s="25">
        <f t="shared" ca="1" si="707"/>
        <v>78.837844352875095</v>
      </c>
      <c r="CY328" s="25">
        <f t="shared" ca="1" si="707"/>
        <v>78.888519130162791</v>
      </c>
      <c r="CZ328" s="25">
        <f t="shared" ca="1" si="707"/>
        <v>78.936156248827544</v>
      </c>
      <c r="DA328" s="25">
        <f t="shared" ca="1" si="707"/>
        <v>78.980735467238574</v>
      </c>
      <c r="DB328" s="25">
        <f t="shared" ca="1" si="707"/>
        <v>79.02217824461313</v>
      </c>
      <c r="DC328" s="25">
        <f t="shared" ca="1" si="707"/>
        <v>79.060620403531161</v>
      </c>
      <c r="DD328" s="25">
        <f t="shared" ca="1" si="707"/>
        <v>79.096040226363627</v>
      </c>
      <c r="DE328" s="25">
        <f t="shared" ca="1" si="707"/>
        <v>79.128415178181427</v>
      </c>
      <c r="DF328" s="25">
        <f t="shared" ca="1" si="707"/>
        <v>79.157721894238989</v>
      </c>
      <c r="DG328" s="25">
        <f t="shared" ca="1" si="707"/>
        <v>79.183936167169037</v>
      </c>
      <c r="DH328" s="25">
        <f t="shared" ca="1" si="707"/>
        <v>79.207032933883596</v>
      </c>
      <c r="DI328" s="25">
        <f t="shared" ca="1" si="707"/>
        <v>79.226986262175004</v>
      </c>
      <c r="DJ328" s="25">
        <f t="shared" ca="1" si="707"/>
        <v>79.243769337012424</v>
      </c>
      <c r="DK328" s="25">
        <f t="shared" ca="1" si="707"/>
        <v>79.257354446526961</v>
      </c>
      <c r="DL328" s="25">
        <f t="shared" ca="1" si="707"/>
        <v>79.267712967680353</v>
      </c>
      <c r="DM328" s="25">
        <f t="shared" ca="1" si="707"/>
        <v>79.274815351610897</v>
      </c>
      <c r="DN328" s="25">
        <f t="shared" ca="1" si="707"/>
        <v>79.281374442261395</v>
      </c>
      <c r="DO328" s="25">
        <f t="shared" ca="1" si="707"/>
        <v>79.287386227362305</v>
      </c>
      <c r="DP328" s="25">
        <f t="shared" ca="1" si="707"/>
        <v>79.292846545676269</v>
      </c>
      <c r="DQ328" s="25">
        <f t="shared" ca="1" si="707"/>
        <v>79.297751084892454</v>
      </c>
      <c r="DR328" s="25">
        <f t="shared" ca="1" si="707"/>
        <v>79.3020953792835</v>
      </c>
      <c r="DS328" s="25">
        <f t="shared" ca="1" si="707"/>
        <v>79.305874807309053</v>
      </c>
      <c r="DT328" s="25">
        <f t="shared" ca="1" si="707"/>
        <v>79.309084589164257</v>
      </c>
      <c r="DU328" s="25">
        <f t="shared" ca="1" si="707"/>
        <v>79.311719784273066</v>
      </c>
      <c r="DV328" s="25">
        <f t="shared" ca="1" si="707"/>
        <v>79.313775288724415</v>
      </c>
      <c r="DW328" s="25">
        <f t="shared" ca="1" si="707"/>
        <v>79.315245832650703</v>
      </c>
      <c r="DX328" s="25">
        <f t="shared" ca="1" si="707"/>
        <v>79.316125977547571</v>
      </c>
      <c r="DY328" s="25">
        <f t="shared" ca="1" si="707"/>
        <v>79.31641011353355</v>
      </c>
    </row>
    <row r="329" spans="1:129" outlineLevel="1">
      <c r="D329" s="141" t="s">
        <v>200</v>
      </c>
      <c r="F329" s="9"/>
      <c r="G329" s="260" t="s">
        <v>671</v>
      </c>
      <c r="H329" s="430">
        <f>_CO2saved</f>
        <v>0.13</v>
      </c>
      <c r="J329" s="35">
        <f ca="1">+J325*$H$329</f>
        <v>1233.5319642852394</v>
      </c>
      <c r="K329" s="35">
        <f t="shared" ref="K329:BV329" ca="1" si="708">+K325*$H$329</f>
        <v>1298.2838485704785</v>
      </c>
      <c r="L329" s="35">
        <f t="shared" ca="1" si="708"/>
        <v>1364.2800512557178</v>
      </c>
      <c r="M329" s="35">
        <f t="shared" ca="1" si="708"/>
        <v>1431.5454587089571</v>
      </c>
      <c r="N329" s="35">
        <f t="shared" ca="1" si="708"/>
        <v>1500.1054550255562</v>
      </c>
      <c r="O329" s="35">
        <f t="shared" ca="1" si="708"/>
        <v>1569.9859319827826</v>
      </c>
      <c r="P329" s="35">
        <f t="shared" ca="1" si="708"/>
        <v>1641.2132991934486</v>
      </c>
      <c r="Q329" s="35">
        <f t="shared" ca="1" si="708"/>
        <v>1713.8144944626233</v>
      </c>
      <c r="R329" s="35">
        <f t="shared" ca="1" si="708"/>
        <v>1787.8169943514768</v>
      </c>
      <c r="S329" s="35">
        <f t="shared" ca="1" si="708"/>
        <v>1863.2488249524024</v>
      </c>
      <c r="T329" s="35">
        <f t="shared" ca="1" si="708"/>
        <v>1940.1385728796417</v>
      </c>
      <c r="U329" s="35">
        <f t="shared" ca="1" si="708"/>
        <v>2018.5153964797214</v>
      </c>
      <c r="V329" s="35">
        <f t="shared" ca="1" si="708"/>
        <v>2098.7092484602213</v>
      </c>
      <c r="W329" s="35">
        <f t="shared" ca="1" si="708"/>
        <v>2180.473760897542</v>
      </c>
      <c r="X329" s="35">
        <f t="shared" ca="1" si="708"/>
        <v>2263.8403470008197</v>
      </c>
      <c r="Y329" s="35">
        <f t="shared" ca="1" si="708"/>
        <v>2348.8410482433742</v>
      </c>
      <c r="Z329" s="35">
        <f t="shared" ca="1" si="708"/>
        <v>2435.5085469279902</v>
      </c>
      <c r="AA329" s="35">
        <f t="shared" ca="1" si="708"/>
        <v>2523.8761790035087</v>
      </c>
      <c r="AB329" s="35">
        <f t="shared" ca="1" si="708"/>
        <v>2613.9779471377483</v>
      </c>
      <c r="AC329" s="35">
        <f t="shared" ca="1" si="708"/>
        <v>2705.8485340518837</v>
      </c>
      <c r="AD329" s="35">
        <f t="shared" ca="1" si="708"/>
        <v>2799.5233161215124</v>
      </c>
      <c r="AE329" s="35">
        <f t="shared" ca="1" si="708"/>
        <v>2895.0383772497444</v>
      </c>
      <c r="AF329" s="35">
        <f t="shared" ca="1" si="708"/>
        <v>2992.4305230177515</v>
      </c>
      <c r="AG329" s="35">
        <f t="shared" ca="1" si="708"/>
        <v>3091.7372951183293</v>
      </c>
      <c r="AH329" s="35">
        <f t="shared" ca="1" si="708"/>
        <v>3194.9333927464008</v>
      </c>
      <c r="AI329" s="35">
        <f t="shared" ca="1" si="708"/>
        <v>3300.186059782191</v>
      </c>
      <c r="AJ329" s="35">
        <f t="shared" ca="1" si="708"/>
        <v>3407.5364276138539</v>
      </c>
      <c r="AK329" s="35">
        <f t="shared" ca="1" si="708"/>
        <v>3517.0264502573077</v>
      </c>
      <c r="AL329" s="35">
        <f t="shared" ca="1" si="708"/>
        <v>3628.6989208087875</v>
      </c>
      <c r="AM329" s="35">
        <f t="shared" ca="1" si="708"/>
        <v>3742.5974882264545</v>
      </c>
      <c r="AN329" s="35">
        <f t="shared" ca="1" si="708"/>
        <v>3859.0196344293504</v>
      </c>
      <c r="AO329" s="35">
        <f t="shared" ca="1" si="708"/>
        <v>3977.7676202387779</v>
      </c>
      <c r="AP329" s="35">
        <f t="shared" ca="1" si="708"/>
        <v>4098.8879624468682</v>
      </c>
      <c r="AQ329" s="35">
        <f t="shared" ca="1" si="708"/>
        <v>4222.4281081815943</v>
      </c>
      <c r="AR329" s="35">
        <f t="shared" ca="1" si="708"/>
        <v>4348.4364535134891</v>
      </c>
      <c r="AS329" s="35">
        <f t="shared" ca="1" si="708"/>
        <v>4476.9623624344958</v>
      </c>
      <c r="AT329" s="35">
        <f t="shared" ca="1" si="708"/>
        <v>4608.0585449101254</v>
      </c>
      <c r="AU329" s="35">
        <f t="shared" ca="1" si="708"/>
        <v>4741.7741852326517</v>
      </c>
      <c r="AV329" s="35">
        <f t="shared" ca="1" si="708"/>
        <v>4878.1616725590138</v>
      </c>
      <c r="AW329" s="35">
        <f t="shared" ca="1" si="708"/>
        <v>5017.2744438292884</v>
      </c>
      <c r="AX329" s="35">
        <f t="shared" ca="1" si="708"/>
        <v>5159.1670047223533</v>
      </c>
      <c r="AY329" s="35">
        <f t="shared" ca="1" si="708"/>
        <v>5303.8949510306647</v>
      </c>
      <c r="AZ329" s="35">
        <f t="shared" ca="1" si="708"/>
        <v>5451.5149904625259</v>
      </c>
      <c r="BA329" s="35">
        <f t="shared" ca="1" si="708"/>
        <v>5602.0849648804096</v>
      </c>
      <c r="BB329" s="35">
        <f t="shared" ca="1" si="708"/>
        <v>5755.6638729840361</v>
      </c>
      <c r="BC329" s="35">
        <f t="shared" ca="1" si="708"/>
        <v>5912.3118934471204</v>
      </c>
      <c r="BD329" s="35">
        <f t="shared" ca="1" si="708"/>
        <v>6072.0904085168504</v>
      </c>
      <c r="BE329" s="35">
        <f t="shared" ca="1" si="708"/>
        <v>6235.0620280853609</v>
      </c>
      <c r="BF329" s="35">
        <f t="shared" ca="1" si="708"/>
        <v>6401.4408718423292</v>
      </c>
      <c r="BG329" s="35">
        <f t="shared" ca="1" si="708"/>
        <v>6571.1467490507239</v>
      </c>
      <c r="BH329" s="35">
        <f t="shared" ca="1" si="708"/>
        <v>6744.2462003795727</v>
      </c>
      <c r="BI329" s="35">
        <f t="shared" ca="1" si="708"/>
        <v>6920.8070973112854</v>
      </c>
      <c r="BJ329" s="35">
        <f t="shared" ca="1" si="708"/>
        <v>7100.8986687579181</v>
      </c>
      <c r="BK329" s="35">
        <f t="shared" ca="1" si="708"/>
        <v>7284.5915282097712</v>
      </c>
      <c r="BL329" s="35">
        <f t="shared" ca="1" si="708"/>
        <v>7471.957701426948</v>
      </c>
      <c r="BM329" s="35">
        <f t="shared" ca="1" si="708"/>
        <v>7663.070654684755</v>
      </c>
      <c r="BN329" s="35">
        <f t="shared" ca="1" si="708"/>
        <v>7858.0053235840051</v>
      </c>
      <c r="BO329" s="35">
        <f t="shared" ca="1" si="708"/>
        <v>8056.8381424375275</v>
      </c>
      <c r="BP329" s="35">
        <f t="shared" ca="1" si="708"/>
        <v>8259.6470742444053</v>
      </c>
      <c r="BQ329" s="35">
        <f t="shared" ca="1" si="708"/>
        <v>8466.511641263709</v>
      </c>
      <c r="BR329" s="35">
        <f t="shared" ca="1" si="708"/>
        <v>8673.6075733678354</v>
      </c>
      <c r="BS329" s="35">
        <f t="shared" ca="1" si="708"/>
        <v>8880.9211202483893</v>
      </c>
      <c r="BT329" s="35">
        <f t="shared" ca="1" si="708"/>
        <v>9088.4566342009039</v>
      </c>
      <c r="BU329" s="35">
        <f t="shared" ca="1" si="708"/>
        <v>9296.2185545668162</v>
      </c>
      <c r="BV329" s="35">
        <f t="shared" ca="1" si="708"/>
        <v>9504.2114094743956</v>
      </c>
      <c r="BW329" s="35">
        <f t="shared" ref="BW329:DY329" ca="1" si="709">+BW325*$H$329</f>
        <v>9712.439817614475</v>
      </c>
      <c r="BX329" s="35">
        <f t="shared" ca="1" si="709"/>
        <v>9920.9084900517064</v>
      </c>
      <c r="BY329" s="35">
        <f t="shared" ca="1" si="709"/>
        <v>10129.622232072028</v>
      </c>
      <c r="BZ329" s="35">
        <f t="shared" ca="1" si="709"/>
        <v>10338.585945067105</v>
      </c>
      <c r="CA329" s="35">
        <f t="shared" ca="1" si="709"/>
        <v>10547.804628456432</v>
      </c>
      <c r="CB329" s="35">
        <f t="shared" ca="1" si="709"/>
        <v>10757.283381647892</v>
      </c>
      <c r="CC329" s="35">
        <f t="shared" ca="1" si="709"/>
        <v>10967.02740603753</v>
      </c>
      <c r="CD329" s="35">
        <f t="shared" ca="1" si="709"/>
        <v>11176.978183019422</v>
      </c>
      <c r="CE329" s="35">
        <f t="shared" ca="1" si="709"/>
        <v>11387.128207193087</v>
      </c>
      <c r="CF329" s="35">
        <f t="shared" ca="1" si="709"/>
        <v>11597.481463502363</v>
      </c>
      <c r="CG329" s="35">
        <f t="shared" ca="1" si="709"/>
        <v>11808.04201658996</v>
      </c>
      <c r="CH329" s="35">
        <f t="shared" ca="1" si="709"/>
        <v>12018.814012391445</v>
      </c>
      <c r="CI329" s="35">
        <f t="shared" ca="1" si="709"/>
        <v>12229.801679761096</v>
      </c>
      <c r="CJ329" s="35">
        <f t="shared" ca="1" si="709"/>
        <v>12441.009332130276</v>
      </c>
      <c r="CK329" s="35">
        <f t="shared" ca="1" si="709"/>
        <v>12652.441369198976</v>
      </c>
      <c r="CL329" s="35">
        <f t="shared" ca="1" si="709"/>
        <v>12864.102278661185</v>
      </c>
      <c r="CM329" s="35">
        <f t="shared" ca="1" si="709"/>
        <v>13075.996637964774</v>
      </c>
      <c r="CN329" s="35">
        <f t="shared" ca="1" si="709"/>
        <v>13288.129116106573</v>
      </c>
      <c r="CO329" s="35">
        <f t="shared" ca="1" si="709"/>
        <v>13500.504475463344</v>
      </c>
      <c r="CP329" s="35">
        <f t="shared" ca="1" si="709"/>
        <v>13712.919800370904</v>
      </c>
      <c r="CQ329" s="35">
        <f t="shared" ca="1" si="709"/>
        <v>13925.375890003161</v>
      </c>
      <c r="CR329" s="35">
        <f t="shared" ca="1" si="709"/>
        <v>14137.873559654605</v>
      </c>
      <c r="CS329" s="35">
        <f t="shared" ca="1" si="709"/>
        <v>14350.413640925623</v>
      </c>
      <c r="CT329" s="35">
        <f t="shared" ca="1" si="709"/>
        <v>14562.996982048608</v>
      </c>
      <c r="CU329" s="35">
        <f t="shared" ca="1" si="709"/>
        <v>14775.624448220595</v>
      </c>
      <c r="CV329" s="35">
        <f t="shared" ca="1" si="709"/>
        <v>14988.266755293816</v>
      </c>
      <c r="CW329" s="35">
        <f t="shared" ca="1" si="709"/>
        <v>15200.92284198467</v>
      </c>
      <c r="CX329" s="35">
        <f t="shared" ca="1" si="709"/>
        <v>15413.592983885508</v>
      </c>
      <c r="CY329" s="35">
        <f t="shared" ca="1" si="709"/>
        <v>15626.277462100528</v>
      </c>
      <c r="CZ329" s="35">
        <f t="shared" ca="1" si="709"/>
        <v>15838.976563356016</v>
      </c>
      <c r="DA329" s="35">
        <f t="shared" ca="1" si="709"/>
        <v>16051.690580112781</v>
      </c>
      <c r="DB329" s="35">
        <f t="shared" ca="1" si="709"/>
        <v>16264.420142840692</v>
      </c>
      <c r="DC329" s="35">
        <f t="shared" ca="1" si="709"/>
        <v>16477.164648003658</v>
      </c>
      <c r="DD329" s="35">
        <f t="shared" ca="1" si="709"/>
        <v>16689.924394450383</v>
      </c>
      <c r="DE329" s="35">
        <f t="shared" ca="1" si="709"/>
        <v>16902.699687006541</v>
      </c>
      <c r="DF329" s="35">
        <f t="shared" ca="1" si="709"/>
        <v>17115.490836594319</v>
      </c>
      <c r="DG329" s="35">
        <f t="shared" ca="1" si="709"/>
        <v>17328.298160354349</v>
      </c>
      <c r="DH329" s="35">
        <f t="shared" ca="1" si="709"/>
        <v>17541.121981770077</v>
      </c>
      <c r="DI329" s="35">
        <f t="shared" ca="1" si="709"/>
        <v>17753.962630794616</v>
      </c>
      <c r="DJ329" s="35">
        <f t="shared" ca="1" si="709"/>
        <v>17966.820443980148</v>
      </c>
      <c r="DK329" s="35">
        <f t="shared" ca="1" si="709"/>
        <v>18179.695764609889</v>
      </c>
      <c r="DL329" s="35">
        <f t="shared" ca="1" si="709"/>
        <v>18392.588942832717</v>
      </c>
      <c r="DM329" s="35">
        <f t="shared" ca="1" si="709"/>
        <v>18605.500335800505</v>
      </c>
      <c r="DN329" s="35">
        <f t="shared" ca="1" si="709"/>
        <v>18818.414457436167</v>
      </c>
      <c r="DO329" s="35">
        <f t="shared" ca="1" si="709"/>
        <v>19031.331362311994</v>
      </c>
      <c r="DP329" s="35">
        <f t="shared" ca="1" si="709"/>
        <v>19244.251106092783</v>
      </c>
      <c r="DQ329" s="35">
        <f t="shared" ca="1" si="709"/>
        <v>19457.173745556633</v>
      </c>
      <c r="DR329" s="35">
        <f t="shared" ca="1" si="709"/>
        <v>19670.099338617205</v>
      </c>
      <c r="DS329" s="35">
        <f t="shared" ca="1" si="709"/>
        <v>19883.027944346435</v>
      </c>
      <c r="DT329" s="35">
        <f t="shared" ca="1" si="709"/>
        <v>20095.9596229977</v>
      </c>
      <c r="DU329" s="35">
        <f t="shared" ca="1" si="709"/>
        <v>20308.894436029437</v>
      </c>
      <c r="DV329" s="35">
        <f t="shared" ca="1" si="709"/>
        <v>20521.83244612925</v>
      </c>
      <c r="DW329" s="35">
        <f t="shared" ca="1" si="709"/>
        <v>20734.773717238513</v>
      </c>
      <c r="DX329" s="35">
        <f t="shared" ca="1" si="709"/>
        <v>20947.718314577403</v>
      </c>
      <c r="DY329" s="35">
        <f t="shared" ca="1" si="709"/>
        <v>21160.666304670518</v>
      </c>
    </row>
    <row r="330" spans="1:129">
      <c r="D330" s="141"/>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row>
    <row r="331" spans="1:129" s="163" customFormat="1">
      <c r="A331" s="160" t="s">
        <v>40</v>
      </c>
      <c r="B331" s="338"/>
      <c r="C331" s="161"/>
      <c r="D331" s="161"/>
      <c r="E331" s="161"/>
      <c r="F331" s="161"/>
      <c r="G331" s="161"/>
      <c r="H331" s="161"/>
      <c r="I331" s="161"/>
      <c r="J331" s="339"/>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row>
    <row r="333" spans="1:129">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row>
  </sheetData>
  <sheetProtection sheet="1" objects="1" scenarios="1"/>
  <conditionalFormatting sqref="J220:DY220">
    <cfRule type="cellIs" dxfId="23" priority="17" operator="lessThan">
      <formula>0</formula>
    </cfRule>
  </conditionalFormatting>
  <conditionalFormatting sqref="J241:DY241">
    <cfRule type="cellIs" dxfId="22" priority="16" operator="lessThan">
      <formula>0</formula>
    </cfRule>
  </conditionalFormatting>
  <conditionalFormatting sqref="J331">
    <cfRule type="colorScale" priority="15">
      <colorScale>
        <cfvo type="num" val="0"/>
        <cfvo type="num" val="1"/>
        <color rgb="FF00B050"/>
        <color rgb="FFFFC000"/>
      </colorScale>
    </cfRule>
  </conditionalFormatting>
  <conditionalFormatting sqref="J317:DY317">
    <cfRule type="cellIs" dxfId="21" priority="13" operator="greaterThan">
      <formula>$G$317</formula>
    </cfRule>
    <cfRule type="cellIs" dxfId="20" priority="14" operator="lessThan">
      <formula>$G$319</formula>
    </cfRule>
  </conditionalFormatting>
  <conditionalFormatting sqref="J318:DY318">
    <cfRule type="cellIs" dxfId="19" priority="11" operator="greaterThan">
      <formula>$G$318</formula>
    </cfRule>
    <cfRule type="cellIs" dxfId="18" priority="12" operator="lessThan">
      <formula>$G$318</formula>
    </cfRule>
  </conditionalFormatting>
  <conditionalFormatting sqref="J319:DY319">
    <cfRule type="cellIs" dxfId="17" priority="9" operator="greaterThan">
      <formula>$G$319</formula>
    </cfRule>
    <cfRule type="cellIs" dxfId="16" priority="10" operator="lessThan">
      <formula>$G$319</formula>
    </cfRule>
  </conditionalFormatting>
  <conditionalFormatting sqref="J320:DY320">
    <cfRule type="cellIs" dxfId="15" priority="7" operator="greaterThan">
      <formula>$G$320</formula>
    </cfRule>
    <cfRule type="cellIs" dxfId="14" priority="8" operator="lessThan">
      <formula>$G$320</formula>
    </cfRule>
  </conditionalFormatting>
  <dataValidations count="1">
    <dataValidation allowBlank="1" showErrorMessage="1" sqref="C194:C197 D315:D321 D308:D313 C184:C187" xr:uid="{00000000-0002-0000-0700-000000000000}"/>
  </dataValidations>
  <hyperlinks>
    <hyperlink ref="B3" location="'Cover page'!A1" display="Cover page" xr:uid="{00000000-0004-0000-0700-000000000000}"/>
  </hyperlinks>
  <pageMargins left="0.7" right="0.7" top="0.75" bottom="0.75" header="0.3" footer="0.3"/>
  <pageSetup scale="31" orientation="portrait" horizontalDpi="1200" verticalDpi="1200" r:id="rId1"/>
  <rowBreaks count="2" manualBreakCount="2">
    <brk id="97" max="80" man="1"/>
    <brk id="198" max="16383" man="1"/>
  </rowBreaks>
  <colBreaks count="5" manualBreakCount="5">
    <brk id="21" max="1048575" man="1"/>
    <brk id="33" max="1048575" man="1"/>
    <brk id="45" max="1048575" man="1"/>
    <brk id="57" max="1048575" man="1"/>
    <brk id="69" max="1048575" man="1"/>
  </colBreaks>
  <ignoredErrors>
    <ignoredError sqref="K175:CB175"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54C2F40240DB4AABC9335D350A67AE" ma:contentTypeVersion="22" ma:contentTypeDescription="Create a new document." ma:contentTypeScope="" ma:versionID="5fe0a4e8ef6d94d73ce599586b7e534f">
  <xsd:schema xmlns:xsd="http://www.w3.org/2001/XMLSchema" xmlns:xs="http://www.w3.org/2001/XMLSchema" xmlns:p="http://schemas.microsoft.com/office/2006/metadata/properties" xmlns:ns2="20a7cf4c-3b4e-4692-8b44-a2de3f52e2c2" xmlns:ns3="9b616412-78c0-48fa-b8bd-6e91a25f2c8e" xmlns:ns4="894a2f54-eef5-4f88-a370-9ee81b5448c4" targetNamespace="http://schemas.microsoft.com/office/2006/metadata/properties" ma:root="true" ma:fieldsID="b9d0a33eef95e006598c9c8c92eb680f" ns2:_="" ns3:_="" ns4:_="">
    <xsd:import namespace="20a7cf4c-3b4e-4692-8b44-a2de3f52e2c2"/>
    <xsd:import namespace="9b616412-78c0-48fa-b8bd-6e91a25f2c8e"/>
    <xsd:import namespace="894a2f54-eef5-4f88-a370-9ee81b5448c4"/>
    <xsd:element name="properties">
      <xsd:complexType>
        <xsd:sequence>
          <xsd:element name="documentManagement">
            <xsd:complexType>
              <xsd:all>
                <xsd:element ref="ns2:Topic" minOccurs="0"/>
                <xsd:element ref="ns2:Funder"/>
                <xsd:element ref="ns2:Document_x0020_Purpose" minOccurs="0"/>
                <xsd:element ref="ns2:Document_x0020_Status" minOccurs="0"/>
                <xsd:element ref="ns3:SharedWithUsers" minOccurs="0"/>
                <xsd:element ref="ns3:SharedWithDetails" minOccurs="0"/>
                <xsd:element ref="ns2:MediaServiceMetadata" minOccurs="0"/>
                <xsd:element ref="ns2:MediaServiceFastMetadata" minOccurs="0"/>
                <xsd:element ref="ns2:lcf76f155ced4ddcb4097134ff3c332f" minOccurs="0"/>
                <xsd:element ref="ns4: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a7cf4c-3b4e-4692-8b44-a2de3f52e2c2" elementFormDefault="qualified">
    <xsd:import namespace="http://schemas.microsoft.com/office/2006/documentManagement/types"/>
    <xsd:import namespace="http://schemas.microsoft.com/office/infopath/2007/PartnerControls"/>
    <xsd:element name="Topic" ma:index="8" nillable="true" ma:displayName="Activity" ma:format="Dropdown" ma:indexed="true" ma:internalName="Topic" ma:readOnly="false">
      <xsd:simpleType>
        <xsd:restriction base="dms:Choice">
          <xsd:enumeration value="Future LMD Business Trends Research"/>
          <xsd:enumeration value="Innovation Pilot"/>
          <xsd:enumeration value="Webinars and Workshops"/>
          <xsd:enumeration value="Enable Peer learning opportunities"/>
          <xsd:enumeration value="Third-Party TA"/>
          <xsd:enumeration value="Training Programme"/>
          <xsd:enumeration value="Exploring Incubator Partnerships"/>
          <xsd:enumeration value="Procurement Pilot Phase 2"/>
          <xsd:enumeration value="Product Field Test Lab"/>
          <xsd:enumeration value="Investment Readiness Tools"/>
          <xsd:enumeration value="Structured Dialogue Among Investors"/>
          <xsd:enumeration value="Fund Design Support"/>
          <xsd:enumeration value="Online data room for LMDs"/>
          <xsd:enumeration value="State of the Sector Report"/>
          <xsd:enumeration value="Profitability Research"/>
          <xsd:enumeration value="Lean Data Customer Insights &amp; Benchmarking Tool"/>
          <xsd:enumeration value="In Person Events"/>
          <xsd:enumeration value="Help other support the LMD sector"/>
          <xsd:enumeration value="Awards"/>
          <xsd:enumeration value="Thought leadership"/>
          <xsd:enumeration value="Governance"/>
        </xsd:restriction>
      </xsd:simpleType>
    </xsd:element>
    <xsd:element name="Funder" ma:index="9" ma:displayName="Funder" ma:format="Dropdown" ma:indexed="true" ma:internalName="Funder" ma:readOnly="false">
      <xsd:simpleType>
        <xsd:restriction base="dms:Choice">
          <xsd:enumeration value="FCDO (TEA2)"/>
          <xsd:enumeration value="Get.invest"/>
          <xsd:enumeration value="EEP Africa"/>
          <xsd:enumeration value="USAID"/>
          <xsd:enumeration value="BII"/>
          <xsd:enumeration value="EEP"/>
          <xsd:enumeration value="P4G"/>
          <xsd:enumeration value="FCDO (TEA 1)"/>
          <xsd:enumeration value="IBAN"/>
          <xsd:enumeration value="No Funder"/>
        </xsd:restriction>
      </xsd:simpleType>
    </xsd:element>
    <xsd:element name="Document_x0020_Purpose" ma:index="10" nillable="true" ma:displayName="Document Purpose" ma:format="Dropdown" ma:indexed="true" ma:internalName="Document_x0020_Purpose" ma:readOnly="false">
      <xsd:simpleType>
        <xsd:restriction base="dms:Choice">
          <xsd:enumeration value="Knowledge Product: Blog"/>
          <xsd:enumeration value="Knowledge Product: Video"/>
          <xsd:enumeration value="Knowledge Product: How to guide"/>
          <xsd:enumeration value="Knowledge Product: Infographic"/>
          <xsd:enumeration value="Knowledge Product: Podcast"/>
          <xsd:enumeration value="Knowledge Product: Report"/>
          <xsd:enumeration value="Knowledge Product: Tool"/>
          <xsd:enumeration value="Knowledge Product: Webinar"/>
          <xsd:enumeration value="Image/Photo"/>
          <xsd:enumeration value="Meeting Notes"/>
          <xsd:enumeration value="PM Tool/Workplan"/>
          <xsd:enumeration value="Donor Report"/>
          <xsd:enumeration value="Guidance/Template"/>
          <xsd:enumeration value="Contract/MOU/ToR/Process"/>
          <xsd:enumeration value="Other"/>
        </xsd:restriction>
      </xsd:simpleType>
    </xsd:element>
    <xsd:element name="Document_x0020_Status" ma:index="11" nillable="true" ma:displayName="Document Status" ma:format="Dropdown" ma:internalName="Document_x0020_Status" ma:readOnly="false">
      <xsd:simpleType>
        <xsd:restriction base="dms:Choice">
          <xsd:enumeration value="Final"/>
          <xsd:enumeration value="Draft"/>
          <xsd:enumeration value="Archive"/>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6b12b93-54e4-4717-aec7-3f7ceefd271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b616412-78c0-48fa-b8bd-6e91a25f2c8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4a2f54-eef5-4f88-a370-9ee81b5448c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ad8f607-cfd7-4318-b12a-ce31c7b265a5}" ma:internalName="TaxCatchAll" ma:showField="CatchAllData" ma:web="9b616412-78c0-48fa-b8bd-6e91a25f2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94a2f54-eef5-4f88-a370-9ee81b5448c4" xsi:nil="true"/>
    <Topic xmlns="20a7cf4c-3b4e-4692-8b44-a2de3f52e2c2" xsi:nil="true"/>
    <Funder xmlns="20a7cf4c-3b4e-4692-8b44-a2de3f52e2c2">Get.invest</Funder>
    <Document_x0020_Purpose xmlns="20a7cf4c-3b4e-4692-8b44-a2de3f52e2c2" xsi:nil="true"/>
    <lcf76f155ced4ddcb4097134ff3c332f xmlns="20a7cf4c-3b4e-4692-8b44-a2de3f52e2c2">
      <Terms xmlns="http://schemas.microsoft.com/office/infopath/2007/PartnerControls"/>
    </lcf76f155ced4ddcb4097134ff3c332f>
    <Document_x0020_Status xmlns="20a7cf4c-3b4e-4692-8b44-a2de3f52e2c2" xsi:nil="true"/>
  </documentManagement>
</p:properties>
</file>

<file path=customXml/itemProps1.xml><?xml version="1.0" encoding="utf-8"?>
<ds:datastoreItem xmlns:ds="http://schemas.openxmlformats.org/officeDocument/2006/customXml" ds:itemID="{69A5525A-67E8-4BED-91C9-526ECB8BF6B2}">
  <ds:schemaRefs>
    <ds:schemaRef ds:uri="http://schemas.microsoft.com/sharepoint/v3/contenttype/forms"/>
  </ds:schemaRefs>
</ds:datastoreItem>
</file>

<file path=customXml/itemProps2.xml><?xml version="1.0" encoding="utf-8"?>
<ds:datastoreItem xmlns:ds="http://schemas.openxmlformats.org/officeDocument/2006/customXml" ds:itemID="{CD82158D-6ABE-4CA3-AC90-695C20697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a7cf4c-3b4e-4692-8b44-a2de3f52e2c2"/>
    <ds:schemaRef ds:uri="9b616412-78c0-48fa-b8bd-6e91a25f2c8e"/>
    <ds:schemaRef ds:uri="894a2f54-eef5-4f88-a370-9ee81b5448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B1F62D-888A-4BAF-A6AA-3FB385038D3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2ea4515-a05d-4e2c-a933-5268fac806da"/>
    <ds:schemaRef ds:uri="baa515a5-6f13-4d2a-8d6b-0dd4a09b09ae"/>
    <ds:schemaRef ds:uri="http://www.w3.org/XML/1998/namespace"/>
    <ds:schemaRef ds:uri="http://purl.org/dc/dcmitype/"/>
    <ds:schemaRef ds:uri="894a2f54-eef5-4f88-a370-9ee81b5448c4"/>
    <ds:schemaRef ds:uri="20a7cf4c-3b4e-4692-8b44-a2de3f52e2c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226</vt:i4>
      </vt:variant>
    </vt:vector>
  </HeadingPairs>
  <TitlesOfParts>
    <vt:vector size="240" baseType="lpstr">
      <vt:lpstr>Cover page</vt:lpstr>
      <vt:lpstr>Dashboard</vt:lpstr>
      <vt:lpstr>Model Assumptions</vt:lpstr>
      <vt:lpstr>Model Assumptions - Scenarios</vt:lpstr>
      <vt:lpstr>List</vt:lpstr>
      <vt:lpstr>Flags</vt:lpstr>
      <vt:lpstr>Financing</vt:lpstr>
      <vt:lpstr>Cost of capital</vt:lpstr>
      <vt:lpstr>Detailed Model (LCY)</vt:lpstr>
      <vt:lpstr>Macro Model (LCY)</vt:lpstr>
      <vt:lpstr>Macro Model (USD)</vt:lpstr>
      <vt:lpstr>Unit economics (LCY)</vt:lpstr>
      <vt:lpstr>Sensitivity analysis (USD)</vt:lpstr>
      <vt:lpstr>Master error check</vt:lpstr>
      <vt:lpstr>_activeinstallationsBoPP1</vt:lpstr>
      <vt:lpstr>_activeinstallationsBoPP2</vt:lpstr>
      <vt:lpstr>_activeinstallationsBoPP3</vt:lpstr>
      <vt:lpstr>_activeinstallationsBoPP4</vt:lpstr>
      <vt:lpstr>_activeinstallationsBoPP5</vt:lpstr>
      <vt:lpstr>_activeinstallationsEoP</vt:lpstr>
      <vt:lpstr>_activeinstallationsEoPP1</vt:lpstr>
      <vt:lpstr>_activeinstallationsEoPP2</vt:lpstr>
      <vt:lpstr>_activeinstallationsEoPP3</vt:lpstr>
      <vt:lpstr>_activeinstallationsEoPP4</vt:lpstr>
      <vt:lpstr>_activeinstallationsEoPP5</vt:lpstr>
      <vt:lpstr>_arpuP1</vt:lpstr>
      <vt:lpstr>_arpuP2</vt:lpstr>
      <vt:lpstr>_arpuP3</vt:lpstr>
      <vt:lpstr>_arpuP4</vt:lpstr>
      <vt:lpstr>_arpuP5</vt:lpstr>
      <vt:lpstr>_averagelife</vt:lpstr>
      <vt:lpstr>_averagenumbermonthlypayments</vt:lpstr>
      <vt:lpstr>_Avg.ARPU</vt:lpstr>
      <vt:lpstr>_Avg.CapCost</vt:lpstr>
      <vt:lpstr>_Avg.DP</vt:lpstr>
      <vt:lpstr>_bsAccumProfit</vt:lpstr>
      <vt:lpstr>_bsCash</vt:lpstr>
      <vt:lpstr>_bsDebt</vt:lpstr>
      <vt:lpstr>_bsEquity</vt:lpstr>
      <vt:lpstr>_bsFixedAssets</vt:lpstr>
      <vt:lpstr>_bsInventory</vt:lpstr>
      <vt:lpstr>_bsReceivables</vt:lpstr>
      <vt:lpstr>_bsTotalAssets</vt:lpstr>
      <vt:lpstr>_bsTotalCurrentAssets</vt:lpstr>
      <vt:lpstr>_CapCostP1</vt:lpstr>
      <vt:lpstr>_CapCostP2</vt:lpstr>
      <vt:lpstr>_CapCostP3</vt:lpstr>
      <vt:lpstr>_CapCostP4</vt:lpstr>
      <vt:lpstr>_CapCostP5</vt:lpstr>
      <vt:lpstr>_CashBoP</vt:lpstr>
      <vt:lpstr>_CashEoP</vt:lpstr>
      <vt:lpstr>_CCcost</vt:lpstr>
      <vt:lpstr>_cfCapex</vt:lpstr>
      <vt:lpstr>_cfDebt</vt:lpstr>
      <vt:lpstr>_cfDebtRepayment</vt:lpstr>
      <vt:lpstr>_cfDepreciation</vt:lpstr>
      <vt:lpstr>_cfEquity</vt:lpstr>
      <vt:lpstr>_cfNetIncomeCash</vt:lpstr>
      <vt:lpstr>_cfStockExpenses</vt:lpstr>
      <vt:lpstr>_Churn</vt:lpstr>
      <vt:lpstr>_CO2saved</vt:lpstr>
      <vt:lpstr>_Coll.rate</vt:lpstr>
      <vt:lpstr>_collectionrate</vt:lpstr>
      <vt:lpstr>_ContractPriceP1</vt:lpstr>
      <vt:lpstr>_ContractPriceP2</vt:lpstr>
      <vt:lpstr>_ContractPriceP3</vt:lpstr>
      <vt:lpstr>_ContractPriceP4</vt:lpstr>
      <vt:lpstr>_ContractpriceP5</vt:lpstr>
      <vt:lpstr>_Corp.Tax.r</vt:lpstr>
      <vt:lpstr>_CorporateTax</vt:lpstr>
      <vt:lpstr>_corporatetaxbasis</vt:lpstr>
      <vt:lpstr>_currencyeffect</vt:lpstr>
      <vt:lpstr>_Depreciation</vt:lpstr>
      <vt:lpstr>_discountfactorPVcalc</vt:lpstr>
      <vt:lpstr>_DMYear</vt:lpstr>
      <vt:lpstr>_DP_P1</vt:lpstr>
      <vt:lpstr>_DP_P2</vt:lpstr>
      <vt:lpstr>_DP_P3</vt:lpstr>
      <vt:lpstr>_DP_P4</vt:lpstr>
      <vt:lpstr>_DP_P5</vt:lpstr>
      <vt:lpstr>_EBITDAAcc</vt:lpstr>
      <vt:lpstr>_EBITDAcash</vt:lpstr>
      <vt:lpstr>_EBTAcc</vt:lpstr>
      <vt:lpstr>_EBTcash</vt:lpstr>
      <vt:lpstr>_EndingContractP1</vt:lpstr>
      <vt:lpstr>_EndingContractP2</vt:lpstr>
      <vt:lpstr>_EndingContractP3</vt:lpstr>
      <vt:lpstr>_EndingContractP4</vt:lpstr>
      <vt:lpstr>_EndingContractP5</vt:lpstr>
      <vt:lpstr>_Fixedsalary.agent</vt:lpstr>
      <vt:lpstr>_FXlossgain</vt:lpstr>
      <vt:lpstr>_GrantsRaised</vt:lpstr>
      <vt:lpstr>_Growthprojections</vt:lpstr>
      <vt:lpstr>_InstalledAssetsP1</vt:lpstr>
      <vt:lpstr>_InstalledAssetsP2</vt:lpstr>
      <vt:lpstr>_InstalledAssetsP3</vt:lpstr>
      <vt:lpstr>_InstalledAssetsP4</vt:lpstr>
      <vt:lpstr>_InstalledAssetsP5</vt:lpstr>
      <vt:lpstr>_Interest</vt:lpstr>
      <vt:lpstr>_lifelyhoodspersystem</vt:lpstr>
      <vt:lpstr>_LostP1</vt:lpstr>
      <vt:lpstr>_LostP2</vt:lpstr>
      <vt:lpstr>_LostP3</vt:lpstr>
      <vt:lpstr>_LostP4</vt:lpstr>
      <vt:lpstr>_LostP5</vt:lpstr>
      <vt:lpstr>_MaintenanceP1</vt:lpstr>
      <vt:lpstr>_MaintenanceP2</vt:lpstr>
      <vt:lpstr>_MaintenanceP3</vt:lpstr>
      <vt:lpstr>_MaintenanceP4</vt:lpstr>
      <vt:lpstr>_MaintenanceP5</vt:lpstr>
      <vt:lpstr>_monthsinyear</vt:lpstr>
      <vt:lpstr>_NetincomeAcc</vt:lpstr>
      <vt:lpstr>_NetIncomeCash</vt:lpstr>
      <vt:lpstr>_NetRevenueAccrual</vt:lpstr>
      <vt:lpstr>_NetRevenueCash</vt:lpstr>
      <vt:lpstr>_NewinstallationsP1</vt:lpstr>
      <vt:lpstr>_NewinstallationsP2</vt:lpstr>
      <vt:lpstr>_NewinstallationsP3</vt:lpstr>
      <vt:lpstr>_NewinstallationsP4</vt:lpstr>
      <vt:lpstr>_NewinstallationsP5</vt:lpstr>
      <vt:lpstr>_NewSalesGrowth</vt:lpstr>
      <vt:lpstr>_NewSalesP1</vt:lpstr>
      <vt:lpstr>_NewSalesP2</vt:lpstr>
      <vt:lpstr>_NewSalesP3</vt:lpstr>
      <vt:lpstr>_NewSalesP4</vt:lpstr>
      <vt:lpstr>_NewSalesP5</vt:lpstr>
      <vt:lpstr>_newsalesperagent</vt:lpstr>
      <vt:lpstr>_NonOperatingIncome</vt:lpstr>
      <vt:lpstr>_NrInstallmentsP1</vt:lpstr>
      <vt:lpstr>_NrInstallmentsP2</vt:lpstr>
      <vt:lpstr>_NrInstallmentsP3</vt:lpstr>
      <vt:lpstr>_NrInstallmentsP4</vt:lpstr>
      <vt:lpstr>_NrInstallmentsP5</vt:lpstr>
      <vt:lpstr>_OpexP1</vt:lpstr>
      <vt:lpstr>_OpexP2</vt:lpstr>
      <vt:lpstr>_OpexP3</vt:lpstr>
      <vt:lpstr>_OpexP4</vt:lpstr>
      <vt:lpstr>_OpexP5</vt:lpstr>
      <vt:lpstr>_Overhead</vt:lpstr>
      <vt:lpstr>_OverheadMoMgrowth</vt:lpstr>
      <vt:lpstr>_p.lost</vt:lpstr>
      <vt:lpstr>_p.repossessed</vt:lpstr>
      <vt:lpstr>_p.retention</vt:lpstr>
      <vt:lpstr>_percentnondeductable</vt:lpstr>
      <vt:lpstr>_PLIT</vt:lpstr>
      <vt:lpstr>_PLMarketing</vt:lpstr>
      <vt:lpstr>_PLMgmtcost</vt:lpstr>
      <vt:lpstr>_PLOffice</vt:lpstr>
      <vt:lpstr>_PLOtherOverhead</vt:lpstr>
      <vt:lpstr>_PLSalaries</vt:lpstr>
      <vt:lpstr>_PLTravel</vt:lpstr>
      <vt:lpstr>_r.systdepP1</vt:lpstr>
      <vt:lpstr>_r.systdepP2</vt:lpstr>
      <vt:lpstr>_r.systdepP3</vt:lpstr>
      <vt:lpstr>_r.systdepP4</vt:lpstr>
      <vt:lpstr>_r.systdepP5</vt:lpstr>
      <vt:lpstr>_Receivablewriteoffrate</vt:lpstr>
      <vt:lpstr>_receivablewriteoffs</vt:lpstr>
      <vt:lpstr>_ReposessionP1</vt:lpstr>
      <vt:lpstr>_ReposessionP2</vt:lpstr>
      <vt:lpstr>_ReposessionP3</vt:lpstr>
      <vt:lpstr>_ReposessionP4</vt:lpstr>
      <vt:lpstr>_ReposessionP5</vt:lpstr>
      <vt:lpstr>_RepossessedP1</vt:lpstr>
      <vt:lpstr>_RepossessedP2</vt:lpstr>
      <vt:lpstr>_RepossessedP3</vt:lpstr>
      <vt:lpstr>_RepossessedP4</vt:lpstr>
      <vt:lpstr>_RepossessedP5</vt:lpstr>
      <vt:lpstr>_RetainedSalesP1</vt:lpstr>
      <vt:lpstr>_RetainedSalesP2</vt:lpstr>
      <vt:lpstr>_RetainedSalesP3</vt:lpstr>
      <vt:lpstr>_RetainedSalesP4</vt:lpstr>
      <vt:lpstr>_RetainedSalesP5</vt:lpstr>
      <vt:lpstr>_RetentionRate</vt:lpstr>
      <vt:lpstr>_Seasonalityeffect</vt:lpstr>
      <vt:lpstr>_systdep.perP1</vt:lpstr>
      <vt:lpstr>_systdep.perP2</vt:lpstr>
      <vt:lpstr>_systdep.perP3</vt:lpstr>
      <vt:lpstr>_systdep.perP4</vt:lpstr>
      <vt:lpstr>_systdep.perP5</vt:lpstr>
      <vt:lpstr>_Taxes</vt:lpstr>
      <vt:lpstr>_TotalActiveInstallationsBoP</vt:lpstr>
      <vt:lpstr>_TotalactiveinstallationsEoP</vt:lpstr>
      <vt:lpstr>_TotalCFFinancing</vt:lpstr>
      <vt:lpstr>_TotalCFInvesting</vt:lpstr>
      <vt:lpstr>_TotalCFOperating</vt:lpstr>
      <vt:lpstr>_TotalCOGSAcc</vt:lpstr>
      <vt:lpstr>_TotalCOGSCash</vt:lpstr>
      <vt:lpstr>_TotalEndingContract</vt:lpstr>
      <vt:lpstr>_TotalInstalledAssets</vt:lpstr>
      <vt:lpstr>_TotalLost</vt:lpstr>
      <vt:lpstr>_TotalNewInstallations</vt:lpstr>
      <vt:lpstr>_TotalNewSales</vt:lpstr>
      <vt:lpstr>_TotalOpex</vt:lpstr>
      <vt:lpstr>_TotalOverhead</vt:lpstr>
      <vt:lpstr>_TotalRepossessed</vt:lpstr>
      <vt:lpstr>_TotalRetainedSales</vt:lpstr>
      <vt:lpstr>_TotalRevAccExWriteOff</vt:lpstr>
      <vt:lpstr>_TotalRevenueAcc</vt:lpstr>
      <vt:lpstr>_TotalRevenueCash</vt:lpstr>
      <vt:lpstr>_TotalVariableCost</vt:lpstr>
      <vt:lpstr>_VAT</vt:lpstr>
      <vt:lpstr>_VATonCOGS</vt:lpstr>
      <vt:lpstr>_VATonsales</vt:lpstr>
      <vt:lpstr>_VATtaxbasis</vt:lpstr>
      <vt:lpstr>_WomenInJobs</vt:lpstr>
      <vt:lpstr>_Writeoff</vt:lpstr>
      <vt:lpstr>_Year</vt:lpstr>
      <vt:lpstr>'Macro Model (USD)'!ActiveInstallation_2025</vt:lpstr>
      <vt:lpstr>ActiveInstallation_2025</vt:lpstr>
      <vt:lpstr>bankcharge</vt:lpstr>
      <vt:lpstr>'Macro Model (USD)'!CO2saved_2025</vt:lpstr>
      <vt:lpstr>CO2saved_2025</vt:lpstr>
      <vt:lpstr>'Macro Model (USD)'!COGS_2025</vt:lpstr>
      <vt:lpstr>COGS_2025</vt:lpstr>
      <vt:lpstr>Costs</vt:lpstr>
      <vt:lpstr>'Macro Model (USD)'!EBITDA_2025</vt:lpstr>
      <vt:lpstr>EBITDA_2025</vt:lpstr>
      <vt:lpstr>'Macro Model (USD)'!HouseholdPowered_2025</vt:lpstr>
      <vt:lpstr>HouseholdPowered_2025</vt:lpstr>
      <vt:lpstr>MasterCheck</vt:lpstr>
      <vt:lpstr>MM</vt:lpstr>
      <vt:lpstr>'Macro Model (USD)'!NetIncome_2025</vt:lpstr>
      <vt:lpstr>NetIncome_2025</vt:lpstr>
      <vt:lpstr>'Macro Model (USD)'!OperatingExpenses_2025</vt:lpstr>
      <vt:lpstr>OperatingExpenses_2025</vt:lpstr>
      <vt:lpstr>Dashboard!Print_Area</vt:lpstr>
      <vt:lpstr>Flags!Print_Area</vt:lpstr>
      <vt:lpstr>'Macro Model (LCY)'!Print_Area</vt:lpstr>
      <vt:lpstr>'Macro Model (USD)'!Print_Area</vt:lpstr>
      <vt:lpstr>'Model Assumptions'!Print_Area</vt:lpstr>
      <vt:lpstr>'Model Assumptions - Scenarios'!Print_Area</vt:lpstr>
      <vt:lpstr>'Macro Model (USD)'!Revenue_2025</vt:lpstr>
      <vt:lpstr>Revenue_2025</vt:lpstr>
      <vt:lpstr>startP1</vt:lpstr>
      <vt:lpstr>startP2</vt:lpstr>
      <vt:lpstr>startP3</vt:lpstr>
      <vt:lpstr>startP4</vt:lpstr>
      <vt:lpstr>startP5</vt:lpstr>
      <vt:lpstr>tolerance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Kilien de Renty</dc:creator>
  <cp:lastModifiedBy>Charlotte Taylor</cp:lastModifiedBy>
  <cp:lastPrinted>2020-08-07T11:57:52Z</cp:lastPrinted>
  <dcterms:created xsi:type="dcterms:W3CDTF">2019-05-14T23:00:44Z</dcterms:created>
  <dcterms:modified xsi:type="dcterms:W3CDTF">2023-01-11T12:02:29Z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0x010100EA54C2F40240DB4AABC9335D350A67AE</vt:lpwstr>
  </property>
  <property fmtid="{D5CDD505-2E9C-101B-9397-08002B2CF9AE}" pid="3" name="MediaServiceImageTags">
    <vt:lpwstr/>
  </property>
</Properties>
</file>